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5600" windowHeight="15480" tabRatio="500" firstSheet="1" activeTab="5"/>
  </bookViews>
  <sheets>
    <sheet name="Mar14 Revenue" sheetId="1" r:id="rId1"/>
    <sheet name="Feb14 Revenue" sheetId="2" r:id="rId2"/>
    <sheet name="Jan 2013 Revenue" sheetId="6" r:id="rId3"/>
    <sheet name="Dec 2012 Revenue" sheetId="5" r:id="rId4"/>
    <sheet name="Sept13 Revenue" sheetId="3" r:id="rId5"/>
    <sheet name="Sept 2012 Revenue" sheetId="4" r:id="rId6"/>
  </sheets>
  <definedNames>
    <definedName name="Z_86CCC894_C193_4761_8385_3C374FD67B70_.wvu.Cols" localSheetId="3" hidden="1">'Dec 2012 Revenue'!$G:$H</definedName>
    <definedName name="Z_86CCC894_C193_4761_8385_3C374FD67B70_.wvu.Cols" localSheetId="5" hidden="1">'Sept 2012 Revenue'!$G:$H</definedName>
    <definedName name="Z_86CCC894_C193_4761_8385_3C374FD67B70_.wvu.Rows" localSheetId="3" hidden="1">'Dec 2012 Revenue'!$51:$54,'Dec 2012 Revenue'!$73:$76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16" i="6" l="1"/>
  <c r="Q17" i="6"/>
  <c r="V17" i="6"/>
  <c r="V18" i="6"/>
  <c r="V19" i="6"/>
  <c r="V20" i="6"/>
  <c r="Q21" i="6"/>
  <c r="V21" i="6"/>
  <c r="Q22" i="6"/>
  <c r="V22" i="6"/>
  <c r="Q23" i="6"/>
  <c r="V23" i="6"/>
  <c r="V24" i="6"/>
  <c r="Q25" i="6"/>
  <c r="V25" i="6"/>
  <c r="Q26" i="6"/>
  <c r="V26" i="6"/>
  <c r="Q27" i="6"/>
  <c r="V27" i="6"/>
  <c r="V28" i="6"/>
  <c r="Q29" i="6"/>
  <c r="V29" i="6"/>
  <c r="Q30" i="6"/>
  <c r="V30" i="6"/>
  <c r="Q31" i="6"/>
  <c r="V31" i="6"/>
  <c r="Q32" i="6"/>
  <c r="V32" i="6"/>
  <c r="Q33" i="6"/>
  <c r="V33" i="6"/>
  <c r="Q34" i="6"/>
  <c r="V34" i="6"/>
  <c r="Q35" i="6"/>
  <c r="V35" i="6"/>
  <c r="Q36" i="6"/>
  <c r="V36" i="6"/>
  <c r="Q37" i="6"/>
  <c r="V37" i="6"/>
  <c r="Q38" i="6"/>
  <c r="V38" i="6"/>
  <c r="Q39" i="6"/>
  <c r="V39" i="6"/>
  <c r="V40" i="6"/>
  <c r="Q42" i="6"/>
  <c r="V42" i="6"/>
  <c r="V43" i="6"/>
  <c r="Q44" i="6"/>
  <c r="V44" i="6"/>
  <c r="Q45" i="6"/>
  <c r="V45" i="6"/>
  <c r="V46" i="6"/>
  <c r="Q47" i="6"/>
  <c r="V47" i="6"/>
  <c r="Q48" i="6"/>
  <c r="V48" i="6"/>
  <c r="Q49" i="6"/>
  <c r="V49" i="6"/>
  <c r="V50" i="6"/>
  <c r="V51" i="6"/>
  <c r="V52" i="6"/>
  <c r="V53" i="6"/>
  <c r="V54" i="6"/>
  <c r="V55" i="6"/>
  <c r="V56" i="6"/>
  <c r="V57" i="6"/>
  <c r="V58" i="6"/>
  <c r="Q59" i="6"/>
  <c r="V59" i="6"/>
  <c r="Q60" i="6"/>
  <c r="V60" i="6"/>
  <c r="Q61" i="6"/>
  <c r="V61" i="6"/>
  <c r="Q62" i="6"/>
  <c r="V62" i="6"/>
  <c r="Q63" i="6"/>
  <c r="V63" i="6"/>
  <c r="Q64" i="6"/>
  <c r="V64" i="6"/>
  <c r="Q65" i="6"/>
  <c r="V65" i="6"/>
  <c r="Q66" i="6"/>
  <c r="V66" i="6"/>
  <c r="Q67" i="6"/>
  <c r="V67" i="6"/>
  <c r="Q68" i="6"/>
  <c r="V68" i="6"/>
  <c r="Q69" i="6"/>
  <c r="V69" i="6"/>
  <c r="V70" i="6"/>
  <c r="Q71" i="6"/>
  <c r="V71" i="6"/>
  <c r="Q72" i="6"/>
  <c r="V72" i="6"/>
  <c r="V73" i="6"/>
  <c r="V74" i="6"/>
  <c r="Q75" i="6"/>
  <c r="V75" i="6"/>
  <c r="V76" i="6"/>
  <c r="V77" i="6"/>
  <c r="V78" i="6"/>
  <c r="Q79" i="6"/>
  <c r="V79" i="6"/>
  <c r="Q80" i="6"/>
  <c r="V80" i="6"/>
  <c r="Q81" i="6"/>
  <c r="V81" i="6"/>
  <c r="Q82" i="6"/>
  <c r="V82" i="6"/>
  <c r="Q83" i="6"/>
  <c r="V83" i="6"/>
  <c r="Q84" i="6"/>
  <c r="V84" i="6"/>
  <c r="V85" i="6"/>
  <c r="V86" i="6"/>
  <c r="V87" i="6"/>
  <c r="V88" i="6"/>
  <c r="Q89" i="6"/>
  <c r="V89" i="6"/>
  <c r="V90" i="6"/>
  <c r="V91" i="6"/>
  <c r="V92" i="6"/>
  <c r="Q93" i="6"/>
  <c r="V93" i="6"/>
  <c r="Q94" i="6"/>
  <c r="V94" i="6"/>
  <c r="Q95" i="6"/>
  <c r="V95" i="6"/>
  <c r="Q96" i="6"/>
  <c r="V96" i="6"/>
  <c r="Q97" i="6"/>
  <c r="V97" i="6"/>
  <c r="Q98" i="6"/>
  <c r="V98" i="6"/>
  <c r="Q99" i="6"/>
  <c r="V99" i="6"/>
  <c r="Q100" i="6"/>
  <c r="V100" i="6"/>
  <c r="Q101" i="6"/>
  <c r="V101" i="6"/>
  <c r="Q102" i="6"/>
  <c r="V102" i="6"/>
  <c r="Q103" i="6"/>
  <c r="V103" i="6"/>
  <c r="Q104" i="6"/>
  <c r="V104" i="6"/>
  <c r="Q105" i="6"/>
  <c r="V105" i="6"/>
  <c r="Q106" i="6"/>
  <c r="V106" i="6"/>
  <c r="Q107" i="6"/>
  <c r="V107" i="6"/>
  <c r="Q108" i="6"/>
  <c r="V108" i="6"/>
  <c r="Q109" i="6"/>
  <c r="V109" i="6"/>
  <c r="Q110" i="6"/>
  <c r="V110" i="6"/>
  <c r="Q111" i="6"/>
  <c r="V111" i="6"/>
  <c r="Q112" i="6"/>
  <c r="V112" i="6"/>
  <c r="V113" i="6"/>
  <c r="V114" i="6"/>
  <c r="Q115" i="6"/>
  <c r="V115" i="6"/>
  <c r="Q116" i="6"/>
  <c r="V116" i="6"/>
  <c r="V117" i="6"/>
  <c r="Q118" i="6"/>
  <c r="V118" i="6"/>
  <c r="V119" i="6"/>
  <c r="V120" i="6"/>
  <c r="V121" i="6"/>
  <c r="Q122" i="6"/>
  <c r="V122" i="6"/>
  <c r="V123" i="6"/>
  <c r="Q124" i="6"/>
  <c r="V124" i="6"/>
  <c r="Q125" i="6"/>
  <c r="V125" i="6"/>
  <c r="Q126" i="6"/>
  <c r="V126" i="6"/>
  <c r="Q127" i="6"/>
  <c r="V127" i="6"/>
  <c r="Q128" i="6"/>
  <c r="V128" i="6"/>
  <c r="Q129" i="6"/>
  <c r="V129" i="6"/>
  <c r="Q130" i="6"/>
  <c r="V130" i="6"/>
  <c r="Q131" i="6"/>
  <c r="V131" i="6"/>
  <c r="Q132" i="6"/>
  <c r="V132" i="6"/>
  <c r="Q133" i="6"/>
  <c r="V133" i="6"/>
  <c r="V134" i="6"/>
  <c r="V135" i="6"/>
  <c r="Q136" i="6"/>
  <c r="V136" i="6"/>
  <c r="Q137" i="6"/>
  <c r="V137" i="6"/>
  <c r="V138" i="6"/>
  <c r="V139" i="6"/>
  <c r="V140" i="6"/>
  <c r="Q141" i="6"/>
  <c r="V141" i="6"/>
  <c r="Q142" i="6"/>
  <c r="V142" i="6"/>
  <c r="Q143" i="6"/>
  <c r="V143" i="6"/>
  <c r="V144" i="6"/>
  <c r="V145" i="6"/>
  <c r="V146" i="6"/>
  <c r="V147" i="6"/>
  <c r="Q148" i="6"/>
  <c r="V148" i="6"/>
  <c r="V149" i="6"/>
  <c r="V150" i="6"/>
  <c r="Q151" i="6"/>
  <c r="V151" i="6"/>
  <c r="Q152" i="6"/>
  <c r="V152" i="6"/>
  <c r="V153" i="6"/>
  <c r="V154" i="6"/>
  <c r="V155" i="6"/>
  <c r="V156" i="6"/>
  <c r="V157" i="6"/>
  <c r="Q158" i="6"/>
  <c r="V158" i="6"/>
  <c r="V159" i="6"/>
  <c r="Q160" i="6"/>
  <c r="V160" i="6"/>
  <c r="Q161" i="6"/>
  <c r="V161" i="6"/>
  <c r="Q162" i="6"/>
  <c r="V162" i="6"/>
  <c r="Q163" i="6"/>
  <c r="V163" i="6"/>
  <c r="Q164" i="6"/>
  <c r="V164" i="6"/>
  <c r="Q165" i="6"/>
  <c r="V165" i="6"/>
  <c r="Q166" i="6"/>
  <c r="V166" i="6"/>
  <c r="V167" i="6"/>
  <c r="Q168" i="6"/>
  <c r="V168" i="6"/>
  <c r="V169" i="6"/>
  <c r="V170" i="6"/>
  <c r="Q171" i="6"/>
  <c r="V171" i="6"/>
  <c r="V172" i="6"/>
  <c r="V173" i="6"/>
  <c r="Q174" i="6"/>
  <c r="V174" i="6"/>
  <c r="V175" i="6"/>
  <c r="Q176" i="6"/>
  <c r="V176" i="6"/>
  <c r="Q177" i="6"/>
  <c r="V177" i="6"/>
  <c r="Q178" i="6"/>
  <c r="V178" i="6"/>
  <c r="Q179" i="6"/>
  <c r="V179" i="6"/>
  <c r="Q180" i="6"/>
  <c r="V180" i="6"/>
  <c r="V181" i="6"/>
  <c r="V182" i="6"/>
  <c r="V183" i="6"/>
  <c r="V184" i="6"/>
  <c r="Q185" i="6"/>
  <c r="V185" i="6"/>
  <c r="Q186" i="6"/>
  <c r="V186" i="6"/>
  <c r="Q187" i="6"/>
  <c r="V187" i="6"/>
  <c r="V188" i="6"/>
  <c r="V189" i="6"/>
  <c r="V190" i="6"/>
  <c r="V191" i="6"/>
  <c r="V192" i="6"/>
  <c r="V193" i="6"/>
  <c r="V194" i="6"/>
  <c r="V195" i="6"/>
  <c r="V196" i="6"/>
  <c r="Q197" i="6"/>
  <c r="V197" i="6"/>
  <c r="Q198" i="6"/>
  <c r="V198" i="6"/>
  <c r="Q199" i="6"/>
  <c r="V199" i="6"/>
  <c r="V200" i="6"/>
  <c r="Q201" i="6"/>
  <c r="V201" i="6"/>
  <c r="Q202" i="6"/>
  <c r="V202" i="6"/>
  <c r="V203" i="6"/>
  <c r="V204" i="6"/>
  <c r="Q205" i="6"/>
  <c r="V205" i="6"/>
  <c r="Q206" i="6"/>
  <c r="V206" i="6"/>
  <c r="V207" i="6"/>
  <c r="V208" i="6"/>
  <c r="V209" i="6"/>
  <c r="V210" i="6"/>
  <c r="Q211" i="6"/>
  <c r="V211" i="6"/>
  <c r="V212" i="6"/>
  <c r="Q213" i="6"/>
  <c r="V213" i="6"/>
  <c r="Q214" i="6"/>
  <c r="V214" i="6"/>
  <c r="Q215" i="6"/>
  <c r="V215" i="6"/>
  <c r="V216" i="6"/>
  <c r="V217" i="6"/>
  <c r="Q218" i="6"/>
  <c r="V218" i="6"/>
  <c r="V219" i="6"/>
  <c r="Y226" i="6"/>
  <c r="Y219" i="6"/>
  <c r="Y227" i="6"/>
  <c r="Q16" i="6"/>
  <c r="W16" i="6"/>
  <c r="W17" i="6"/>
  <c r="Q18" i="6"/>
  <c r="W18" i="6"/>
  <c r="Q19" i="6"/>
  <c r="W19" i="6"/>
  <c r="Q20" i="6"/>
  <c r="W20" i="6"/>
  <c r="W21" i="6"/>
  <c r="W22" i="6"/>
  <c r="W23" i="6"/>
  <c r="Q24" i="6"/>
  <c r="W24" i="6"/>
  <c r="W25" i="6"/>
  <c r="W26" i="6"/>
  <c r="W27" i="6"/>
  <c r="Q28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2" i="6"/>
  <c r="Q43" i="6"/>
  <c r="W43" i="6"/>
  <c r="W44" i="6"/>
  <c r="W45" i="6"/>
  <c r="Q46" i="6"/>
  <c r="W46" i="6"/>
  <c r="W47" i="6"/>
  <c r="W48" i="6"/>
  <c r="W49" i="6"/>
  <c r="Q50" i="6"/>
  <c r="W50" i="6"/>
  <c r="Q51" i="6"/>
  <c r="W51" i="6"/>
  <c r="Q52" i="6"/>
  <c r="W52" i="6"/>
  <c r="Q53" i="6"/>
  <c r="W53" i="6"/>
  <c r="Q54" i="6"/>
  <c r="W54" i="6"/>
  <c r="W55" i="6"/>
  <c r="Q56" i="6"/>
  <c r="W56" i="6"/>
  <c r="Q57" i="6"/>
  <c r="W57" i="6"/>
  <c r="W58" i="6"/>
  <c r="W59" i="6"/>
  <c r="W60" i="6"/>
  <c r="W61" i="6"/>
  <c r="W62" i="6"/>
  <c r="W63" i="6"/>
  <c r="W64" i="6"/>
  <c r="W65" i="6"/>
  <c r="W66" i="6"/>
  <c r="W67" i="6"/>
  <c r="W68" i="6"/>
  <c r="W69" i="6"/>
  <c r="Q70" i="6"/>
  <c r="W70" i="6"/>
  <c r="W71" i="6"/>
  <c r="W72" i="6"/>
  <c r="Q73" i="6"/>
  <c r="W73" i="6"/>
  <c r="Q74" i="6"/>
  <c r="W74" i="6"/>
  <c r="W75" i="6"/>
  <c r="Q76" i="6"/>
  <c r="W76" i="6"/>
  <c r="Q77" i="6"/>
  <c r="W77" i="6"/>
  <c r="Q78" i="6"/>
  <c r="W78" i="6"/>
  <c r="W79" i="6"/>
  <c r="W80" i="6"/>
  <c r="W81" i="6"/>
  <c r="W82" i="6"/>
  <c r="W83" i="6"/>
  <c r="W84" i="6"/>
  <c r="W85" i="6"/>
  <c r="W86" i="6"/>
  <c r="Q87" i="6"/>
  <c r="W87" i="6"/>
  <c r="Q88" i="6"/>
  <c r="W88" i="6"/>
  <c r="W89" i="6"/>
  <c r="Q90" i="6"/>
  <c r="W90" i="6"/>
  <c r="Q91" i="6"/>
  <c r="W91" i="6"/>
  <c r="Q92" i="6"/>
  <c r="W92" i="6"/>
  <c r="W93" i="6"/>
  <c r="W94" i="6"/>
  <c r="W95" i="6"/>
  <c r="W96" i="6"/>
  <c r="W97" i="6"/>
  <c r="W98" i="6"/>
  <c r="W99" i="6"/>
  <c r="W100" i="6"/>
  <c r="W101" i="6"/>
  <c r="W102" i="6"/>
  <c r="W103" i="6"/>
  <c r="W104" i="6"/>
  <c r="W105" i="6"/>
  <c r="W106" i="6"/>
  <c r="W107" i="6"/>
  <c r="W108" i="6"/>
  <c r="W109" i="6"/>
  <c r="W110" i="6"/>
  <c r="W111" i="6"/>
  <c r="W112" i="6"/>
  <c r="Q113" i="6"/>
  <c r="W113" i="6"/>
  <c r="Q114" i="6"/>
  <c r="W114" i="6"/>
  <c r="W115" i="6"/>
  <c r="W116" i="6"/>
  <c r="Q117" i="6"/>
  <c r="W117" i="6"/>
  <c r="W118" i="6"/>
  <c r="W119" i="6"/>
  <c r="Q120" i="6"/>
  <c r="W120" i="6"/>
  <c r="Q121" i="6"/>
  <c r="W121" i="6"/>
  <c r="W122" i="6"/>
  <c r="Q123" i="6"/>
  <c r="W123" i="6"/>
  <c r="W124" i="6"/>
  <c r="W125" i="6"/>
  <c r="W126" i="6"/>
  <c r="W127" i="6"/>
  <c r="W128" i="6"/>
  <c r="W129" i="6"/>
  <c r="W130" i="6"/>
  <c r="W131" i="6"/>
  <c r="W132" i="6"/>
  <c r="W133" i="6"/>
  <c r="Q134" i="6"/>
  <c r="W134" i="6"/>
  <c r="Q135" i="6"/>
  <c r="W135" i="6"/>
  <c r="W136" i="6"/>
  <c r="W137" i="6"/>
  <c r="W138" i="6"/>
  <c r="Q139" i="6"/>
  <c r="W139" i="6"/>
  <c r="Q140" i="6"/>
  <c r="W140" i="6"/>
  <c r="W141" i="6"/>
  <c r="W142" i="6"/>
  <c r="W143" i="6"/>
  <c r="W144" i="6"/>
  <c r="Q145" i="6"/>
  <c r="W145" i="6"/>
  <c r="Q146" i="6"/>
  <c r="W146" i="6"/>
  <c r="W147" i="6"/>
  <c r="W148" i="6"/>
  <c r="Q149" i="6"/>
  <c r="W149" i="6"/>
  <c r="Q150" i="6"/>
  <c r="W150" i="6"/>
  <c r="W151" i="6"/>
  <c r="W152" i="6"/>
  <c r="Q153" i="6"/>
  <c r="W153" i="6"/>
  <c r="Q154" i="6"/>
  <c r="W154" i="6"/>
  <c r="Q155" i="6"/>
  <c r="W155" i="6"/>
  <c r="Q156" i="6"/>
  <c r="W156" i="6"/>
  <c r="Q157" i="6"/>
  <c r="W157" i="6"/>
  <c r="W158" i="6"/>
  <c r="Q159" i="6"/>
  <c r="W159" i="6"/>
  <c r="W160" i="6"/>
  <c r="W161" i="6"/>
  <c r="W162" i="6"/>
  <c r="W163" i="6"/>
  <c r="W164" i="6"/>
  <c r="W165" i="6"/>
  <c r="W166" i="6"/>
  <c r="Q167" i="6"/>
  <c r="W167" i="6"/>
  <c r="W168" i="6"/>
  <c r="Q169" i="6"/>
  <c r="W169" i="6"/>
  <c r="Q170" i="6"/>
  <c r="W170" i="6"/>
  <c r="W171" i="6"/>
  <c r="Q172" i="6"/>
  <c r="W172" i="6"/>
  <c r="W173" i="6"/>
  <c r="W174" i="6"/>
  <c r="Q175" i="6"/>
  <c r="W175" i="6"/>
  <c r="W176" i="6"/>
  <c r="W177" i="6"/>
  <c r="W178" i="6"/>
  <c r="W179" i="6"/>
  <c r="W180" i="6"/>
  <c r="Q181" i="6"/>
  <c r="W181" i="6"/>
  <c r="Q182" i="6"/>
  <c r="W182" i="6"/>
  <c r="Q183" i="6"/>
  <c r="W183" i="6"/>
  <c r="Q184" i="6"/>
  <c r="W184" i="6"/>
  <c r="W185" i="6"/>
  <c r="W186" i="6"/>
  <c r="W187" i="6"/>
  <c r="Q188" i="6"/>
  <c r="W188" i="6"/>
  <c r="Q189" i="6"/>
  <c r="W189" i="6"/>
  <c r="Q190" i="6"/>
  <c r="W190" i="6"/>
  <c r="Q191" i="6"/>
  <c r="W191" i="6"/>
  <c r="Q192" i="6"/>
  <c r="W192" i="6"/>
  <c r="Q193" i="6"/>
  <c r="W193" i="6"/>
  <c r="W194" i="6"/>
  <c r="Q195" i="6"/>
  <c r="W195" i="6"/>
  <c r="W196" i="6"/>
  <c r="W197" i="6"/>
  <c r="W198" i="6"/>
  <c r="W199" i="6"/>
  <c r="W200" i="6"/>
  <c r="W201" i="6"/>
  <c r="W202" i="6"/>
  <c r="Q203" i="6"/>
  <c r="W203" i="6"/>
  <c r="W204" i="6"/>
  <c r="W205" i="6"/>
  <c r="W206" i="6"/>
  <c r="Q207" i="6"/>
  <c r="W207" i="6"/>
  <c r="Q208" i="6"/>
  <c r="W208" i="6"/>
  <c r="Q209" i="6"/>
  <c r="W209" i="6"/>
  <c r="Q210" i="6"/>
  <c r="W210" i="6"/>
  <c r="W211" i="6"/>
  <c r="Q212" i="6"/>
  <c r="W212" i="6"/>
  <c r="W213" i="6"/>
  <c r="W214" i="6"/>
  <c r="W215" i="6"/>
  <c r="W216" i="6"/>
  <c r="W217" i="6"/>
  <c r="W218" i="6"/>
  <c r="W219" i="6"/>
  <c r="Y229" i="6"/>
  <c r="Z219" i="6"/>
  <c r="Y230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Q40" i="6"/>
  <c r="X40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Q55" i="6"/>
  <c r="X55" i="6"/>
  <c r="X56" i="6"/>
  <c r="X57" i="6"/>
  <c r="Q58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Q85" i="6"/>
  <c r="X85" i="6"/>
  <c r="Q86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Q119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Q138" i="6"/>
  <c r="X138" i="6"/>
  <c r="X139" i="6"/>
  <c r="X140" i="6"/>
  <c r="X141" i="6"/>
  <c r="X142" i="6"/>
  <c r="X143" i="6"/>
  <c r="Q144" i="6"/>
  <c r="X144" i="6"/>
  <c r="X145" i="6"/>
  <c r="X146" i="6"/>
  <c r="Q147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Q173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185" i="6"/>
  <c r="X186" i="6"/>
  <c r="X187" i="6"/>
  <c r="X188" i="6"/>
  <c r="X189" i="6"/>
  <c r="X190" i="6"/>
  <c r="X191" i="6"/>
  <c r="X192" i="6"/>
  <c r="X193" i="6"/>
  <c r="Q194" i="6"/>
  <c r="X194" i="6"/>
  <c r="X195" i="6"/>
  <c r="Q196" i="6"/>
  <c r="X196" i="6"/>
  <c r="X197" i="6"/>
  <c r="X198" i="6"/>
  <c r="X199" i="6"/>
  <c r="Q200" i="6"/>
  <c r="X200" i="6"/>
  <c r="X201" i="6"/>
  <c r="X202" i="6"/>
  <c r="X203" i="6"/>
  <c r="Q204" i="6"/>
  <c r="X204" i="6"/>
  <c r="X205" i="6"/>
  <c r="X206" i="6"/>
  <c r="X207" i="6"/>
  <c r="X208" i="6"/>
  <c r="X209" i="6"/>
  <c r="X210" i="6"/>
  <c r="X211" i="6"/>
  <c r="X212" i="6"/>
  <c r="X213" i="6"/>
  <c r="X214" i="6"/>
  <c r="X215" i="6"/>
  <c r="Q216" i="6"/>
  <c r="X216" i="6"/>
  <c r="Q217" i="6"/>
  <c r="X217" i="6"/>
  <c r="X218" i="6"/>
  <c r="X219" i="6"/>
  <c r="Y232" i="6"/>
  <c r="Y233" i="6"/>
  <c r="X224" i="6"/>
  <c r="X233" i="6"/>
  <c r="AB16" i="6"/>
  <c r="F17" i="6"/>
  <c r="J17" i="6"/>
  <c r="AB17" i="6"/>
  <c r="AB18" i="6"/>
  <c r="AB19" i="6"/>
  <c r="AB20" i="6"/>
  <c r="F21" i="6"/>
  <c r="J21" i="6"/>
  <c r="AB21" i="6"/>
  <c r="F22" i="6"/>
  <c r="J22" i="6"/>
  <c r="AB22" i="6"/>
  <c r="F23" i="6"/>
  <c r="J23" i="6"/>
  <c r="AB23" i="6"/>
  <c r="AB24" i="6"/>
  <c r="F25" i="6"/>
  <c r="J25" i="6"/>
  <c r="AB25" i="6"/>
  <c r="F26" i="6"/>
  <c r="J26" i="6"/>
  <c r="AB26" i="6"/>
  <c r="F27" i="6"/>
  <c r="J27" i="6"/>
  <c r="AB27" i="6"/>
  <c r="AB28" i="6"/>
  <c r="F29" i="6"/>
  <c r="J29" i="6"/>
  <c r="AB29" i="6"/>
  <c r="F30" i="6"/>
  <c r="J30" i="6"/>
  <c r="AB30" i="6"/>
  <c r="F31" i="6"/>
  <c r="J31" i="6"/>
  <c r="AB31" i="6"/>
  <c r="F32" i="6"/>
  <c r="J32" i="6"/>
  <c r="AB32" i="6"/>
  <c r="F33" i="6"/>
  <c r="J33" i="6"/>
  <c r="AB33" i="6"/>
  <c r="F34" i="6"/>
  <c r="J34" i="6"/>
  <c r="AB34" i="6"/>
  <c r="F35" i="6"/>
  <c r="J35" i="6"/>
  <c r="AB35" i="6"/>
  <c r="F36" i="6"/>
  <c r="J36" i="6"/>
  <c r="AB36" i="6"/>
  <c r="F37" i="6"/>
  <c r="J37" i="6"/>
  <c r="AB37" i="6"/>
  <c r="F38" i="6"/>
  <c r="J38" i="6"/>
  <c r="AB38" i="6"/>
  <c r="F39" i="6"/>
  <c r="J39" i="6"/>
  <c r="AB39" i="6"/>
  <c r="AB40" i="6"/>
  <c r="F42" i="6"/>
  <c r="J42" i="6"/>
  <c r="AB42" i="6"/>
  <c r="AB43" i="6"/>
  <c r="F44" i="6"/>
  <c r="J44" i="6"/>
  <c r="AB44" i="6"/>
  <c r="F45" i="6"/>
  <c r="J45" i="6"/>
  <c r="AB45" i="6"/>
  <c r="AB46" i="6"/>
  <c r="F47" i="6"/>
  <c r="J47" i="6"/>
  <c r="AB47" i="6"/>
  <c r="F48" i="6"/>
  <c r="J48" i="6"/>
  <c r="AB48" i="6"/>
  <c r="F49" i="6"/>
  <c r="J49" i="6"/>
  <c r="AB49" i="6"/>
  <c r="AB50" i="6"/>
  <c r="AB51" i="6"/>
  <c r="AB52" i="6"/>
  <c r="AB53" i="6"/>
  <c r="AB54" i="6"/>
  <c r="AB55" i="6"/>
  <c r="AB56" i="6"/>
  <c r="AB57" i="6"/>
  <c r="AB58" i="6"/>
  <c r="F59" i="6"/>
  <c r="J59" i="6"/>
  <c r="AB59" i="6"/>
  <c r="F60" i="6"/>
  <c r="J60" i="6"/>
  <c r="AB60" i="6"/>
  <c r="F61" i="6"/>
  <c r="J61" i="6"/>
  <c r="AB61" i="6"/>
  <c r="F62" i="6"/>
  <c r="J62" i="6"/>
  <c r="AB62" i="6"/>
  <c r="F63" i="6"/>
  <c r="J63" i="6"/>
  <c r="AB63" i="6"/>
  <c r="F64" i="6"/>
  <c r="J64" i="6"/>
  <c r="AB64" i="6"/>
  <c r="F65" i="6"/>
  <c r="J65" i="6"/>
  <c r="AB65" i="6"/>
  <c r="F66" i="6"/>
  <c r="J66" i="6"/>
  <c r="AB66" i="6"/>
  <c r="F67" i="6"/>
  <c r="J67" i="6"/>
  <c r="AB67" i="6"/>
  <c r="F68" i="6"/>
  <c r="J68" i="6"/>
  <c r="AB68" i="6"/>
  <c r="F69" i="6"/>
  <c r="J69" i="6"/>
  <c r="AB69" i="6"/>
  <c r="AB70" i="6"/>
  <c r="F71" i="6"/>
  <c r="J71" i="6"/>
  <c r="AB71" i="6"/>
  <c r="F72" i="6"/>
  <c r="J72" i="6"/>
  <c r="AB72" i="6"/>
  <c r="AB73" i="6"/>
  <c r="AB74" i="6"/>
  <c r="F75" i="6"/>
  <c r="J75" i="6"/>
  <c r="AB75" i="6"/>
  <c r="AB76" i="6"/>
  <c r="AB77" i="6"/>
  <c r="AB78" i="6"/>
  <c r="F79" i="6"/>
  <c r="J79" i="6"/>
  <c r="AB79" i="6"/>
  <c r="F80" i="6"/>
  <c r="J80" i="6"/>
  <c r="AB80" i="6"/>
  <c r="F81" i="6"/>
  <c r="J81" i="6"/>
  <c r="AB81" i="6"/>
  <c r="F82" i="6"/>
  <c r="J82" i="6"/>
  <c r="AB82" i="6"/>
  <c r="F83" i="6"/>
  <c r="J83" i="6"/>
  <c r="AB83" i="6"/>
  <c r="F84" i="6"/>
  <c r="J84" i="6"/>
  <c r="AB84" i="6"/>
  <c r="AB85" i="6"/>
  <c r="AB86" i="6"/>
  <c r="AB87" i="6"/>
  <c r="AB88" i="6"/>
  <c r="F89" i="6"/>
  <c r="J89" i="6"/>
  <c r="AB89" i="6"/>
  <c r="AB90" i="6"/>
  <c r="AB91" i="6"/>
  <c r="AB92" i="6"/>
  <c r="F93" i="6"/>
  <c r="J93" i="6"/>
  <c r="AB93" i="6"/>
  <c r="F94" i="6"/>
  <c r="J94" i="6"/>
  <c r="AB94" i="6"/>
  <c r="F95" i="6"/>
  <c r="J95" i="6"/>
  <c r="AB95" i="6"/>
  <c r="F96" i="6"/>
  <c r="J96" i="6"/>
  <c r="AB96" i="6"/>
  <c r="F97" i="6"/>
  <c r="J97" i="6"/>
  <c r="AB97" i="6"/>
  <c r="F98" i="6"/>
  <c r="J98" i="6"/>
  <c r="AB98" i="6"/>
  <c r="F99" i="6"/>
  <c r="J99" i="6"/>
  <c r="AB99" i="6"/>
  <c r="F100" i="6"/>
  <c r="J100" i="6"/>
  <c r="AB100" i="6"/>
  <c r="F101" i="6"/>
  <c r="J101" i="6"/>
  <c r="AB101" i="6"/>
  <c r="F102" i="6"/>
  <c r="J102" i="6"/>
  <c r="AB102" i="6"/>
  <c r="F103" i="6"/>
  <c r="J103" i="6"/>
  <c r="AB103" i="6"/>
  <c r="F104" i="6"/>
  <c r="J104" i="6"/>
  <c r="AB104" i="6"/>
  <c r="F105" i="6"/>
  <c r="J105" i="6"/>
  <c r="AB105" i="6"/>
  <c r="F106" i="6"/>
  <c r="J106" i="6"/>
  <c r="AB106" i="6"/>
  <c r="F107" i="6"/>
  <c r="J107" i="6"/>
  <c r="AB107" i="6"/>
  <c r="F108" i="6"/>
  <c r="J108" i="6"/>
  <c r="AB108" i="6"/>
  <c r="F109" i="6"/>
  <c r="J109" i="6"/>
  <c r="AB109" i="6"/>
  <c r="F110" i="6"/>
  <c r="J110" i="6"/>
  <c r="AB110" i="6"/>
  <c r="F111" i="6"/>
  <c r="I111" i="6"/>
  <c r="J111" i="6"/>
  <c r="AB111" i="6"/>
  <c r="F112" i="6"/>
  <c r="J112" i="6"/>
  <c r="AB112" i="6"/>
  <c r="AB113" i="6"/>
  <c r="AB114" i="6"/>
  <c r="F115" i="6"/>
  <c r="J115" i="6"/>
  <c r="AB115" i="6"/>
  <c r="F116" i="6"/>
  <c r="J116" i="6"/>
  <c r="AB116" i="6"/>
  <c r="AB117" i="6"/>
  <c r="F118" i="6"/>
  <c r="J118" i="6"/>
  <c r="AB118" i="6"/>
  <c r="AB119" i="6"/>
  <c r="AB120" i="6"/>
  <c r="AB121" i="6"/>
  <c r="F122" i="6"/>
  <c r="J122" i="6"/>
  <c r="AB122" i="6"/>
  <c r="AB123" i="6"/>
  <c r="F124" i="6"/>
  <c r="J124" i="6"/>
  <c r="AB124" i="6"/>
  <c r="F125" i="6"/>
  <c r="J125" i="6"/>
  <c r="AB125" i="6"/>
  <c r="F126" i="6"/>
  <c r="J126" i="6"/>
  <c r="AB126" i="6"/>
  <c r="F127" i="6"/>
  <c r="J127" i="6"/>
  <c r="AB127" i="6"/>
  <c r="F128" i="6"/>
  <c r="J128" i="6"/>
  <c r="AB128" i="6"/>
  <c r="F129" i="6"/>
  <c r="J129" i="6"/>
  <c r="AB129" i="6"/>
  <c r="F130" i="6"/>
  <c r="J130" i="6"/>
  <c r="AB130" i="6"/>
  <c r="F131" i="6"/>
  <c r="J131" i="6"/>
  <c r="AB131" i="6"/>
  <c r="F132" i="6"/>
  <c r="I132" i="6"/>
  <c r="J132" i="6"/>
  <c r="AB132" i="6"/>
  <c r="F133" i="6"/>
  <c r="J133" i="6"/>
  <c r="AB133" i="6"/>
  <c r="AB134" i="6"/>
  <c r="AB135" i="6"/>
  <c r="F136" i="6"/>
  <c r="J136" i="6"/>
  <c r="AB136" i="6"/>
  <c r="F137" i="6"/>
  <c r="J137" i="6"/>
  <c r="AB137" i="6"/>
  <c r="AB138" i="6"/>
  <c r="AB139" i="6"/>
  <c r="AB140" i="6"/>
  <c r="F141" i="6"/>
  <c r="J141" i="6"/>
  <c r="AB141" i="6"/>
  <c r="F142" i="6"/>
  <c r="J142" i="6"/>
  <c r="AB142" i="6"/>
  <c r="F143" i="6"/>
  <c r="J143" i="6"/>
  <c r="AB143" i="6"/>
  <c r="AB144" i="6"/>
  <c r="AB145" i="6"/>
  <c r="AB146" i="6"/>
  <c r="AB147" i="6"/>
  <c r="F148" i="6"/>
  <c r="J148" i="6"/>
  <c r="AB148" i="6"/>
  <c r="AB149" i="6"/>
  <c r="AB150" i="6"/>
  <c r="F151" i="6"/>
  <c r="J151" i="6"/>
  <c r="AB151" i="6"/>
  <c r="F152" i="6"/>
  <c r="J152" i="6"/>
  <c r="AB152" i="6"/>
  <c r="AB153" i="6"/>
  <c r="AB154" i="6"/>
  <c r="AB155" i="6"/>
  <c r="AB156" i="6"/>
  <c r="AB157" i="6"/>
  <c r="F158" i="6"/>
  <c r="J158" i="6"/>
  <c r="AB158" i="6"/>
  <c r="AB159" i="6"/>
  <c r="F160" i="6"/>
  <c r="J160" i="6"/>
  <c r="AB160" i="6"/>
  <c r="F161" i="6"/>
  <c r="J161" i="6"/>
  <c r="AB161" i="6"/>
  <c r="F162" i="6"/>
  <c r="J162" i="6"/>
  <c r="AB162" i="6"/>
  <c r="F163" i="6"/>
  <c r="J163" i="6"/>
  <c r="AB163" i="6"/>
  <c r="F164" i="6"/>
  <c r="J164" i="6"/>
  <c r="AB164" i="6"/>
  <c r="F165" i="6"/>
  <c r="J165" i="6"/>
  <c r="AB165" i="6"/>
  <c r="F166" i="6"/>
  <c r="J166" i="6"/>
  <c r="AB166" i="6"/>
  <c r="AB167" i="6"/>
  <c r="F168" i="6"/>
  <c r="J168" i="6"/>
  <c r="AB168" i="6"/>
  <c r="AB169" i="6"/>
  <c r="AB170" i="6"/>
  <c r="F171" i="6"/>
  <c r="J171" i="6"/>
  <c r="AB171" i="6"/>
  <c r="AB172" i="6"/>
  <c r="AB173" i="6"/>
  <c r="F174" i="6"/>
  <c r="J174" i="6"/>
  <c r="AB174" i="6"/>
  <c r="AB175" i="6"/>
  <c r="F176" i="6"/>
  <c r="J176" i="6"/>
  <c r="AB176" i="6"/>
  <c r="F177" i="6"/>
  <c r="J177" i="6"/>
  <c r="AB177" i="6"/>
  <c r="F178" i="6"/>
  <c r="J178" i="6"/>
  <c r="AB178" i="6"/>
  <c r="F179" i="6"/>
  <c r="J179" i="6"/>
  <c r="AB179" i="6"/>
  <c r="F180" i="6"/>
  <c r="J180" i="6"/>
  <c r="AB180" i="6"/>
  <c r="AB181" i="6"/>
  <c r="AB182" i="6"/>
  <c r="AB183" i="6"/>
  <c r="AB184" i="6"/>
  <c r="F185" i="6"/>
  <c r="J185" i="6"/>
  <c r="AB185" i="6"/>
  <c r="F186" i="6"/>
  <c r="J186" i="6"/>
  <c r="AB186" i="6"/>
  <c r="F187" i="6"/>
  <c r="J187" i="6"/>
  <c r="AB187" i="6"/>
  <c r="AB188" i="6"/>
  <c r="AB189" i="6"/>
  <c r="AB190" i="6"/>
  <c r="AB191" i="6"/>
  <c r="AB192" i="6"/>
  <c r="AB193" i="6"/>
  <c r="AB194" i="6"/>
  <c r="AB195" i="6"/>
  <c r="AB196" i="6"/>
  <c r="F197" i="6"/>
  <c r="J197" i="6"/>
  <c r="AB197" i="6"/>
  <c r="F198" i="6"/>
  <c r="J198" i="6"/>
  <c r="AB198" i="6"/>
  <c r="F199" i="6"/>
  <c r="J199" i="6"/>
  <c r="AB199" i="6"/>
  <c r="AB200" i="6"/>
  <c r="F201" i="6"/>
  <c r="J201" i="6"/>
  <c r="AB201" i="6"/>
  <c r="F202" i="6"/>
  <c r="J202" i="6"/>
  <c r="AB202" i="6"/>
  <c r="AB203" i="6"/>
  <c r="AB204" i="6"/>
  <c r="Q212" i="5"/>
  <c r="T212" i="5"/>
  <c r="F205" i="6"/>
  <c r="J205" i="6"/>
  <c r="AB205" i="6"/>
  <c r="F206" i="6"/>
  <c r="J206" i="6"/>
  <c r="AB206" i="6"/>
  <c r="AB207" i="6"/>
  <c r="AB208" i="6"/>
  <c r="AB209" i="6"/>
  <c r="AB210" i="6"/>
  <c r="F211" i="6"/>
  <c r="J211" i="6"/>
  <c r="AB211" i="6"/>
  <c r="AB212" i="6"/>
  <c r="F213" i="6"/>
  <c r="J213" i="6"/>
  <c r="AB213" i="6"/>
  <c r="F214" i="6"/>
  <c r="J214" i="6"/>
  <c r="AB214" i="6"/>
  <c r="F215" i="6"/>
  <c r="J215" i="6"/>
  <c r="AB215" i="6"/>
  <c r="AB216" i="6"/>
  <c r="AB217" i="6"/>
  <c r="F218" i="6"/>
  <c r="J218" i="6"/>
  <c r="AB218" i="6"/>
  <c r="AB219" i="6"/>
  <c r="AB223" i="6"/>
  <c r="F16" i="6"/>
  <c r="J16" i="6"/>
  <c r="AC16" i="6"/>
  <c r="AC17" i="6"/>
  <c r="F18" i="6"/>
  <c r="J18" i="6"/>
  <c r="AC18" i="6"/>
  <c r="F19" i="6"/>
  <c r="J19" i="6"/>
  <c r="AC19" i="6"/>
  <c r="E20" i="6"/>
  <c r="F20" i="6"/>
  <c r="J20" i="6"/>
  <c r="AC20" i="6"/>
  <c r="AC21" i="6"/>
  <c r="AC22" i="6"/>
  <c r="AC23" i="6"/>
  <c r="F24" i="6"/>
  <c r="J24" i="6"/>
  <c r="AC24" i="6"/>
  <c r="AC25" i="6"/>
  <c r="AC26" i="6"/>
  <c r="AC27" i="6"/>
  <c r="F28" i="6"/>
  <c r="J28" i="6"/>
  <c r="AC28" i="6"/>
  <c r="AC29" i="6"/>
  <c r="AC30" i="6"/>
  <c r="AC31" i="6"/>
  <c r="AC32" i="6"/>
  <c r="AC33" i="6"/>
  <c r="AC34" i="6"/>
  <c r="AC35" i="6"/>
  <c r="AC36" i="6"/>
  <c r="AC37" i="6"/>
  <c r="AC38" i="6"/>
  <c r="AC39" i="6"/>
  <c r="AC40" i="6"/>
  <c r="AC42" i="6"/>
  <c r="F43" i="6"/>
  <c r="J43" i="6"/>
  <c r="AC43" i="6"/>
  <c r="AC44" i="6"/>
  <c r="AC45" i="6"/>
  <c r="F46" i="6"/>
  <c r="J46" i="6"/>
  <c r="AC46" i="6"/>
  <c r="AC47" i="6"/>
  <c r="AC48" i="6"/>
  <c r="AC49" i="6"/>
  <c r="F50" i="6"/>
  <c r="J50" i="6"/>
  <c r="AC50" i="6"/>
  <c r="F51" i="6"/>
  <c r="J51" i="6"/>
  <c r="AC51" i="6"/>
  <c r="F52" i="6"/>
  <c r="J52" i="6"/>
  <c r="AC52" i="6"/>
  <c r="F53" i="6"/>
  <c r="J53" i="6"/>
  <c r="AC53" i="6"/>
  <c r="F54" i="6"/>
  <c r="J54" i="6"/>
  <c r="AC54" i="6"/>
  <c r="AC55" i="6"/>
  <c r="F56" i="6"/>
  <c r="J56" i="6"/>
  <c r="AC56" i="6"/>
  <c r="F57" i="6"/>
  <c r="J57" i="6"/>
  <c r="AC57" i="6"/>
  <c r="AC58" i="6"/>
  <c r="AC59" i="6"/>
  <c r="AC60" i="6"/>
  <c r="AC61" i="6"/>
  <c r="AC62" i="6"/>
  <c r="AC63" i="6"/>
  <c r="AC64" i="6"/>
  <c r="AC65" i="6"/>
  <c r="AC66" i="6"/>
  <c r="AC67" i="6"/>
  <c r="AC68" i="6"/>
  <c r="AC69" i="6"/>
  <c r="F70" i="6"/>
  <c r="J70" i="6"/>
  <c r="AC70" i="6"/>
  <c r="AC71" i="6"/>
  <c r="AC72" i="6"/>
  <c r="F73" i="6"/>
  <c r="J73" i="6"/>
  <c r="AC73" i="6"/>
  <c r="F74" i="6"/>
  <c r="J74" i="6"/>
  <c r="AC74" i="6"/>
  <c r="AC75" i="6"/>
  <c r="F76" i="6"/>
  <c r="J76" i="6"/>
  <c r="AC76" i="6"/>
  <c r="F77" i="6"/>
  <c r="J77" i="6"/>
  <c r="AC77" i="6"/>
  <c r="F78" i="6"/>
  <c r="J78" i="6"/>
  <c r="AC78" i="6"/>
  <c r="AC79" i="6"/>
  <c r="AC80" i="6"/>
  <c r="AC81" i="6"/>
  <c r="AC82" i="6"/>
  <c r="AC83" i="6"/>
  <c r="AC84" i="6"/>
  <c r="AC85" i="6"/>
  <c r="AC86" i="6"/>
  <c r="F87" i="6"/>
  <c r="J87" i="6"/>
  <c r="AC87" i="6"/>
  <c r="F88" i="6"/>
  <c r="J88" i="6"/>
  <c r="AC88" i="6"/>
  <c r="AC89" i="6"/>
  <c r="F90" i="6"/>
  <c r="J90" i="6"/>
  <c r="AC90" i="6"/>
  <c r="F91" i="6"/>
  <c r="J91" i="6"/>
  <c r="AC91" i="6"/>
  <c r="F92" i="6"/>
  <c r="J92" i="6"/>
  <c r="AC92" i="6"/>
  <c r="AC93" i="6"/>
  <c r="AC94" i="6"/>
  <c r="AC95" i="6"/>
  <c r="AC96" i="6"/>
  <c r="AC97" i="6"/>
  <c r="AC98" i="6"/>
  <c r="AC99" i="6"/>
  <c r="AC100" i="6"/>
  <c r="AC101" i="6"/>
  <c r="AC102" i="6"/>
  <c r="AC103" i="6"/>
  <c r="AC104" i="6"/>
  <c r="AC105" i="6"/>
  <c r="AC106" i="6"/>
  <c r="AC107" i="6"/>
  <c r="AC108" i="6"/>
  <c r="AC109" i="6"/>
  <c r="AC110" i="6"/>
  <c r="AC111" i="6"/>
  <c r="AC112" i="6"/>
  <c r="F113" i="6"/>
  <c r="J113" i="6"/>
  <c r="AC113" i="6"/>
  <c r="F114" i="6"/>
  <c r="J114" i="6"/>
  <c r="AC114" i="6"/>
  <c r="AC115" i="6"/>
  <c r="AC116" i="6"/>
  <c r="F117" i="6"/>
  <c r="J117" i="6"/>
  <c r="AC117" i="6"/>
  <c r="AC118" i="6"/>
  <c r="AC119" i="6"/>
  <c r="F120" i="6"/>
  <c r="J120" i="6"/>
  <c r="AC120" i="6"/>
  <c r="F121" i="6"/>
  <c r="J121" i="6"/>
  <c r="AC121" i="6"/>
  <c r="AC122" i="6"/>
  <c r="F123" i="6"/>
  <c r="J123" i="6"/>
  <c r="AC123" i="6"/>
  <c r="AC124" i="6"/>
  <c r="AC125" i="6"/>
  <c r="AC126" i="6"/>
  <c r="AC127" i="6"/>
  <c r="AC128" i="6"/>
  <c r="AC129" i="6"/>
  <c r="AC130" i="6"/>
  <c r="AC131" i="6"/>
  <c r="AC132" i="6"/>
  <c r="AC133" i="6"/>
  <c r="F134" i="6"/>
  <c r="J134" i="6"/>
  <c r="AC134" i="6"/>
  <c r="F135" i="6"/>
  <c r="J135" i="6"/>
  <c r="AC135" i="6"/>
  <c r="AC136" i="6"/>
  <c r="AC137" i="6"/>
  <c r="AC138" i="6"/>
  <c r="F139" i="6"/>
  <c r="J139" i="6"/>
  <c r="AC139" i="6"/>
  <c r="F140" i="6"/>
  <c r="J140" i="6"/>
  <c r="AC140" i="6"/>
  <c r="AC141" i="6"/>
  <c r="AC142" i="6"/>
  <c r="AC143" i="6"/>
  <c r="AC144" i="6"/>
  <c r="F145" i="6"/>
  <c r="J145" i="6"/>
  <c r="AC145" i="6"/>
  <c r="F146" i="6"/>
  <c r="J146" i="6"/>
  <c r="AC146" i="6"/>
  <c r="AC147" i="6"/>
  <c r="AC148" i="6"/>
  <c r="F149" i="6"/>
  <c r="J149" i="6"/>
  <c r="AC149" i="6"/>
  <c r="F150" i="6"/>
  <c r="J150" i="6"/>
  <c r="AC150" i="6"/>
  <c r="AC151" i="6"/>
  <c r="AC152" i="6"/>
  <c r="F153" i="6"/>
  <c r="J153" i="6"/>
  <c r="AC153" i="6"/>
  <c r="F154" i="6"/>
  <c r="J154" i="6"/>
  <c r="AC154" i="6"/>
  <c r="F155" i="6"/>
  <c r="J155" i="6"/>
  <c r="AC155" i="6"/>
  <c r="F156" i="6"/>
  <c r="J156" i="6"/>
  <c r="AC156" i="6"/>
  <c r="F157" i="6"/>
  <c r="J157" i="6"/>
  <c r="AC157" i="6"/>
  <c r="AC158" i="6"/>
  <c r="F159" i="6"/>
  <c r="J159" i="6"/>
  <c r="AC159" i="6"/>
  <c r="AC160" i="6"/>
  <c r="AC161" i="6"/>
  <c r="AC162" i="6"/>
  <c r="AC163" i="6"/>
  <c r="AC164" i="6"/>
  <c r="AC165" i="6"/>
  <c r="AC166" i="6"/>
  <c r="F167" i="6"/>
  <c r="J167" i="6"/>
  <c r="AC167" i="6"/>
  <c r="AC168" i="6"/>
  <c r="F169" i="6"/>
  <c r="J169" i="6"/>
  <c r="AC169" i="6"/>
  <c r="F170" i="6"/>
  <c r="J170" i="6"/>
  <c r="AC170" i="6"/>
  <c r="AC171" i="6"/>
  <c r="F172" i="6"/>
  <c r="J172" i="6"/>
  <c r="AC172" i="6"/>
  <c r="AC173" i="6"/>
  <c r="AC174" i="6"/>
  <c r="F175" i="6"/>
  <c r="J175" i="6"/>
  <c r="AC175" i="6"/>
  <c r="AC176" i="6"/>
  <c r="AC177" i="6"/>
  <c r="AC178" i="6"/>
  <c r="AC179" i="6"/>
  <c r="AC180" i="6"/>
  <c r="F181" i="6"/>
  <c r="J181" i="6"/>
  <c r="AC181" i="6"/>
  <c r="F182" i="6"/>
  <c r="J182" i="6"/>
  <c r="AC182" i="6"/>
  <c r="F183" i="6"/>
  <c r="J183" i="6"/>
  <c r="AC183" i="6"/>
  <c r="F184" i="6"/>
  <c r="J184" i="6"/>
  <c r="AC184" i="6"/>
  <c r="AC185" i="6"/>
  <c r="AC186" i="6"/>
  <c r="AC187" i="6"/>
  <c r="F188" i="6"/>
  <c r="J188" i="6"/>
  <c r="AC188" i="6"/>
  <c r="F189" i="6"/>
  <c r="J189" i="6"/>
  <c r="AC189" i="6"/>
  <c r="F190" i="6"/>
  <c r="J190" i="6"/>
  <c r="AC190" i="6"/>
  <c r="F191" i="6"/>
  <c r="J191" i="6"/>
  <c r="AC191" i="6"/>
  <c r="F192" i="6"/>
  <c r="J192" i="6"/>
  <c r="AC192" i="6"/>
  <c r="F193" i="6"/>
  <c r="J193" i="6"/>
  <c r="AC193" i="6"/>
  <c r="AC194" i="6"/>
  <c r="F195" i="6"/>
  <c r="J195" i="6"/>
  <c r="AC195" i="6"/>
  <c r="AC196" i="6"/>
  <c r="AC197" i="6"/>
  <c r="AC198" i="6"/>
  <c r="AC199" i="6"/>
  <c r="AC200" i="6"/>
  <c r="AC201" i="6"/>
  <c r="AC202" i="6"/>
  <c r="Q210" i="5"/>
  <c r="T210" i="5"/>
  <c r="F203" i="6"/>
  <c r="J203" i="6"/>
  <c r="AC203" i="6"/>
  <c r="AC204" i="6"/>
  <c r="AC205" i="6"/>
  <c r="AC206" i="6"/>
  <c r="F207" i="6"/>
  <c r="J207" i="6"/>
  <c r="AC207" i="6"/>
  <c r="F208" i="6"/>
  <c r="J208" i="6"/>
  <c r="AC208" i="6"/>
  <c r="F209" i="6"/>
  <c r="J209" i="6"/>
  <c r="AC209" i="6"/>
  <c r="F210" i="6"/>
  <c r="J210" i="6"/>
  <c r="AC210" i="6"/>
  <c r="AC211" i="6"/>
  <c r="F212" i="6"/>
  <c r="J212" i="6"/>
  <c r="AC212" i="6"/>
  <c r="AC213" i="6"/>
  <c r="AC214" i="6"/>
  <c r="AC215" i="6"/>
  <c r="AC216" i="6"/>
  <c r="AC217" i="6"/>
  <c r="AC218" i="6"/>
  <c r="AC219" i="6"/>
  <c r="AC223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D39" i="6"/>
  <c r="F40" i="6"/>
  <c r="J40" i="6"/>
  <c r="AD40" i="6"/>
  <c r="AD42" i="6"/>
  <c r="AD43" i="6"/>
  <c r="AD44" i="6"/>
  <c r="AD45" i="6"/>
  <c r="AD46" i="6"/>
  <c r="AD47" i="6"/>
  <c r="AD48" i="6"/>
  <c r="AD49" i="6"/>
  <c r="AD50" i="6"/>
  <c r="AD51" i="6"/>
  <c r="AD52" i="6"/>
  <c r="AD53" i="6"/>
  <c r="AD54" i="6"/>
  <c r="F55" i="6"/>
  <c r="J55" i="6"/>
  <c r="AD55" i="6"/>
  <c r="AD56" i="6"/>
  <c r="AD57" i="6"/>
  <c r="F58" i="6"/>
  <c r="J58" i="6"/>
  <c r="AD58" i="6"/>
  <c r="AD59" i="6"/>
  <c r="AD60" i="6"/>
  <c r="AD61" i="6"/>
  <c r="AD62" i="6"/>
  <c r="AD63" i="6"/>
  <c r="AD64" i="6"/>
  <c r="AD65" i="6"/>
  <c r="AD66" i="6"/>
  <c r="AD67" i="6"/>
  <c r="AD68" i="6"/>
  <c r="AD69" i="6"/>
  <c r="AD70" i="6"/>
  <c r="AD71" i="6"/>
  <c r="AD72" i="6"/>
  <c r="AD73" i="6"/>
  <c r="AD74" i="6"/>
  <c r="AD75" i="6"/>
  <c r="AD76" i="6"/>
  <c r="AD77" i="6"/>
  <c r="AD78" i="6"/>
  <c r="AD79" i="6"/>
  <c r="AD80" i="6"/>
  <c r="AD81" i="6"/>
  <c r="AD82" i="6"/>
  <c r="AD83" i="6"/>
  <c r="AD84" i="6"/>
  <c r="F85" i="6"/>
  <c r="J85" i="6"/>
  <c r="AD85" i="6"/>
  <c r="F86" i="6"/>
  <c r="J86" i="6"/>
  <c r="AD86" i="6"/>
  <c r="AD87" i="6"/>
  <c r="AD88" i="6"/>
  <c r="AD89" i="6"/>
  <c r="AD90" i="6"/>
  <c r="AD91" i="6"/>
  <c r="AD92" i="6"/>
  <c r="AD93" i="6"/>
  <c r="AD94" i="6"/>
  <c r="AD95" i="6"/>
  <c r="AD96" i="6"/>
  <c r="AD97" i="6"/>
  <c r="AD98" i="6"/>
  <c r="AD99" i="6"/>
  <c r="AD100" i="6"/>
  <c r="AD101" i="6"/>
  <c r="AD102" i="6"/>
  <c r="AD103" i="6"/>
  <c r="AD104" i="6"/>
  <c r="AD105" i="6"/>
  <c r="AD106" i="6"/>
  <c r="AD107" i="6"/>
  <c r="AD108" i="6"/>
  <c r="AD109" i="6"/>
  <c r="AD110" i="6"/>
  <c r="AD111" i="6"/>
  <c r="AD112" i="6"/>
  <c r="AD113" i="6"/>
  <c r="AD114" i="6"/>
  <c r="AD115" i="6"/>
  <c r="AD116" i="6"/>
  <c r="AD117" i="6"/>
  <c r="AD118" i="6"/>
  <c r="F119" i="6"/>
  <c r="J119" i="6"/>
  <c r="AD119" i="6"/>
  <c r="AD120" i="6"/>
  <c r="AD121" i="6"/>
  <c r="AD122" i="6"/>
  <c r="AD123" i="6"/>
  <c r="AD124" i="6"/>
  <c r="AD125" i="6"/>
  <c r="AD126" i="6"/>
  <c r="AD127" i="6"/>
  <c r="AD128" i="6"/>
  <c r="AD129" i="6"/>
  <c r="AD130" i="6"/>
  <c r="AD131" i="6"/>
  <c r="AD132" i="6"/>
  <c r="AD133" i="6"/>
  <c r="AD134" i="6"/>
  <c r="AD135" i="6"/>
  <c r="AD136" i="6"/>
  <c r="AD137" i="6"/>
  <c r="F138" i="6"/>
  <c r="J138" i="6"/>
  <c r="AD138" i="6"/>
  <c r="AD139" i="6"/>
  <c r="AD140" i="6"/>
  <c r="AD141" i="6"/>
  <c r="AD142" i="6"/>
  <c r="AD143" i="6"/>
  <c r="F144" i="6"/>
  <c r="J144" i="6"/>
  <c r="AD144" i="6"/>
  <c r="AD145" i="6"/>
  <c r="AD146" i="6"/>
  <c r="F147" i="6"/>
  <c r="J147" i="6"/>
  <c r="AD147" i="6"/>
  <c r="AD148" i="6"/>
  <c r="AD149" i="6"/>
  <c r="AD150" i="6"/>
  <c r="AD151" i="6"/>
  <c r="AD152" i="6"/>
  <c r="AD153" i="6"/>
  <c r="AD154" i="6"/>
  <c r="AD155" i="6"/>
  <c r="AD156" i="6"/>
  <c r="AD157" i="6"/>
  <c r="AD158" i="6"/>
  <c r="AD159" i="6"/>
  <c r="AD160" i="6"/>
  <c r="AD161" i="6"/>
  <c r="AD162" i="6"/>
  <c r="AD163" i="6"/>
  <c r="AD164" i="6"/>
  <c r="AD165" i="6"/>
  <c r="AD166" i="6"/>
  <c r="AD167" i="6"/>
  <c r="AD168" i="6"/>
  <c r="AD169" i="6"/>
  <c r="AD170" i="6"/>
  <c r="AD171" i="6"/>
  <c r="AD172" i="6"/>
  <c r="F173" i="6"/>
  <c r="J173" i="6"/>
  <c r="AD173" i="6"/>
  <c r="AD174" i="6"/>
  <c r="AD175" i="6"/>
  <c r="AD176" i="6"/>
  <c r="AD177" i="6"/>
  <c r="AD178" i="6"/>
  <c r="AD179" i="6"/>
  <c r="AD180" i="6"/>
  <c r="AD181" i="6"/>
  <c r="AD182" i="6"/>
  <c r="AD183" i="6"/>
  <c r="AD184" i="6"/>
  <c r="AD185" i="6"/>
  <c r="AD186" i="6"/>
  <c r="AD187" i="6"/>
  <c r="AD188" i="6"/>
  <c r="AD189" i="6"/>
  <c r="AD190" i="6"/>
  <c r="AD191" i="6"/>
  <c r="AD192" i="6"/>
  <c r="AD193" i="6"/>
  <c r="F194" i="6"/>
  <c r="J194" i="6"/>
  <c r="AD194" i="6"/>
  <c r="AD195" i="6"/>
  <c r="F196" i="6"/>
  <c r="J196" i="6"/>
  <c r="AD196" i="6"/>
  <c r="AD197" i="6"/>
  <c r="AD198" i="6"/>
  <c r="AD199" i="6"/>
  <c r="F200" i="6"/>
  <c r="J200" i="6"/>
  <c r="AD200" i="6"/>
  <c r="AD201" i="6"/>
  <c r="AD202" i="6"/>
  <c r="AD203" i="6"/>
  <c r="Q211" i="5"/>
  <c r="T211" i="5"/>
  <c r="F204" i="6"/>
  <c r="J204" i="6"/>
  <c r="AD204" i="6"/>
  <c r="AD205" i="6"/>
  <c r="AD206" i="6"/>
  <c r="AD207" i="6"/>
  <c r="AD208" i="6"/>
  <c r="AD209" i="6"/>
  <c r="AD210" i="6"/>
  <c r="AD211" i="6"/>
  <c r="AD212" i="6"/>
  <c r="AD213" i="6"/>
  <c r="AD214" i="6"/>
  <c r="AD215" i="6"/>
  <c r="F216" i="6"/>
  <c r="J216" i="6"/>
  <c r="AD216" i="6"/>
  <c r="F217" i="6"/>
  <c r="J217" i="6"/>
  <c r="AD217" i="6"/>
  <c r="AD218" i="6"/>
  <c r="AD219" i="6"/>
  <c r="AD221" i="6"/>
  <c r="AD222" i="6"/>
  <c r="AD223" i="6"/>
  <c r="AF16" i="6"/>
  <c r="AF17" i="6"/>
  <c r="AF18" i="6"/>
  <c r="AF19" i="6"/>
  <c r="AF20" i="6"/>
  <c r="AF21" i="6"/>
  <c r="AF22" i="6"/>
  <c r="AF23" i="6"/>
  <c r="AF24" i="6"/>
  <c r="AF25" i="6"/>
  <c r="AF26" i="6"/>
  <c r="AF27" i="6"/>
  <c r="AF28" i="6"/>
  <c r="AF29" i="6"/>
  <c r="AF30" i="6"/>
  <c r="AF31" i="6"/>
  <c r="AF32" i="6"/>
  <c r="AF33" i="6"/>
  <c r="AF34" i="6"/>
  <c r="AF35" i="6"/>
  <c r="AF36" i="6"/>
  <c r="AF37" i="6"/>
  <c r="AF38" i="6"/>
  <c r="AF39" i="6"/>
  <c r="AF40" i="6"/>
  <c r="AF42" i="6"/>
  <c r="AF43" i="6"/>
  <c r="AF44" i="6"/>
  <c r="AF45" i="6"/>
  <c r="AF46" i="6"/>
  <c r="AF47" i="6"/>
  <c r="AF48" i="6"/>
  <c r="AF49" i="6"/>
  <c r="AF50" i="6"/>
  <c r="AF51" i="6"/>
  <c r="AF52" i="6"/>
  <c r="AF53" i="6"/>
  <c r="AF54" i="6"/>
  <c r="AF55" i="6"/>
  <c r="AF56" i="6"/>
  <c r="AF57" i="6"/>
  <c r="AF58" i="6"/>
  <c r="AF59" i="6"/>
  <c r="AF60" i="6"/>
  <c r="AF61" i="6"/>
  <c r="AF62" i="6"/>
  <c r="AF63" i="6"/>
  <c r="AF64" i="6"/>
  <c r="AF65" i="6"/>
  <c r="AF66" i="6"/>
  <c r="AF67" i="6"/>
  <c r="AF68" i="6"/>
  <c r="AF69" i="6"/>
  <c r="AF70" i="6"/>
  <c r="AF71" i="6"/>
  <c r="AF72" i="6"/>
  <c r="AF73" i="6"/>
  <c r="AF74" i="6"/>
  <c r="AF75" i="6"/>
  <c r="AF76" i="6"/>
  <c r="AF77" i="6"/>
  <c r="AF78" i="6"/>
  <c r="AF79" i="6"/>
  <c r="AF80" i="6"/>
  <c r="AF81" i="6"/>
  <c r="AF82" i="6"/>
  <c r="AF83" i="6"/>
  <c r="AF84" i="6"/>
  <c r="AF85" i="6"/>
  <c r="AF86" i="6"/>
  <c r="AF87" i="6"/>
  <c r="AF88" i="6"/>
  <c r="AF89" i="6"/>
  <c r="AF90" i="6"/>
  <c r="AF91" i="6"/>
  <c r="AF92" i="6"/>
  <c r="AF93" i="6"/>
  <c r="AF94" i="6"/>
  <c r="AF95" i="6"/>
  <c r="AF96" i="6"/>
  <c r="AF97" i="6"/>
  <c r="AF98" i="6"/>
  <c r="AF99" i="6"/>
  <c r="AF100" i="6"/>
  <c r="AF101" i="6"/>
  <c r="AF102" i="6"/>
  <c r="AF103" i="6"/>
  <c r="AF104" i="6"/>
  <c r="AF105" i="6"/>
  <c r="AF106" i="6"/>
  <c r="AF107" i="6"/>
  <c r="AF108" i="6"/>
  <c r="AF109" i="6"/>
  <c r="AF110" i="6"/>
  <c r="AF111" i="6"/>
  <c r="AF112" i="6"/>
  <c r="AF113" i="6"/>
  <c r="AF114" i="6"/>
  <c r="AF115" i="6"/>
  <c r="AF116" i="6"/>
  <c r="AF117" i="6"/>
  <c r="AF118" i="6"/>
  <c r="AF119" i="6"/>
  <c r="AF120" i="6"/>
  <c r="AF121" i="6"/>
  <c r="AF122" i="6"/>
  <c r="AF123" i="6"/>
  <c r="AF124" i="6"/>
  <c r="AF125" i="6"/>
  <c r="AF126" i="6"/>
  <c r="AF127" i="6"/>
  <c r="AF128" i="6"/>
  <c r="AF129" i="6"/>
  <c r="AF130" i="6"/>
  <c r="AF131" i="6"/>
  <c r="AF132" i="6"/>
  <c r="AF133" i="6"/>
  <c r="AF134" i="6"/>
  <c r="AF135" i="6"/>
  <c r="AF136" i="6"/>
  <c r="AF137" i="6"/>
  <c r="AF138" i="6"/>
  <c r="AF139" i="6"/>
  <c r="AF140" i="6"/>
  <c r="AF141" i="6"/>
  <c r="AF142" i="6"/>
  <c r="AF143" i="6"/>
  <c r="AF144" i="6"/>
  <c r="AF145" i="6"/>
  <c r="AF146" i="6"/>
  <c r="AF147" i="6"/>
  <c r="AF148" i="6"/>
  <c r="AF149" i="6"/>
  <c r="AF150" i="6"/>
  <c r="AF151" i="6"/>
  <c r="AF152" i="6"/>
  <c r="AF153" i="6"/>
  <c r="AF154" i="6"/>
  <c r="AF155" i="6"/>
  <c r="AF156" i="6"/>
  <c r="AF157" i="6"/>
  <c r="AF158" i="6"/>
  <c r="AF159" i="6"/>
  <c r="AF160" i="6"/>
  <c r="AF161" i="6"/>
  <c r="AF162" i="6"/>
  <c r="AF163" i="6"/>
  <c r="AF164" i="6"/>
  <c r="AF165" i="6"/>
  <c r="AF166" i="6"/>
  <c r="AF167" i="6"/>
  <c r="AF168" i="6"/>
  <c r="AF169" i="6"/>
  <c r="AF170" i="6"/>
  <c r="AF171" i="6"/>
  <c r="AF172" i="6"/>
  <c r="AF173" i="6"/>
  <c r="AF174" i="6"/>
  <c r="AF175" i="6"/>
  <c r="AF176" i="6"/>
  <c r="AF177" i="6"/>
  <c r="AF178" i="6"/>
  <c r="AF179" i="6"/>
  <c r="AF180" i="6"/>
  <c r="AF181" i="6"/>
  <c r="AF182" i="6"/>
  <c r="AF183" i="6"/>
  <c r="AF184" i="6"/>
  <c r="AF185" i="6"/>
  <c r="AF186" i="6"/>
  <c r="AF187" i="6"/>
  <c r="AF188" i="6"/>
  <c r="AF189" i="6"/>
  <c r="AF190" i="6"/>
  <c r="AF191" i="6"/>
  <c r="AF192" i="6"/>
  <c r="AF193" i="6"/>
  <c r="AF194" i="6"/>
  <c r="AF195" i="6"/>
  <c r="AF196" i="6"/>
  <c r="AF197" i="6"/>
  <c r="AF198" i="6"/>
  <c r="AF199" i="6"/>
  <c r="AF200" i="6"/>
  <c r="AF201" i="6"/>
  <c r="AF202" i="6"/>
  <c r="AF203" i="6"/>
  <c r="AF204" i="6"/>
  <c r="AF205" i="6"/>
  <c r="AF206" i="6"/>
  <c r="AF207" i="6"/>
  <c r="AF208" i="6"/>
  <c r="AF209" i="6"/>
  <c r="AF210" i="6"/>
  <c r="AF211" i="6"/>
  <c r="AF212" i="6"/>
  <c r="AF213" i="6"/>
  <c r="AF214" i="6"/>
  <c r="AF215" i="6"/>
  <c r="AF216" i="6"/>
  <c r="AF217" i="6"/>
  <c r="AF218" i="6"/>
  <c r="AF219" i="6"/>
  <c r="AF223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36" i="6"/>
  <c r="AG37" i="6"/>
  <c r="AG38" i="6"/>
  <c r="AG39" i="6"/>
  <c r="AG40" i="6"/>
  <c r="AG42" i="6"/>
  <c r="AG43" i="6"/>
  <c r="AG44" i="6"/>
  <c r="AG45" i="6"/>
  <c r="AG46" i="6"/>
  <c r="AG47" i="6"/>
  <c r="AG48" i="6"/>
  <c r="AG49" i="6"/>
  <c r="AG50" i="6"/>
  <c r="AG51" i="6"/>
  <c r="AG52" i="6"/>
  <c r="AG53" i="6"/>
  <c r="AG54" i="6"/>
  <c r="AG55" i="6"/>
  <c r="AG56" i="6"/>
  <c r="AG57" i="6"/>
  <c r="AG58" i="6"/>
  <c r="AG59" i="6"/>
  <c r="AG60" i="6"/>
  <c r="AG61" i="6"/>
  <c r="AG62" i="6"/>
  <c r="AG63" i="6"/>
  <c r="AG64" i="6"/>
  <c r="AG65" i="6"/>
  <c r="AG66" i="6"/>
  <c r="AG67" i="6"/>
  <c r="AG68" i="6"/>
  <c r="AG69" i="6"/>
  <c r="AG70" i="6"/>
  <c r="AG71" i="6"/>
  <c r="AG72" i="6"/>
  <c r="AG73" i="6"/>
  <c r="AG74" i="6"/>
  <c r="AG75" i="6"/>
  <c r="AG76" i="6"/>
  <c r="AG77" i="6"/>
  <c r="AG78" i="6"/>
  <c r="AG79" i="6"/>
  <c r="AG80" i="6"/>
  <c r="AG81" i="6"/>
  <c r="AG82" i="6"/>
  <c r="AG83" i="6"/>
  <c r="AG84" i="6"/>
  <c r="AG85" i="6"/>
  <c r="AG86" i="6"/>
  <c r="AG87" i="6"/>
  <c r="AG88" i="6"/>
  <c r="AG89" i="6"/>
  <c r="AG90" i="6"/>
  <c r="AG91" i="6"/>
  <c r="AG92" i="6"/>
  <c r="AG93" i="6"/>
  <c r="AG94" i="6"/>
  <c r="AG95" i="6"/>
  <c r="AG96" i="6"/>
  <c r="AG97" i="6"/>
  <c r="AG98" i="6"/>
  <c r="AG99" i="6"/>
  <c r="AG100" i="6"/>
  <c r="AG101" i="6"/>
  <c r="AG102" i="6"/>
  <c r="AG103" i="6"/>
  <c r="AG104" i="6"/>
  <c r="AG105" i="6"/>
  <c r="AG106" i="6"/>
  <c r="AG107" i="6"/>
  <c r="AG108" i="6"/>
  <c r="AG109" i="6"/>
  <c r="AG110" i="6"/>
  <c r="AG111" i="6"/>
  <c r="AG112" i="6"/>
  <c r="AG113" i="6"/>
  <c r="AG114" i="6"/>
  <c r="AG115" i="6"/>
  <c r="AG116" i="6"/>
  <c r="AG117" i="6"/>
  <c r="AG118" i="6"/>
  <c r="AG119" i="6"/>
  <c r="AG120" i="6"/>
  <c r="AG121" i="6"/>
  <c r="AG122" i="6"/>
  <c r="AG123" i="6"/>
  <c r="AG124" i="6"/>
  <c r="AG125" i="6"/>
  <c r="AG126" i="6"/>
  <c r="AG127" i="6"/>
  <c r="AG128" i="6"/>
  <c r="AG129" i="6"/>
  <c r="AG130" i="6"/>
  <c r="AG131" i="6"/>
  <c r="AG132" i="6"/>
  <c r="AG133" i="6"/>
  <c r="AG134" i="6"/>
  <c r="AG135" i="6"/>
  <c r="AG136" i="6"/>
  <c r="AG137" i="6"/>
  <c r="AG138" i="6"/>
  <c r="AG139" i="6"/>
  <c r="AG140" i="6"/>
  <c r="AG141" i="6"/>
  <c r="AG142" i="6"/>
  <c r="AG143" i="6"/>
  <c r="AG144" i="6"/>
  <c r="AG145" i="6"/>
  <c r="AG146" i="6"/>
  <c r="AG147" i="6"/>
  <c r="AG148" i="6"/>
  <c r="AG149" i="6"/>
  <c r="AG150" i="6"/>
  <c r="AG151" i="6"/>
  <c r="AG152" i="6"/>
  <c r="AG153" i="6"/>
  <c r="AG154" i="6"/>
  <c r="AG155" i="6"/>
  <c r="AG156" i="6"/>
  <c r="AG157" i="6"/>
  <c r="AG158" i="6"/>
  <c r="AG159" i="6"/>
  <c r="AG160" i="6"/>
  <c r="AG161" i="6"/>
  <c r="AG162" i="6"/>
  <c r="AG163" i="6"/>
  <c r="AG164" i="6"/>
  <c r="AG165" i="6"/>
  <c r="AG166" i="6"/>
  <c r="AG167" i="6"/>
  <c r="AG168" i="6"/>
  <c r="AG169" i="6"/>
  <c r="AG170" i="6"/>
  <c r="AG171" i="6"/>
  <c r="AG172" i="6"/>
  <c r="AG173" i="6"/>
  <c r="AG174" i="6"/>
  <c r="AG175" i="6"/>
  <c r="AG176" i="6"/>
  <c r="AG177" i="6"/>
  <c r="AG178" i="6"/>
  <c r="AG179" i="6"/>
  <c r="AG180" i="6"/>
  <c r="AG181" i="6"/>
  <c r="AG182" i="6"/>
  <c r="AG183" i="6"/>
  <c r="AG184" i="6"/>
  <c r="AG185" i="6"/>
  <c r="AG186" i="6"/>
  <c r="AG187" i="6"/>
  <c r="AG188" i="6"/>
  <c r="AG189" i="6"/>
  <c r="AG190" i="6"/>
  <c r="AG191" i="6"/>
  <c r="AG192" i="6"/>
  <c r="AG193" i="6"/>
  <c r="AG194" i="6"/>
  <c r="AG195" i="6"/>
  <c r="AG196" i="6"/>
  <c r="AG197" i="6"/>
  <c r="AG198" i="6"/>
  <c r="AG199" i="6"/>
  <c r="AG200" i="6"/>
  <c r="AG201" i="6"/>
  <c r="AG202" i="6"/>
  <c r="AG203" i="6"/>
  <c r="AG204" i="6"/>
  <c r="AG205" i="6"/>
  <c r="AG206" i="6"/>
  <c r="AG207" i="6"/>
  <c r="AG208" i="6"/>
  <c r="AG209" i="6"/>
  <c r="AG210" i="6"/>
  <c r="AG211" i="6"/>
  <c r="AG212" i="6"/>
  <c r="AG213" i="6"/>
  <c r="AG214" i="6"/>
  <c r="AG215" i="6"/>
  <c r="AG216" i="6"/>
  <c r="AG217" i="6"/>
  <c r="AG218" i="6"/>
  <c r="AG219" i="6"/>
  <c r="AG223" i="6"/>
  <c r="AH16" i="6"/>
  <c r="AH17" i="6"/>
  <c r="AH18" i="6"/>
  <c r="AH19" i="6"/>
  <c r="AH20" i="6"/>
  <c r="AH21" i="6"/>
  <c r="AH22" i="6"/>
  <c r="AH23" i="6"/>
  <c r="AH24" i="6"/>
  <c r="AH25" i="6"/>
  <c r="AH26" i="6"/>
  <c r="AH27" i="6"/>
  <c r="AH28" i="6"/>
  <c r="AH29" i="6"/>
  <c r="AH30" i="6"/>
  <c r="AH31" i="6"/>
  <c r="AH32" i="6"/>
  <c r="AH33" i="6"/>
  <c r="AH34" i="6"/>
  <c r="AH35" i="6"/>
  <c r="AH36" i="6"/>
  <c r="AH37" i="6"/>
  <c r="AH38" i="6"/>
  <c r="AH39" i="6"/>
  <c r="AH40" i="6"/>
  <c r="AH42" i="6"/>
  <c r="AH43" i="6"/>
  <c r="AH44" i="6"/>
  <c r="AH45" i="6"/>
  <c r="AH46" i="6"/>
  <c r="AH47" i="6"/>
  <c r="AH48" i="6"/>
  <c r="AH49" i="6"/>
  <c r="AH50" i="6"/>
  <c r="AH51" i="6"/>
  <c r="AH52" i="6"/>
  <c r="AH53" i="6"/>
  <c r="AH54" i="6"/>
  <c r="AH55" i="6"/>
  <c r="AH56" i="6"/>
  <c r="AH57" i="6"/>
  <c r="AH58" i="6"/>
  <c r="AH59" i="6"/>
  <c r="AH60" i="6"/>
  <c r="AH61" i="6"/>
  <c r="AH62" i="6"/>
  <c r="AH63" i="6"/>
  <c r="AH64" i="6"/>
  <c r="AH65" i="6"/>
  <c r="AH66" i="6"/>
  <c r="AH67" i="6"/>
  <c r="AH68" i="6"/>
  <c r="AH69" i="6"/>
  <c r="AH70" i="6"/>
  <c r="AH71" i="6"/>
  <c r="AH72" i="6"/>
  <c r="AH73" i="6"/>
  <c r="AH74" i="6"/>
  <c r="AH75" i="6"/>
  <c r="AH76" i="6"/>
  <c r="AH77" i="6"/>
  <c r="AH78" i="6"/>
  <c r="AH79" i="6"/>
  <c r="AH80" i="6"/>
  <c r="AH81" i="6"/>
  <c r="AH82" i="6"/>
  <c r="AH83" i="6"/>
  <c r="AH84" i="6"/>
  <c r="AH85" i="6"/>
  <c r="AH86" i="6"/>
  <c r="AH87" i="6"/>
  <c r="AH88" i="6"/>
  <c r="AH89" i="6"/>
  <c r="AH90" i="6"/>
  <c r="AH91" i="6"/>
  <c r="AH92" i="6"/>
  <c r="AH93" i="6"/>
  <c r="AH94" i="6"/>
  <c r="AH95" i="6"/>
  <c r="AH96" i="6"/>
  <c r="AH97" i="6"/>
  <c r="AH98" i="6"/>
  <c r="AH99" i="6"/>
  <c r="AH100" i="6"/>
  <c r="AH101" i="6"/>
  <c r="AH102" i="6"/>
  <c r="AH103" i="6"/>
  <c r="AH104" i="6"/>
  <c r="AH105" i="6"/>
  <c r="AH106" i="6"/>
  <c r="AH107" i="6"/>
  <c r="AH108" i="6"/>
  <c r="AH109" i="6"/>
  <c r="AH110" i="6"/>
  <c r="AH111" i="6"/>
  <c r="AH112" i="6"/>
  <c r="AH113" i="6"/>
  <c r="AH114" i="6"/>
  <c r="AH115" i="6"/>
  <c r="AH116" i="6"/>
  <c r="AH117" i="6"/>
  <c r="AH118" i="6"/>
  <c r="AH119" i="6"/>
  <c r="AH120" i="6"/>
  <c r="AH121" i="6"/>
  <c r="AH122" i="6"/>
  <c r="AH123" i="6"/>
  <c r="AH124" i="6"/>
  <c r="AH125" i="6"/>
  <c r="AH126" i="6"/>
  <c r="AH127" i="6"/>
  <c r="AH128" i="6"/>
  <c r="AH129" i="6"/>
  <c r="AH130" i="6"/>
  <c r="AH131" i="6"/>
  <c r="AH132" i="6"/>
  <c r="AH133" i="6"/>
  <c r="AH134" i="6"/>
  <c r="AH135" i="6"/>
  <c r="AH136" i="6"/>
  <c r="AH137" i="6"/>
  <c r="AH138" i="6"/>
  <c r="AH139" i="6"/>
  <c r="AH140" i="6"/>
  <c r="AH141" i="6"/>
  <c r="AH142" i="6"/>
  <c r="AH143" i="6"/>
  <c r="AH144" i="6"/>
  <c r="AH145" i="6"/>
  <c r="AH146" i="6"/>
  <c r="AH147" i="6"/>
  <c r="AH148" i="6"/>
  <c r="AH149" i="6"/>
  <c r="AH150" i="6"/>
  <c r="AH151" i="6"/>
  <c r="AH152" i="6"/>
  <c r="AH153" i="6"/>
  <c r="AH154" i="6"/>
  <c r="AH155" i="6"/>
  <c r="AH156" i="6"/>
  <c r="AH157" i="6"/>
  <c r="AH158" i="6"/>
  <c r="AH159" i="6"/>
  <c r="AH160" i="6"/>
  <c r="AH161" i="6"/>
  <c r="AH162" i="6"/>
  <c r="AH163" i="6"/>
  <c r="AH164" i="6"/>
  <c r="AH165" i="6"/>
  <c r="AH166" i="6"/>
  <c r="AH167" i="6"/>
  <c r="AH168" i="6"/>
  <c r="AH169" i="6"/>
  <c r="AH170" i="6"/>
  <c r="AH171" i="6"/>
  <c r="AH172" i="6"/>
  <c r="AH173" i="6"/>
  <c r="AH174" i="6"/>
  <c r="AH175" i="6"/>
  <c r="AH176" i="6"/>
  <c r="AH177" i="6"/>
  <c r="AH178" i="6"/>
  <c r="AH179" i="6"/>
  <c r="AH180" i="6"/>
  <c r="AH181" i="6"/>
  <c r="AH182" i="6"/>
  <c r="AH183" i="6"/>
  <c r="AH184" i="6"/>
  <c r="AH185" i="6"/>
  <c r="AH186" i="6"/>
  <c r="AH187" i="6"/>
  <c r="AH188" i="6"/>
  <c r="AH189" i="6"/>
  <c r="AH190" i="6"/>
  <c r="AH191" i="6"/>
  <c r="AH192" i="6"/>
  <c r="AH193" i="6"/>
  <c r="AH194" i="6"/>
  <c r="AH195" i="6"/>
  <c r="AH196" i="6"/>
  <c r="AH197" i="6"/>
  <c r="AH198" i="6"/>
  <c r="AH199" i="6"/>
  <c r="AH200" i="6"/>
  <c r="AH201" i="6"/>
  <c r="AH202" i="6"/>
  <c r="AH203" i="6"/>
  <c r="AH204" i="6"/>
  <c r="AH205" i="6"/>
  <c r="AH206" i="6"/>
  <c r="AH207" i="6"/>
  <c r="AH208" i="6"/>
  <c r="AH209" i="6"/>
  <c r="AH210" i="6"/>
  <c r="AH211" i="6"/>
  <c r="AH212" i="6"/>
  <c r="AH213" i="6"/>
  <c r="AH214" i="6"/>
  <c r="AH215" i="6"/>
  <c r="AH216" i="6"/>
  <c r="AH217" i="6"/>
  <c r="AH218" i="6"/>
  <c r="AH219" i="6"/>
  <c r="AH223" i="6"/>
  <c r="J231" i="6"/>
  <c r="AF225" i="6"/>
  <c r="AG225" i="6"/>
  <c r="AH225" i="6"/>
  <c r="AG227" i="6"/>
  <c r="AG229" i="6"/>
  <c r="J219" i="6"/>
  <c r="J223" i="6"/>
  <c r="M219" i="6"/>
  <c r="L219" i="6"/>
  <c r="M220" i="6"/>
  <c r="J227" i="6"/>
  <c r="J229" i="6"/>
  <c r="F219" i="6"/>
  <c r="E219" i="6"/>
  <c r="F220" i="6"/>
  <c r="F226" i="6"/>
  <c r="J224" i="6"/>
  <c r="J225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2" i="6"/>
  <c r="AJ43" i="6"/>
  <c r="AJ44" i="6"/>
  <c r="AJ45" i="6"/>
  <c r="AJ46" i="6"/>
  <c r="AJ47" i="6"/>
  <c r="AJ48" i="6"/>
  <c r="AJ49" i="6"/>
  <c r="AJ50" i="6"/>
  <c r="AJ51" i="6"/>
  <c r="AJ52" i="6"/>
  <c r="AJ53" i="6"/>
  <c r="AJ54" i="6"/>
  <c r="AJ55" i="6"/>
  <c r="AJ56" i="6"/>
  <c r="AJ57" i="6"/>
  <c r="AJ58" i="6"/>
  <c r="AJ59" i="6"/>
  <c r="AJ60" i="6"/>
  <c r="AJ61" i="6"/>
  <c r="AJ62" i="6"/>
  <c r="AJ63" i="6"/>
  <c r="AJ64" i="6"/>
  <c r="AJ65" i="6"/>
  <c r="AJ66" i="6"/>
  <c r="AJ67" i="6"/>
  <c r="AJ68" i="6"/>
  <c r="AJ69" i="6"/>
  <c r="AJ70" i="6"/>
  <c r="AJ71" i="6"/>
  <c r="AJ72" i="6"/>
  <c r="AJ73" i="6"/>
  <c r="AJ74" i="6"/>
  <c r="AJ75" i="6"/>
  <c r="AJ76" i="6"/>
  <c r="AJ77" i="6"/>
  <c r="AJ78" i="6"/>
  <c r="AJ79" i="6"/>
  <c r="AJ80" i="6"/>
  <c r="AJ81" i="6"/>
  <c r="AJ82" i="6"/>
  <c r="AJ83" i="6"/>
  <c r="AJ84" i="6"/>
  <c r="AJ85" i="6"/>
  <c r="AJ86" i="6"/>
  <c r="AJ87" i="6"/>
  <c r="AJ88" i="6"/>
  <c r="AJ89" i="6"/>
  <c r="AJ90" i="6"/>
  <c r="AJ91" i="6"/>
  <c r="AJ92" i="6"/>
  <c r="AJ93" i="6"/>
  <c r="AJ94" i="6"/>
  <c r="AJ95" i="6"/>
  <c r="AJ96" i="6"/>
  <c r="AJ97" i="6"/>
  <c r="AJ98" i="6"/>
  <c r="AJ99" i="6"/>
  <c r="AJ100" i="6"/>
  <c r="AJ101" i="6"/>
  <c r="AJ102" i="6"/>
  <c r="AJ103" i="6"/>
  <c r="AJ104" i="6"/>
  <c r="AJ105" i="6"/>
  <c r="AJ106" i="6"/>
  <c r="AJ107" i="6"/>
  <c r="AJ108" i="6"/>
  <c r="AJ109" i="6"/>
  <c r="AJ110" i="6"/>
  <c r="AJ111" i="6"/>
  <c r="AJ112" i="6"/>
  <c r="AJ113" i="6"/>
  <c r="AJ114" i="6"/>
  <c r="AJ115" i="6"/>
  <c r="AJ116" i="6"/>
  <c r="AJ117" i="6"/>
  <c r="AJ118" i="6"/>
  <c r="AJ119" i="6"/>
  <c r="AJ120" i="6"/>
  <c r="AJ121" i="6"/>
  <c r="AJ122" i="6"/>
  <c r="AJ123" i="6"/>
  <c r="AJ124" i="6"/>
  <c r="AJ125" i="6"/>
  <c r="AJ126" i="6"/>
  <c r="AJ127" i="6"/>
  <c r="AJ128" i="6"/>
  <c r="AJ129" i="6"/>
  <c r="AJ130" i="6"/>
  <c r="AJ131" i="6"/>
  <c r="AJ132" i="6"/>
  <c r="AJ133" i="6"/>
  <c r="AJ134" i="6"/>
  <c r="AJ135" i="6"/>
  <c r="AJ136" i="6"/>
  <c r="AJ137" i="6"/>
  <c r="AJ138" i="6"/>
  <c r="AJ139" i="6"/>
  <c r="AJ140" i="6"/>
  <c r="AJ141" i="6"/>
  <c r="AJ142" i="6"/>
  <c r="AJ143" i="6"/>
  <c r="AJ144" i="6"/>
  <c r="AJ145" i="6"/>
  <c r="AJ146" i="6"/>
  <c r="AJ147" i="6"/>
  <c r="AJ148" i="6"/>
  <c r="AJ149" i="6"/>
  <c r="AJ150" i="6"/>
  <c r="AJ151" i="6"/>
  <c r="AJ152" i="6"/>
  <c r="AJ153" i="6"/>
  <c r="AJ154" i="6"/>
  <c r="AJ155" i="6"/>
  <c r="AJ156" i="6"/>
  <c r="AJ157" i="6"/>
  <c r="AJ158" i="6"/>
  <c r="AJ159" i="6"/>
  <c r="AJ160" i="6"/>
  <c r="AJ161" i="6"/>
  <c r="AJ162" i="6"/>
  <c r="AJ163" i="6"/>
  <c r="AJ164" i="6"/>
  <c r="AJ165" i="6"/>
  <c r="AJ166" i="6"/>
  <c r="AJ167" i="6"/>
  <c r="AJ168" i="6"/>
  <c r="AJ169" i="6"/>
  <c r="AJ170" i="6"/>
  <c r="AJ171" i="6"/>
  <c r="AJ172" i="6"/>
  <c r="AJ173" i="6"/>
  <c r="AJ174" i="6"/>
  <c r="AJ175" i="6"/>
  <c r="AJ176" i="6"/>
  <c r="AJ177" i="6"/>
  <c r="AJ178" i="6"/>
  <c r="AJ179" i="6"/>
  <c r="AJ180" i="6"/>
  <c r="AJ181" i="6"/>
  <c r="AJ182" i="6"/>
  <c r="AJ183" i="6"/>
  <c r="AJ184" i="6"/>
  <c r="AJ185" i="6"/>
  <c r="AJ186" i="6"/>
  <c r="AJ187" i="6"/>
  <c r="AJ188" i="6"/>
  <c r="AJ189" i="6"/>
  <c r="AJ190" i="6"/>
  <c r="AJ191" i="6"/>
  <c r="AJ192" i="6"/>
  <c r="AJ193" i="6"/>
  <c r="AJ194" i="6"/>
  <c r="AJ195" i="6"/>
  <c r="AJ196" i="6"/>
  <c r="AJ197" i="6"/>
  <c r="AJ198" i="6"/>
  <c r="AJ199" i="6"/>
  <c r="AJ200" i="6"/>
  <c r="AJ201" i="6"/>
  <c r="AJ202" i="6"/>
  <c r="AJ203" i="6"/>
  <c r="AJ204" i="6"/>
  <c r="AJ205" i="6"/>
  <c r="AJ206" i="6"/>
  <c r="AJ207" i="6"/>
  <c r="AJ208" i="6"/>
  <c r="AJ209" i="6"/>
  <c r="AJ210" i="6"/>
  <c r="AJ211" i="6"/>
  <c r="AJ212" i="6"/>
  <c r="AJ213" i="6"/>
  <c r="AJ214" i="6"/>
  <c r="AJ215" i="6"/>
  <c r="AJ216" i="6"/>
  <c r="AJ217" i="6"/>
  <c r="AJ218" i="6"/>
  <c r="AJ223" i="6"/>
  <c r="I219" i="6"/>
  <c r="H219" i="6"/>
  <c r="G219" i="6"/>
  <c r="I220" i="6"/>
  <c r="T16" i="6"/>
  <c r="T17" i="6"/>
  <c r="R18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74" i="6"/>
  <c r="R75" i="6"/>
  <c r="T75" i="6"/>
  <c r="T76" i="6"/>
  <c r="T77" i="6"/>
  <c r="T78" i="6"/>
  <c r="T79" i="6"/>
  <c r="T80" i="6"/>
  <c r="T81" i="6"/>
  <c r="T82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T97" i="6"/>
  <c r="T98" i="6"/>
  <c r="T99" i="6"/>
  <c r="T100" i="6"/>
  <c r="T101" i="6"/>
  <c r="T102" i="6"/>
  <c r="T103" i="6"/>
  <c r="T104" i="6"/>
  <c r="T105" i="6"/>
  <c r="T106" i="6"/>
  <c r="T107" i="6"/>
  <c r="T108" i="6"/>
  <c r="T109" i="6"/>
  <c r="T110" i="6"/>
  <c r="T111" i="6"/>
  <c r="T112" i="6"/>
  <c r="T113" i="6"/>
  <c r="T114" i="6"/>
  <c r="T115" i="6"/>
  <c r="T116" i="6"/>
  <c r="T117" i="6"/>
  <c r="T118" i="6"/>
  <c r="T119" i="6"/>
  <c r="T120" i="6"/>
  <c r="T121" i="6"/>
  <c r="T122" i="6"/>
  <c r="R123" i="6"/>
  <c r="T123" i="6"/>
  <c r="T124" i="6"/>
  <c r="T125" i="6"/>
  <c r="T126" i="6"/>
  <c r="T127" i="6"/>
  <c r="T128" i="6"/>
  <c r="T129" i="6"/>
  <c r="T130" i="6"/>
  <c r="T131" i="6"/>
  <c r="T132" i="6"/>
  <c r="T133" i="6"/>
  <c r="T134" i="6"/>
  <c r="T135" i="6"/>
  <c r="R136" i="6"/>
  <c r="T136" i="6"/>
  <c r="T137" i="6"/>
  <c r="T138" i="6"/>
  <c r="T139" i="6"/>
  <c r="T140" i="6"/>
  <c r="T141" i="6"/>
  <c r="T142" i="6"/>
  <c r="T143" i="6"/>
  <c r="T144" i="6"/>
  <c r="T145" i="6"/>
  <c r="T146" i="6"/>
  <c r="T147" i="6"/>
  <c r="T148" i="6"/>
  <c r="T149" i="6"/>
  <c r="T150" i="6"/>
  <c r="T151" i="6"/>
  <c r="T152" i="6"/>
  <c r="T153" i="6"/>
  <c r="T154" i="6"/>
  <c r="R155" i="6"/>
  <c r="T155" i="6"/>
  <c r="T156" i="6"/>
  <c r="T157" i="6"/>
  <c r="T158" i="6"/>
  <c r="T159" i="6"/>
  <c r="T160" i="6"/>
  <c r="T161" i="6"/>
  <c r="T162" i="6"/>
  <c r="T163" i="6"/>
  <c r="T164" i="6"/>
  <c r="T165" i="6"/>
  <c r="T166" i="6"/>
  <c r="T167" i="6"/>
  <c r="T168" i="6"/>
  <c r="T169" i="6"/>
  <c r="T170" i="6"/>
  <c r="T171" i="6"/>
  <c r="T172" i="6"/>
  <c r="T173" i="6"/>
  <c r="R174" i="6"/>
  <c r="T174" i="6"/>
  <c r="T175" i="6"/>
  <c r="R176" i="6"/>
  <c r="T176" i="6"/>
  <c r="T177" i="6"/>
  <c r="R178" i="6"/>
  <c r="T178" i="6"/>
  <c r="T179" i="6"/>
  <c r="T180" i="6"/>
  <c r="T181" i="6"/>
  <c r="T182" i="6"/>
  <c r="T183" i="6"/>
  <c r="T184" i="6"/>
  <c r="T185" i="6"/>
  <c r="T186" i="6"/>
  <c r="T187" i="6"/>
  <c r="T188" i="6"/>
  <c r="T189" i="6"/>
  <c r="T190" i="6"/>
  <c r="T191" i="6"/>
  <c r="T192" i="6"/>
  <c r="T193" i="6"/>
  <c r="T194" i="6"/>
  <c r="T195" i="6"/>
  <c r="T196" i="6"/>
  <c r="T197" i="6"/>
  <c r="T198" i="6"/>
  <c r="T199" i="6"/>
  <c r="R200" i="6"/>
  <c r="T200" i="6"/>
  <c r="T201" i="6"/>
  <c r="T202" i="6"/>
  <c r="T203" i="6"/>
  <c r="T204" i="6"/>
  <c r="T205" i="6"/>
  <c r="T206" i="6"/>
  <c r="T207" i="6"/>
  <c r="T208" i="6"/>
  <c r="T209" i="6"/>
  <c r="T210" i="6"/>
  <c r="T211" i="6"/>
  <c r="T212" i="6"/>
  <c r="T213" i="6"/>
  <c r="T214" i="6"/>
  <c r="T215" i="6"/>
  <c r="R216" i="6"/>
  <c r="T216" i="6"/>
  <c r="T217" i="6"/>
  <c r="T218" i="6"/>
  <c r="T219" i="6"/>
  <c r="R219" i="6"/>
  <c r="Q219" i="6"/>
  <c r="P219" i="6"/>
  <c r="O219" i="6"/>
  <c r="N219" i="6"/>
  <c r="AA218" i="6"/>
  <c r="AA217" i="6"/>
  <c r="AA216" i="6"/>
  <c r="AA215" i="6"/>
  <c r="AA214" i="6"/>
  <c r="AA213" i="6"/>
  <c r="AA212" i="6"/>
  <c r="AA211" i="6"/>
  <c r="AA210" i="6"/>
  <c r="AA209" i="6"/>
  <c r="AA208" i="6"/>
  <c r="AA207" i="6"/>
  <c r="AA206" i="6"/>
  <c r="AA205" i="6"/>
  <c r="AA204" i="6"/>
  <c r="AA203" i="6"/>
  <c r="AA202" i="6"/>
  <c r="AA201" i="6"/>
  <c r="AA200" i="6"/>
  <c r="AA199" i="6"/>
  <c r="AA198" i="6"/>
  <c r="AA197" i="6"/>
  <c r="AA196" i="6"/>
  <c r="AA195" i="6"/>
  <c r="AA194" i="6"/>
  <c r="AA193" i="6"/>
  <c r="AA192" i="6"/>
  <c r="AA191" i="6"/>
  <c r="AA190" i="6"/>
  <c r="AA189" i="6"/>
  <c r="AA188" i="6"/>
  <c r="AA187" i="6"/>
  <c r="AA186" i="6"/>
  <c r="AA185" i="6"/>
  <c r="AA184" i="6"/>
  <c r="AA183" i="6"/>
  <c r="AA182" i="6"/>
  <c r="AA181" i="6"/>
  <c r="AA180" i="6"/>
  <c r="AA179" i="6"/>
  <c r="AA178" i="6"/>
  <c r="AA177" i="6"/>
  <c r="AA176" i="6"/>
  <c r="AA175" i="6"/>
  <c r="AA174" i="6"/>
  <c r="AA173" i="6"/>
  <c r="AA172" i="6"/>
  <c r="AA171" i="6"/>
  <c r="AA170" i="6"/>
  <c r="AA169" i="6"/>
  <c r="AA168" i="6"/>
  <c r="AA167" i="6"/>
  <c r="AA166" i="6"/>
  <c r="AA165" i="6"/>
  <c r="AA164" i="6"/>
  <c r="AA163" i="6"/>
  <c r="AA162" i="6"/>
  <c r="AA161" i="6"/>
  <c r="AA160" i="6"/>
  <c r="AA159" i="6"/>
  <c r="AA158" i="6"/>
  <c r="AA157" i="6"/>
  <c r="AA156" i="6"/>
  <c r="AA155" i="6"/>
  <c r="AA154" i="6"/>
  <c r="AA153" i="6"/>
  <c r="AA152" i="6"/>
  <c r="AA151" i="6"/>
  <c r="AA150" i="6"/>
  <c r="AA149" i="6"/>
  <c r="AA148" i="6"/>
  <c r="AA147" i="6"/>
  <c r="AA146" i="6"/>
  <c r="AA145" i="6"/>
  <c r="AA144" i="6"/>
  <c r="AA143" i="6"/>
  <c r="AA142" i="6"/>
  <c r="AA141" i="6"/>
  <c r="AA140" i="6"/>
  <c r="AA139" i="6"/>
  <c r="AA138" i="6"/>
  <c r="AA137" i="6"/>
  <c r="AA136" i="6"/>
  <c r="AA135" i="6"/>
  <c r="AA134" i="6"/>
  <c r="AA133" i="6"/>
  <c r="AA132" i="6"/>
  <c r="AA131" i="6"/>
  <c r="AA130" i="6"/>
  <c r="AA129" i="6"/>
  <c r="AA128" i="6"/>
  <c r="AA127" i="6"/>
  <c r="AA126" i="6"/>
  <c r="AA125" i="6"/>
  <c r="AA124" i="6"/>
  <c r="AA123" i="6"/>
  <c r="AA122" i="6"/>
  <c r="AA121" i="6"/>
  <c r="AA120" i="6"/>
  <c r="AA119" i="6"/>
  <c r="AA118" i="6"/>
  <c r="AA117" i="6"/>
  <c r="AA116" i="6"/>
  <c r="AA115" i="6"/>
  <c r="AA114" i="6"/>
  <c r="AA113" i="6"/>
  <c r="AA112" i="6"/>
  <c r="AA111" i="6"/>
  <c r="AA110" i="6"/>
  <c r="AA109" i="6"/>
  <c r="AA108" i="6"/>
  <c r="AA107" i="6"/>
  <c r="AA106" i="6"/>
  <c r="AA105" i="6"/>
  <c r="AA104" i="6"/>
  <c r="AA103" i="6"/>
  <c r="AA102" i="6"/>
  <c r="AA101" i="6"/>
  <c r="AA100" i="6"/>
  <c r="AA99" i="6"/>
  <c r="AA98" i="6"/>
  <c r="AA97" i="6"/>
  <c r="AA96" i="6"/>
  <c r="AA95" i="6"/>
  <c r="AA94" i="6"/>
  <c r="AA93" i="6"/>
  <c r="AA92" i="6"/>
  <c r="AA91" i="6"/>
  <c r="AA90" i="6"/>
  <c r="AA89" i="6"/>
  <c r="AA88" i="6"/>
  <c r="AA87" i="6"/>
  <c r="AA86" i="6"/>
  <c r="AA85" i="6"/>
  <c r="AA84" i="6"/>
  <c r="AA83" i="6"/>
  <c r="AA82" i="6"/>
  <c r="AA81" i="6"/>
  <c r="AA80" i="6"/>
  <c r="AA79" i="6"/>
  <c r="AA78" i="6"/>
  <c r="AA77" i="6"/>
  <c r="AA76" i="6"/>
  <c r="AA75" i="6"/>
  <c r="AA74" i="6"/>
  <c r="AA73" i="6"/>
  <c r="AA72" i="6"/>
  <c r="AA71" i="6"/>
  <c r="AA70" i="6"/>
  <c r="AA69" i="6"/>
  <c r="AA68" i="6"/>
  <c r="AA67" i="6"/>
  <c r="AA66" i="6"/>
  <c r="AA65" i="6"/>
  <c r="AA64" i="6"/>
  <c r="AA63" i="6"/>
  <c r="AA62" i="6"/>
  <c r="AA61" i="6"/>
  <c r="AA60" i="6"/>
  <c r="AA59" i="6"/>
  <c r="AA58" i="6"/>
  <c r="AA57" i="6"/>
  <c r="AA56" i="6"/>
  <c r="AA55" i="6"/>
  <c r="AA54" i="6"/>
  <c r="AA53" i="6"/>
  <c r="AA52" i="6"/>
  <c r="AA51" i="6"/>
  <c r="AA50" i="6"/>
  <c r="AA49" i="6"/>
  <c r="AA48" i="6"/>
  <c r="AA47" i="6"/>
  <c r="AA46" i="6"/>
  <c r="AA45" i="6"/>
  <c r="AA44" i="6"/>
  <c r="AA43" i="6"/>
  <c r="AA42" i="6"/>
  <c r="AA40" i="6"/>
  <c r="AA39" i="6"/>
  <c r="AA38" i="6"/>
  <c r="AA37" i="6"/>
  <c r="AA36" i="6"/>
  <c r="AA35" i="6"/>
  <c r="AA34" i="6"/>
  <c r="AA33" i="6"/>
  <c r="AA32" i="6"/>
  <c r="AA31" i="6"/>
  <c r="AA30" i="6"/>
  <c r="AA29" i="6"/>
  <c r="AA28" i="6"/>
  <c r="AA27" i="6"/>
  <c r="AA26" i="6"/>
  <c r="AA25" i="6"/>
  <c r="AA24" i="6"/>
  <c r="AA23" i="6"/>
  <c r="AA22" i="6"/>
  <c r="AA21" i="6"/>
  <c r="AA20" i="6"/>
  <c r="AA19" i="6"/>
  <c r="AA18" i="6"/>
  <c r="AA17" i="6"/>
  <c r="AA16" i="6"/>
  <c r="E16" i="5"/>
  <c r="F16" i="5"/>
  <c r="J16" i="5"/>
  <c r="Q16" i="5"/>
  <c r="T16" i="5"/>
  <c r="V16" i="5"/>
  <c r="W16" i="5"/>
  <c r="X16" i="5"/>
  <c r="AA16" i="5"/>
  <c r="AB16" i="5"/>
  <c r="AC16" i="5"/>
  <c r="AD16" i="5"/>
  <c r="AF16" i="5"/>
  <c r="AG16" i="5"/>
  <c r="AH16" i="5"/>
  <c r="F17" i="5"/>
  <c r="J17" i="5"/>
  <c r="Q17" i="5"/>
  <c r="R17" i="5"/>
  <c r="T17" i="5"/>
  <c r="V17" i="5"/>
  <c r="W17" i="5"/>
  <c r="X17" i="5"/>
  <c r="AA17" i="5"/>
  <c r="AB17" i="5"/>
  <c r="AC17" i="5"/>
  <c r="AD17" i="5"/>
  <c r="AF17" i="5"/>
  <c r="AG17" i="5"/>
  <c r="AH17" i="5"/>
  <c r="AJ17" i="5"/>
  <c r="F18" i="5"/>
  <c r="J18" i="5"/>
  <c r="Q18" i="5"/>
  <c r="T18" i="5"/>
  <c r="V18" i="5"/>
  <c r="W18" i="5"/>
  <c r="X18" i="5"/>
  <c r="AA18" i="5"/>
  <c r="AB18" i="5"/>
  <c r="AC18" i="5"/>
  <c r="AD18" i="5"/>
  <c r="AF18" i="5"/>
  <c r="AG18" i="5"/>
  <c r="AH18" i="5"/>
  <c r="AJ18" i="5"/>
  <c r="F19" i="5"/>
  <c r="J19" i="5"/>
  <c r="Q19" i="5"/>
  <c r="T19" i="5"/>
  <c r="V19" i="5"/>
  <c r="W19" i="5"/>
  <c r="X19" i="5"/>
  <c r="AA19" i="5"/>
  <c r="AB19" i="5"/>
  <c r="AC19" i="5"/>
  <c r="AD19" i="5"/>
  <c r="AF19" i="5"/>
  <c r="AG19" i="5"/>
  <c r="AH19" i="5"/>
  <c r="AJ19" i="5"/>
  <c r="F20" i="5"/>
  <c r="J20" i="5"/>
  <c r="Q20" i="5"/>
  <c r="T20" i="5"/>
  <c r="V20" i="5"/>
  <c r="W20" i="5"/>
  <c r="X20" i="5"/>
  <c r="AA20" i="5"/>
  <c r="AB20" i="5"/>
  <c r="AC20" i="5"/>
  <c r="AD20" i="5"/>
  <c r="AF20" i="5"/>
  <c r="AG20" i="5"/>
  <c r="AH20" i="5"/>
  <c r="AJ20" i="5"/>
  <c r="F21" i="5"/>
  <c r="J21" i="5"/>
  <c r="Q21" i="5"/>
  <c r="T21" i="5"/>
  <c r="V21" i="5"/>
  <c r="W21" i="5"/>
  <c r="X21" i="5"/>
  <c r="AA21" i="5"/>
  <c r="AB21" i="5"/>
  <c r="AC21" i="5"/>
  <c r="AD21" i="5"/>
  <c r="AF21" i="5"/>
  <c r="AG21" i="5"/>
  <c r="AH21" i="5"/>
  <c r="AJ21" i="5"/>
  <c r="F22" i="5"/>
  <c r="J22" i="5"/>
  <c r="Q22" i="5"/>
  <c r="T22" i="5"/>
  <c r="V22" i="5"/>
  <c r="W22" i="5"/>
  <c r="X22" i="5"/>
  <c r="AA22" i="5"/>
  <c r="AB22" i="5"/>
  <c r="AC22" i="5"/>
  <c r="AD22" i="5"/>
  <c r="AF22" i="5"/>
  <c r="AG22" i="5"/>
  <c r="AH22" i="5"/>
  <c r="AJ22" i="5"/>
  <c r="F23" i="5"/>
  <c r="J23" i="5"/>
  <c r="Q23" i="5"/>
  <c r="T23" i="5"/>
  <c r="V23" i="5"/>
  <c r="W23" i="5"/>
  <c r="X23" i="5"/>
  <c r="AA23" i="5"/>
  <c r="AB23" i="5"/>
  <c r="AC23" i="5"/>
  <c r="AD23" i="5"/>
  <c r="AF23" i="5"/>
  <c r="AG23" i="5"/>
  <c r="AH23" i="5"/>
  <c r="AJ23" i="5"/>
  <c r="F24" i="5"/>
  <c r="J24" i="5"/>
  <c r="Q24" i="5"/>
  <c r="T24" i="5"/>
  <c r="V24" i="5"/>
  <c r="W24" i="5"/>
  <c r="X24" i="5"/>
  <c r="AA24" i="5"/>
  <c r="AB24" i="5"/>
  <c r="AC24" i="5"/>
  <c r="AD24" i="5"/>
  <c r="AF24" i="5"/>
  <c r="AG24" i="5"/>
  <c r="AH24" i="5"/>
  <c r="AJ24" i="5"/>
  <c r="F25" i="5"/>
  <c r="J25" i="5"/>
  <c r="Q25" i="5"/>
  <c r="T25" i="5"/>
  <c r="V25" i="5"/>
  <c r="W25" i="5"/>
  <c r="X25" i="5"/>
  <c r="AA25" i="5"/>
  <c r="AB25" i="5"/>
  <c r="AC25" i="5"/>
  <c r="AD25" i="5"/>
  <c r="AF25" i="5"/>
  <c r="AG25" i="5"/>
  <c r="AH25" i="5"/>
  <c r="AJ25" i="5"/>
  <c r="F26" i="5"/>
  <c r="J26" i="5"/>
  <c r="Q26" i="5"/>
  <c r="T26" i="5"/>
  <c r="V26" i="5"/>
  <c r="W26" i="5"/>
  <c r="X26" i="5"/>
  <c r="AA26" i="5"/>
  <c r="AB26" i="5"/>
  <c r="AC26" i="5"/>
  <c r="AD26" i="5"/>
  <c r="AF26" i="5"/>
  <c r="AG26" i="5"/>
  <c r="AH26" i="5"/>
  <c r="AJ26" i="5"/>
  <c r="F27" i="5"/>
  <c r="J27" i="5"/>
  <c r="Q27" i="5"/>
  <c r="T27" i="5"/>
  <c r="V27" i="5"/>
  <c r="W27" i="5"/>
  <c r="X27" i="5"/>
  <c r="AA27" i="5"/>
  <c r="AB27" i="5"/>
  <c r="AC27" i="5"/>
  <c r="AD27" i="5"/>
  <c r="AF27" i="5"/>
  <c r="AG27" i="5"/>
  <c r="AH27" i="5"/>
  <c r="AJ27" i="5"/>
  <c r="F28" i="5"/>
  <c r="J28" i="5"/>
  <c r="Q28" i="5"/>
  <c r="T28" i="5"/>
  <c r="V28" i="5"/>
  <c r="W28" i="5"/>
  <c r="X28" i="5"/>
  <c r="AA28" i="5"/>
  <c r="AB28" i="5"/>
  <c r="AC28" i="5"/>
  <c r="AD28" i="5"/>
  <c r="AF28" i="5"/>
  <c r="AG28" i="5"/>
  <c r="AH28" i="5"/>
  <c r="AJ28" i="5"/>
  <c r="F29" i="5"/>
  <c r="J29" i="5"/>
  <c r="Q29" i="5"/>
  <c r="T29" i="5"/>
  <c r="V29" i="5"/>
  <c r="W29" i="5"/>
  <c r="X29" i="5"/>
  <c r="AA29" i="5"/>
  <c r="AB29" i="5"/>
  <c r="AC29" i="5"/>
  <c r="AD29" i="5"/>
  <c r="AF29" i="5"/>
  <c r="AG29" i="5"/>
  <c r="AH29" i="5"/>
  <c r="AJ29" i="5"/>
  <c r="F30" i="5"/>
  <c r="J30" i="5"/>
  <c r="Q30" i="5"/>
  <c r="T30" i="5"/>
  <c r="V30" i="5"/>
  <c r="W30" i="5"/>
  <c r="X30" i="5"/>
  <c r="AA30" i="5"/>
  <c r="AB30" i="5"/>
  <c r="AC30" i="5"/>
  <c r="AD30" i="5"/>
  <c r="AF30" i="5"/>
  <c r="AG30" i="5"/>
  <c r="AH30" i="5"/>
  <c r="AJ30" i="5"/>
  <c r="F31" i="5"/>
  <c r="J31" i="5"/>
  <c r="Q31" i="5"/>
  <c r="T31" i="5"/>
  <c r="V31" i="5"/>
  <c r="W31" i="5"/>
  <c r="X31" i="5"/>
  <c r="AA31" i="5"/>
  <c r="AB31" i="5"/>
  <c r="AC31" i="5"/>
  <c r="AD31" i="5"/>
  <c r="AF31" i="5"/>
  <c r="AG31" i="5"/>
  <c r="AH31" i="5"/>
  <c r="AJ31" i="5"/>
  <c r="F32" i="5"/>
  <c r="J32" i="5"/>
  <c r="Q32" i="5"/>
  <c r="T32" i="5"/>
  <c r="V32" i="5"/>
  <c r="W32" i="5"/>
  <c r="X32" i="5"/>
  <c r="AA32" i="5"/>
  <c r="AB32" i="5"/>
  <c r="AC32" i="5"/>
  <c r="AD32" i="5"/>
  <c r="AF32" i="5"/>
  <c r="AG32" i="5"/>
  <c r="AH32" i="5"/>
  <c r="AJ32" i="5"/>
  <c r="F33" i="5"/>
  <c r="J33" i="5"/>
  <c r="Q33" i="5"/>
  <c r="T33" i="5"/>
  <c r="V33" i="5"/>
  <c r="W33" i="5"/>
  <c r="X33" i="5"/>
  <c r="AA33" i="5"/>
  <c r="AB33" i="5"/>
  <c r="AC33" i="5"/>
  <c r="AD33" i="5"/>
  <c r="AF33" i="5"/>
  <c r="AG33" i="5"/>
  <c r="AH33" i="5"/>
  <c r="AJ33" i="5"/>
  <c r="F34" i="5"/>
  <c r="J34" i="5"/>
  <c r="Q34" i="5"/>
  <c r="T34" i="5"/>
  <c r="V34" i="5"/>
  <c r="W34" i="5"/>
  <c r="X34" i="5"/>
  <c r="AA34" i="5"/>
  <c r="AB34" i="5"/>
  <c r="AC34" i="5"/>
  <c r="AD34" i="5"/>
  <c r="AF34" i="5"/>
  <c r="AG34" i="5"/>
  <c r="AH34" i="5"/>
  <c r="AJ34" i="5"/>
  <c r="F35" i="5"/>
  <c r="J35" i="5"/>
  <c r="Q35" i="5"/>
  <c r="T35" i="5"/>
  <c r="V35" i="5"/>
  <c r="W35" i="5"/>
  <c r="X35" i="5"/>
  <c r="AA35" i="5"/>
  <c r="AB35" i="5"/>
  <c r="AC35" i="5"/>
  <c r="AD35" i="5"/>
  <c r="AF35" i="5"/>
  <c r="AG35" i="5"/>
  <c r="AH35" i="5"/>
  <c r="AJ35" i="5"/>
  <c r="F36" i="5"/>
  <c r="J36" i="5"/>
  <c r="Q36" i="5"/>
  <c r="T36" i="5"/>
  <c r="V36" i="5"/>
  <c r="W36" i="5"/>
  <c r="X36" i="5"/>
  <c r="AA36" i="5"/>
  <c r="AB36" i="5"/>
  <c r="AC36" i="5"/>
  <c r="AD36" i="5"/>
  <c r="AF36" i="5"/>
  <c r="AG36" i="5"/>
  <c r="AH36" i="5"/>
  <c r="AJ36" i="5"/>
  <c r="F37" i="5"/>
  <c r="J37" i="5"/>
  <c r="Q37" i="5"/>
  <c r="T37" i="5"/>
  <c r="V37" i="5"/>
  <c r="W37" i="5"/>
  <c r="X37" i="5"/>
  <c r="AA37" i="5"/>
  <c r="AB37" i="5"/>
  <c r="AC37" i="5"/>
  <c r="AD37" i="5"/>
  <c r="AF37" i="5"/>
  <c r="AG37" i="5"/>
  <c r="AH37" i="5"/>
  <c r="AJ37" i="5"/>
  <c r="F38" i="5"/>
  <c r="J38" i="5"/>
  <c r="Q38" i="5"/>
  <c r="T38" i="5"/>
  <c r="V38" i="5"/>
  <c r="W38" i="5"/>
  <c r="X38" i="5"/>
  <c r="AA38" i="5"/>
  <c r="AB38" i="5"/>
  <c r="AC38" i="5"/>
  <c r="AD38" i="5"/>
  <c r="AF38" i="5"/>
  <c r="AG38" i="5"/>
  <c r="AH38" i="5"/>
  <c r="AJ38" i="5"/>
  <c r="F39" i="5"/>
  <c r="J39" i="5"/>
  <c r="Q39" i="5"/>
  <c r="T39" i="5"/>
  <c r="V39" i="5"/>
  <c r="W39" i="5"/>
  <c r="X39" i="5"/>
  <c r="AA39" i="5"/>
  <c r="AB39" i="5"/>
  <c r="AC39" i="5"/>
  <c r="AD39" i="5"/>
  <c r="AF39" i="5"/>
  <c r="AG39" i="5"/>
  <c r="AH39" i="5"/>
  <c r="AJ39" i="5"/>
  <c r="F40" i="5"/>
  <c r="J40" i="5"/>
  <c r="Q40" i="5"/>
  <c r="T40" i="5"/>
  <c r="V40" i="5"/>
  <c r="W40" i="5"/>
  <c r="X40" i="5"/>
  <c r="AA40" i="5"/>
  <c r="AB40" i="5"/>
  <c r="AC40" i="5"/>
  <c r="AD40" i="5"/>
  <c r="AF40" i="5"/>
  <c r="AG40" i="5"/>
  <c r="AH40" i="5"/>
  <c r="AJ40" i="5"/>
  <c r="F41" i="5"/>
  <c r="J41" i="5"/>
  <c r="Q41" i="5"/>
  <c r="T41" i="5"/>
  <c r="V41" i="5"/>
  <c r="W41" i="5"/>
  <c r="X41" i="5"/>
  <c r="AA41" i="5"/>
  <c r="AB41" i="5"/>
  <c r="AC41" i="5"/>
  <c r="AD41" i="5"/>
  <c r="AF41" i="5"/>
  <c r="AG41" i="5"/>
  <c r="AH41" i="5"/>
  <c r="AJ41" i="5"/>
  <c r="F42" i="5"/>
  <c r="J42" i="5"/>
  <c r="Q42" i="5"/>
  <c r="T42" i="5"/>
  <c r="V42" i="5"/>
  <c r="W42" i="5"/>
  <c r="X42" i="5"/>
  <c r="AA42" i="5"/>
  <c r="AB42" i="5"/>
  <c r="AC42" i="5"/>
  <c r="AD42" i="5"/>
  <c r="AF42" i="5"/>
  <c r="AG42" i="5"/>
  <c r="AH42" i="5"/>
  <c r="AJ42" i="5"/>
  <c r="F43" i="5"/>
  <c r="J43" i="5"/>
  <c r="Q43" i="5"/>
  <c r="V43" i="5"/>
  <c r="W43" i="5"/>
  <c r="X43" i="5"/>
  <c r="AA43" i="5"/>
  <c r="AB43" i="5"/>
  <c r="AC43" i="5"/>
  <c r="AD43" i="5"/>
  <c r="AF43" i="5"/>
  <c r="AG43" i="5"/>
  <c r="AH43" i="5"/>
  <c r="AJ43" i="5"/>
  <c r="F44" i="5"/>
  <c r="J44" i="5"/>
  <c r="Q44" i="5"/>
  <c r="T44" i="5"/>
  <c r="V44" i="5"/>
  <c r="W44" i="5"/>
  <c r="X44" i="5"/>
  <c r="AA44" i="5"/>
  <c r="AB44" i="5"/>
  <c r="AC44" i="5"/>
  <c r="AD44" i="5"/>
  <c r="AF44" i="5"/>
  <c r="AG44" i="5"/>
  <c r="AH44" i="5"/>
  <c r="AJ44" i="5"/>
  <c r="F45" i="5"/>
  <c r="J45" i="5"/>
  <c r="Q45" i="5"/>
  <c r="T45" i="5"/>
  <c r="V45" i="5"/>
  <c r="W45" i="5"/>
  <c r="X45" i="5"/>
  <c r="AA45" i="5"/>
  <c r="AB45" i="5"/>
  <c r="AC45" i="5"/>
  <c r="AD45" i="5"/>
  <c r="AF45" i="5"/>
  <c r="AG45" i="5"/>
  <c r="AH45" i="5"/>
  <c r="AJ45" i="5"/>
  <c r="F46" i="5"/>
  <c r="E46" i="5"/>
  <c r="J46" i="5"/>
  <c r="Q46" i="5"/>
  <c r="T46" i="5"/>
  <c r="V46" i="5"/>
  <c r="W46" i="5"/>
  <c r="X46" i="5"/>
  <c r="AA46" i="5"/>
  <c r="AB46" i="5"/>
  <c r="AC46" i="5"/>
  <c r="AD46" i="5"/>
  <c r="AF46" i="5"/>
  <c r="AG46" i="5"/>
  <c r="AH46" i="5"/>
  <c r="AJ46" i="5"/>
  <c r="F47" i="5"/>
  <c r="J47" i="5"/>
  <c r="Q47" i="5"/>
  <c r="T47" i="5"/>
  <c r="V47" i="5"/>
  <c r="W47" i="5"/>
  <c r="X47" i="5"/>
  <c r="AA47" i="5"/>
  <c r="AB47" i="5"/>
  <c r="AC47" i="5"/>
  <c r="AD47" i="5"/>
  <c r="AF47" i="5"/>
  <c r="AG47" i="5"/>
  <c r="AH47" i="5"/>
  <c r="AJ47" i="5"/>
  <c r="F48" i="5"/>
  <c r="J48" i="5"/>
  <c r="Q48" i="5"/>
  <c r="T48" i="5"/>
  <c r="V48" i="5"/>
  <c r="W48" i="5"/>
  <c r="X48" i="5"/>
  <c r="AA48" i="5"/>
  <c r="AB48" i="5"/>
  <c r="AC48" i="5"/>
  <c r="AD48" i="5"/>
  <c r="AF48" i="5"/>
  <c r="AG48" i="5"/>
  <c r="AH48" i="5"/>
  <c r="AJ48" i="5"/>
  <c r="F49" i="5"/>
  <c r="J49" i="5"/>
  <c r="Q49" i="5"/>
  <c r="T49" i="5"/>
  <c r="V49" i="5"/>
  <c r="W49" i="5"/>
  <c r="X49" i="5"/>
  <c r="AA49" i="5"/>
  <c r="AB49" i="5"/>
  <c r="AC49" i="5"/>
  <c r="AD49" i="5"/>
  <c r="AF49" i="5"/>
  <c r="AG49" i="5"/>
  <c r="AH49" i="5"/>
  <c r="AJ49" i="5"/>
  <c r="F50" i="5"/>
  <c r="J50" i="5"/>
  <c r="Q50" i="5"/>
  <c r="T50" i="5"/>
  <c r="V50" i="5"/>
  <c r="W50" i="5"/>
  <c r="X50" i="5"/>
  <c r="AA50" i="5"/>
  <c r="AB50" i="5"/>
  <c r="AC50" i="5"/>
  <c r="AD50" i="5"/>
  <c r="AF50" i="5"/>
  <c r="AG50" i="5"/>
  <c r="AH50" i="5"/>
  <c r="AJ50" i="5"/>
  <c r="F51" i="5"/>
  <c r="J51" i="5"/>
  <c r="Q51" i="5"/>
  <c r="T51" i="5"/>
  <c r="V51" i="5"/>
  <c r="W51" i="5"/>
  <c r="X51" i="5"/>
  <c r="AA51" i="5"/>
  <c r="AB51" i="5"/>
  <c r="AC51" i="5"/>
  <c r="AD51" i="5"/>
  <c r="AF51" i="5"/>
  <c r="AG51" i="5"/>
  <c r="AH51" i="5"/>
  <c r="AJ51" i="5"/>
  <c r="F52" i="5"/>
  <c r="J52" i="5"/>
  <c r="Q52" i="5"/>
  <c r="T52" i="5"/>
  <c r="V52" i="5"/>
  <c r="W52" i="5"/>
  <c r="X52" i="5"/>
  <c r="AA52" i="5"/>
  <c r="AB52" i="5"/>
  <c r="AC52" i="5"/>
  <c r="AD52" i="5"/>
  <c r="AF52" i="5"/>
  <c r="AG52" i="5"/>
  <c r="AH52" i="5"/>
  <c r="AJ52" i="5"/>
  <c r="F53" i="5"/>
  <c r="J53" i="5"/>
  <c r="Q53" i="5"/>
  <c r="T53" i="5"/>
  <c r="V53" i="5"/>
  <c r="W53" i="5"/>
  <c r="X53" i="5"/>
  <c r="AA53" i="5"/>
  <c r="AB53" i="5"/>
  <c r="AC53" i="5"/>
  <c r="AD53" i="5"/>
  <c r="AF53" i="5"/>
  <c r="AG53" i="5"/>
  <c r="AH53" i="5"/>
  <c r="AJ53" i="5"/>
  <c r="F54" i="5"/>
  <c r="J54" i="5"/>
  <c r="Q54" i="5"/>
  <c r="T54" i="5"/>
  <c r="V54" i="5"/>
  <c r="W54" i="5"/>
  <c r="X54" i="5"/>
  <c r="AA54" i="5"/>
  <c r="AB54" i="5"/>
  <c r="AC54" i="5"/>
  <c r="AD54" i="5"/>
  <c r="AF54" i="5"/>
  <c r="AG54" i="5"/>
  <c r="AH54" i="5"/>
  <c r="AJ54" i="5"/>
  <c r="F55" i="5"/>
  <c r="J55" i="5"/>
  <c r="Q55" i="5"/>
  <c r="T55" i="5"/>
  <c r="V55" i="5"/>
  <c r="W55" i="5"/>
  <c r="X55" i="5"/>
  <c r="AA55" i="5"/>
  <c r="AB55" i="5"/>
  <c r="AC55" i="5"/>
  <c r="AD55" i="5"/>
  <c r="AF55" i="5"/>
  <c r="AG55" i="5"/>
  <c r="AH55" i="5"/>
  <c r="AJ55" i="5"/>
  <c r="F56" i="5"/>
  <c r="J56" i="5"/>
  <c r="Q56" i="5"/>
  <c r="T56" i="5"/>
  <c r="V56" i="5"/>
  <c r="W56" i="5"/>
  <c r="X56" i="5"/>
  <c r="AA56" i="5"/>
  <c r="AB56" i="5"/>
  <c r="AC56" i="5"/>
  <c r="AD56" i="5"/>
  <c r="AF56" i="5"/>
  <c r="AG56" i="5"/>
  <c r="AH56" i="5"/>
  <c r="AJ56" i="5"/>
  <c r="F57" i="5"/>
  <c r="J57" i="5"/>
  <c r="Q57" i="5"/>
  <c r="T57" i="5"/>
  <c r="V57" i="5"/>
  <c r="W57" i="5"/>
  <c r="X57" i="5"/>
  <c r="AA57" i="5"/>
  <c r="AB57" i="5"/>
  <c r="AC57" i="5"/>
  <c r="AD57" i="5"/>
  <c r="AF57" i="5"/>
  <c r="AG57" i="5"/>
  <c r="AH57" i="5"/>
  <c r="AJ57" i="5"/>
  <c r="E58" i="5"/>
  <c r="F58" i="5"/>
  <c r="J58" i="5"/>
  <c r="Q58" i="5"/>
  <c r="T58" i="5"/>
  <c r="V58" i="5"/>
  <c r="W58" i="5"/>
  <c r="X58" i="5"/>
  <c r="AA58" i="5"/>
  <c r="AB58" i="5"/>
  <c r="AC58" i="5"/>
  <c r="AD58" i="5"/>
  <c r="AF58" i="5"/>
  <c r="AG58" i="5"/>
  <c r="AH58" i="5"/>
  <c r="AJ58" i="5"/>
  <c r="E59" i="5"/>
  <c r="F59" i="5"/>
  <c r="J59" i="5"/>
  <c r="Q59" i="5"/>
  <c r="T59" i="5"/>
  <c r="V59" i="5"/>
  <c r="W59" i="5"/>
  <c r="X59" i="5"/>
  <c r="AA59" i="5"/>
  <c r="AB59" i="5"/>
  <c r="AC59" i="5"/>
  <c r="AD59" i="5"/>
  <c r="AF59" i="5"/>
  <c r="AG59" i="5"/>
  <c r="AH59" i="5"/>
  <c r="AJ59" i="5"/>
  <c r="F60" i="5"/>
  <c r="J60" i="5"/>
  <c r="Q60" i="5"/>
  <c r="T60" i="5"/>
  <c r="V60" i="5"/>
  <c r="W60" i="5"/>
  <c r="X60" i="5"/>
  <c r="AA60" i="5"/>
  <c r="AB60" i="5"/>
  <c r="AC60" i="5"/>
  <c r="AD60" i="5"/>
  <c r="AF60" i="5"/>
  <c r="AG60" i="5"/>
  <c r="AH60" i="5"/>
  <c r="AJ60" i="5"/>
  <c r="F61" i="5"/>
  <c r="J61" i="5"/>
  <c r="Q61" i="5"/>
  <c r="T61" i="5"/>
  <c r="V61" i="5"/>
  <c r="W61" i="5"/>
  <c r="X61" i="5"/>
  <c r="AA61" i="5"/>
  <c r="AB61" i="5"/>
  <c r="AC61" i="5"/>
  <c r="AD61" i="5"/>
  <c r="AF61" i="5"/>
  <c r="AG61" i="5"/>
  <c r="AH61" i="5"/>
  <c r="AJ61" i="5"/>
  <c r="F62" i="5"/>
  <c r="J62" i="5"/>
  <c r="Q62" i="5"/>
  <c r="T62" i="5"/>
  <c r="V62" i="5"/>
  <c r="W62" i="5"/>
  <c r="X62" i="5"/>
  <c r="AA62" i="5"/>
  <c r="AB62" i="5"/>
  <c r="AC62" i="5"/>
  <c r="AD62" i="5"/>
  <c r="AF62" i="5"/>
  <c r="AG62" i="5"/>
  <c r="AH62" i="5"/>
  <c r="AJ62" i="5"/>
  <c r="F63" i="5"/>
  <c r="J63" i="5"/>
  <c r="Q63" i="5"/>
  <c r="T63" i="5"/>
  <c r="V63" i="5"/>
  <c r="W63" i="5"/>
  <c r="X63" i="5"/>
  <c r="AA63" i="5"/>
  <c r="AB63" i="5"/>
  <c r="AC63" i="5"/>
  <c r="AD63" i="5"/>
  <c r="AF63" i="5"/>
  <c r="AG63" i="5"/>
  <c r="AH63" i="5"/>
  <c r="AJ63" i="5"/>
  <c r="F64" i="5"/>
  <c r="J64" i="5"/>
  <c r="Q64" i="5"/>
  <c r="T64" i="5"/>
  <c r="V64" i="5"/>
  <c r="W64" i="5"/>
  <c r="X64" i="5"/>
  <c r="AA64" i="5"/>
  <c r="AB64" i="5"/>
  <c r="AC64" i="5"/>
  <c r="AD64" i="5"/>
  <c r="AF64" i="5"/>
  <c r="AG64" i="5"/>
  <c r="AH64" i="5"/>
  <c r="AJ64" i="5"/>
  <c r="F65" i="5"/>
  <c r="J65" i="5"/>
  <c r="Q65" i="5"/>
  <c r="T65" i="5"/>
  <c r="V65" i="5"/>
  <c r="W65" i="5"/>
  <c r="X65" i="5"/>
  <c r="AA65" i="5"/>
  <c r="AB65" i="5"/>
  <c r="AC65" i="5"/>
  <c r="AD65" i="5"/>
  <c r="AF65" i="5"/>
  <c r="AG65" i="5"/>
  <c r="AH65" i="5"/>
  <c r="AJ65" i="5"/>
  <c r="F66" i="5"/>
  <c r="J66" i="5"/>
  <c r="Q66" i="5"/>
  <c r="V66" i="5"/>
  <c r="W66" i="5"/>
  <c r="X66" i="5"/>
  <c r="AA66" i="5"/>
  <c r="AB66" i="5"/>
  <c r="AC66" i="5"/>
  <c r="AD66" i="5"/>
  <c r="AF66" i="5"/>
  <c r="AG66" i="5"/>
  <c r="AH66" i="5"/>
  <c r="AJ66" i="5"/>
  <c r="F67" i="5"/>
  <c r="J67" i="5"/>
  <c r="Q67" i="5"/>
  <c r="T67" i="5"/>
  <c r="V67" i="5"/>
  <c r="W67" i="5"/>
  <c r="X67" i="5"/>
  <c r="AA67" i="5"/>
  <c r="AB67" i="5"/>
  <c r="AC67" i="5"/>
  <c r="AD67" i="5"/>
  <c r="AF67" i="5"/>
  <c r="AG67" i="5"/>
  <c r="AH67" i="5"/>
  <c r="AJ67" i="5"/>
  <c r="F68" i="5"/>
  <c r="J68" i="5"/>
  <c r="Q68" i="5"/>
  <c r="T68" i="5"/>
  <c r="V68" i="5"/>
  <c r="W68" i="5"/>
  <c r="X68" i="5"/>
  <c r="AA68" i="5"/>
  <c r="AB68" i="5"/>
  <c r="AC68" i="5"/>
  <c r="AD68" i="5"/>
  <c r="AF68" i="5"/>
  <c r="AG68" i="5"/>
  <c r="AH68" i="5"/>
  <c r="AJ68" i="5"/>
  <c r="F69" i="5"/>
  <c r="J69" i="5"/>
  <c r="Q69" i="5"/>
  <c r="T69" i="5"/>
  <c r="V69" i="5"/>
  <c r="W69" i="5"/>
  <c r="X69" i="5"/>
  <c r="AA69" i="5"/>
  <c r="AB69" i="5"/>
  <c r="AC69" i="5"/>
  <c r="AD69" i="5"/>
  <c r="AF69" i="5"/>
  <c r="AG69" i="5"/>
  <c r="AH69" i="5"/>
  <c r="AJ69" i="5"/>
  <c r="F70" i="5"/>
  <c r="J70" i="5"/>
  <c r="Q70" i="5"/>
  <c r="T70" i="5"/>
  <c r="V70" i="5"/>
  <c r="W70" i="5"/>
  <c r="X70" i="5"/>
  <c r="AA70" i="5"/>
  <c r="AB70" i="5"/>
  <c r="AC70" i="5"/>
  <c r="AD70" i="5"/>
  <c r="AF70" i="5"/>
  <c r="AG70" i="5"/>
  <c r="AH70" i="5"/>
  <c r="AJ70" i="5"/>
  <c r="F71" i="5"/>
  <c r="J71" i="5"/>
  <c r="Q71" i="5"/>
  <c r="T71" i="5"/>
  <c r="V71" i="5"/>
  <c r="W71" i="5"/>
  <c r="X71" i="5"/>
  <c r="AA71" i="5"/>
  <c r="AB71" i="5"/>
  <c r="AC71" i="5"/>
  <c r="AD71" i="5"/>
  <c r="AF71" i="5"/>
  <c r="AG71" i="5"/>
  <c r="AH71" i="5"/>
  <c r="AJ71" i="5"/>
  <c r="F72" i="5"/>
  <c r="J72" i="5"/>
  <c r="Q72" i="5"/>
  <c r="T72" i="5"/>
  <c r="V72" i="5"/>
  <c r="W72" i="5"/>
  <c r="X72" i="5"/>
  <c r="AA72" i="5"/>
  <c r="AB72" i="5"/>
  <c r="AC72" i="5"/>
  <c r="AD72" i="5"/>
  <c r="AF72" i="5"/>
  <c r="AG72" i="5"/>
  <c r="AH72" i="5"/>
  <c r="AJ72" i="5"/>
  <c r="F73" i="5"/>
  <c r="J73" i="5"/>
  <c r="Q73" i="5"/>
  <c r="T73" i="5"/>
  <c r="V73" i="5"/>
  <c r="W73" i="5"/>
  <c r="X73" i="5"/>
  <c r="AA73" i="5"/>
  <c r="AB73" i="5"/>
  <c r="AC73" i="5"/>
  <c r="AD73" i="5"/>
  <c r="AF73" i="5"/>
  <c r="AG73" i="5"/>
  <c r="AH73" i="5"/>
  <c r="AJ73" i="5"/>
  <c r="F74" i="5"/>
  <c r="J74" i="5"/>
  <c r="Q74" i="5"/>
  <c r="T74" i="5"/>
  <c r="V74" i="5"/>
  <c r="W74" i="5"/>
  <c r="X74" i="5"/>
  <c r="AA74" i="5"/>
  <c r="AB74" i="5"/>
  <c r="AC74" i="5"/>
  <c r="AD74" i="5"/>
  <c r="AF74" i="5"/>
  <c r="AG74" i="5"/>
  <c r="AH74" i="5"/>
  <c r="AJ74" i="5"/>
  <c r="F75" i="5"/>
  <c r="J75" i="5"/>
  <c r="Q75" i="5"/>
  <c r="T75" i="5"/>
  <c r="V75" i="5"/>
  <c r="W75" i="5"/>
  <c r="X75" i="5"/>
  <c r="AA75" i="5"/>
  <c r="AB75" i="5"/>
  <c r="AC75" i="5"/>
  <c r="AD75" i="5"/>
  <c r="AF75" i="5"/>
  <c r="AG75" i="5"/>
  <c r="AH75" i="5"/>
  <c r="AJ75" i="5"/>
  <c r="F76" i="5"/>
  <c r="J76" i="5"/>
  <c r="Q76" i="5"/>
  <c r="T76" i="5"/>
  <c r="V76" i="5"/>
  <c r="W76" i="5"/>
  <c r="X76" i="5"/>
  <c r="AA76" i="5"/>
  <c r="AB76" i="5"/>
  <c r="AC76" i="5"/>
  <c r="AD76" i="5"/>
  <c r="AF76" i="5"/>
  <c r="AG76" i="5"/>
  <c r="AH76" i="5"/>
  <c r="AJ76" i="5"/>
  <c r="F77" i="5"/>
  <c r="J77" i="5"/>
  <c r="Q77" i="5"/>
  <c r="T77" i="5"/>
  <c r="V77" i="5"/>
  <c r="W77" i="5"/>
  <c r="X77" i="5"/>
  <c r="AA77" i="5"/>
  <c r="AB77" i="5"/>
  <c r="AC77" i="5"/>
  <c r="AD77" i="5"/>
  <c r="AF77" i="5"/>
  <c r="AG77" i="5"/>
  <c r="AH77" i="5"/>
  <c r="AJ77" i="5"/>
  <c r="F78" i="5"/>
  <c r="J78" i="5"/>
  <c r="Q78" i="5"/>
  <c r="T78" i="5"/>
  <c r="V78" i="5"/>
  <c r="W78" i="5"/>
  <c r="X78" i="5"/>
  <c r="AA78" i="5"/>
  <c r="AB78" i="5"/>
  <c r="AC78" i="5"/>
  <c r="AD78" i="5"/>
  <c r="AF78" i="5"/>
  <c r="AG78" i="5"/>
  <c r="AH78" i="5"/>
  <c r="AJ78" i="5"/>
  <c r="F79" i="5"/>
  <c r="J79" i="5"/>
  <c r="Q79" i="5"/>
  <c r="T79" i="5"/>
  <c r="V79" i="5"/>
  <c r="W79" i="5"/>
  <c r="X79" i="5"/>
  <c r="AA79" i="5"/>
  <c r="AB79" i="5"/>
  <c r="AC79" i="5"/>
  <c r="AD79" i="5"/>
  <c r="AF79" i="5"/>
  <c r="AG79" i="5"/>
  <c r="AH79" i="5"/>
  <c r="AJ79" i="5"/>
  <c r="F80" i="5"/>
  <c r="J80" i="5"/>
  <c r="Q80" i="5"/>
  <c r="T80" i="5"/>
  <c r="V80" i="5"/>
  <c r="W80" i="5"/>
  <c r="X80" i="5"/>
  <c r="AA80" i="5"/>
  <c r="AB80" i="5"/>
  <c r="AC80" i="5"/>
  <c r="AD80" i="5"/>
  <c r="AF80" i="5"/>
  <c r="AG80" i="5"/>
  <c r="AH80" i="5"/>
  <c r="AJ80" i="5"/>
  <c r="F81" i="5"/>
  <c r="J81" i="5"/>
  <c r="Q81" i="5"/>
  <c r="T81" i="5"/>
  <c r="V81" i="5"/>
  <c r="W81" i="5"/>
  <c r="X81" i="5"/>
  <c r="AA81" i="5"/>
  <c r="AB81" i="5"/>
  <c r="AC81" i="5"/>
  <c r="AD81" i="5"/>
  <c r="AF81" i="5"/>
  <c r="AG81" i="5"/>
  <c r="AH81" i="5"/>
  <c r="AJ81" i="5"/>
  <c r="F82" i="5"/>
  <c r="J82" i="5"/>
  <c r="Q82" i="5"/>
  <c r="R82" i="5"/>
  <c r="T82" i="5"/>
  <c r="V82" i="5"/>
  <c r="W82" i="5"/>
  <c r="X82" i="5"/>
  <c r="AA82" i="5"/>
  <c r="AB82" i="5"/>
  <c r="AC82" i="5"/>
  <c r="AD82" i="5"/>
  <c r="AF82" i="5"/>
  <c r="AG82" i="5"/>
  <c r="AH82" i="5"/>
  <c r="AJ82" i="5"/>
  <c r="F83" i="5"/>
  <c r="J83" i="5"/>
  <c r="Q83" i="5"/>
  <c r="T83" i="5"/>
  <c r="V83" i="5"/>
  <c r="W83" i="5"/>
  <c r="X83" i="5"/>
  <c r="AA83" i="5"/>
  <c r="AB83" i="5"/>
  <c r="AC83" i="5"/>
  <c r="AD83" i="5"/>
  <c r="AF83" i="5"/>
  <c r="AG83" i="5"/>
  <c r="AH83" i="5"/>
  <c r="AJ83" i="5"/>
  <c r="F84" i="5"/>
  <c r="J84" i="5"/>
  <c r="Q84" i="5"/>
  <c r="T84" i="5"/>
  <c r="V84" i="5"/>
  <c r="W84" i="5"/>
  <c r="X84" i="5"/>
  <c r="AA84" i="5"/>
  <c r="AB84" i="5"/>
  <c r="AC84" i="5"/>
  <c r="AD84" i="5"/>
  <c r="AF84" i="5"/>
  <c r="AG84" i="5"/>
  <c r="AH84" i="5"/>
  <c r="AJ84" i="5"/>
  <c r="F85" i="5"/>
  <c r="J85" i="5"/>
  <c r="Q85" i="5"/>
  <c r="T85" i="5"/>
  <c r="V85" i="5"/>
  <c r="W85" i="5"/>
  <c r="X85" i="5"/>
  <c r="AA85" i="5"/>
  <c r="AB85" i="5"/>
  <c r="AC85" i="5"/>
  <c r="AD85" i="5"/>
  <c r="AF85" i="5"/>
  <c r="AG85" i="5"/>
  <c r="AH85" i="5"/>
  <c r="AJ85" i="5"/>
  <c r="F86" i="5"/>
  <c r="J86" i="5"/>
  <c r="Q86" i="5"/>
  <c r="T86" i="5"/>
  <c r="V86" i="5"/>
  <c r="W86" i="5"/>
  <c r="X86" i="5"/>
  <c r="AA86" i="5"/>
  <c r="AB86" i="5"/>
  <c r="AC86" i="5"/>
  <c r="AD86" i="5"/>
  <c r="AF86" i="5"/>
  <c r="AG86" i="5"/>
  <c r="AH86" i="5"/>
  <c r="AJ86" i="5"/>
  <c r="F87" i="5"/>
  <c r="J87" i="5"/>
  <c r="Q87" i="5"/>
  <c r="T87" i="5"/>
  <c r="V87" i="5"/>
  <c r="W87" i="5"/>
  <c r="X87" i="5"/>
  <c r="AA87" i="5"/>
  <c r="AB87" i="5"/>
  <c r="AC87" i="5"/>
  <c r="AD87" i="5"/>
  <c r="AF87" i="5"/>
  <c r="AG87" i="5"/>
  <c r="AH87" i="5"/>
  <c r="AJ87" i="5"/>
  <c r="F88" i="5"/>
  <c r="J88" i="5"/>
  <c r="Q88" i="5"/>
  <c r="T88" i="5"/>
  <c r="V88" i="5"/>
  <c r="W88" i="5"/>
  <c r="X88" i="5"/>
  <c r="AA88" i="5"/>
  <c r="AB88" i="5"/>
  <c r="AC88" i="5"/>
  <c r="AD88" i="5"/>
  <c r="AF88" i="5"/>
  <c r="AG88" i="5"/>
  <c r="AH88" i="5"/>
  <c r="AJ88" i="5"/>
  <c r="F89" i="5"/>
  <c r="J89" i="5"/>
  <c r="Q89" i="5"/>
  <c r="T89" i="5"/>
  <c r="V89" i="5"/>
  <c r="W89" i="5"/>
  <c r="X89" i="5"/>
  <c r="AA89" i="5"/>
  <c r="AB89" i="5"/>
  <c r="AC89" i="5"/>
  <c r="AD89" i="5"/>
  <c r="AF89" i="5"/>
  <c r="AG89" i="5"/>
  <c r="AH89" i="5"/>
  <c r="AJ89" i="5"/>
  <c r="F90" i="5"/>
  <c r="J90" i="5"/>
  <c r="Q90" i="5"/>
  <c r="T90" i="5"/>
  <c r="V90" i="5"/>
  <c r="W90" i="5"/>
  <c r="X90" i="5"/>
  <c r="AA90" i="5"/>
  <c r="AB90" i="5"/>
  <c r="AC90" i="5"/>
  <c r="AD90" i="5"/>
  <c r="AF90" i="5"/>
  <c r="AG90" i="5"/>
  <c r="AH90" i="5"/>
  <c r="AJ90" i="5"/>
  <c r="F91" i="5"/>
  <c r="J91" i="5"/>
  <c r="Q91" i="5"/>
  <c r="T91" i="5"/>
  <c r="V91" i="5"/>
  <c r="W91" i="5"/>
  <c r="X91" i="5"/>
  <c r="AA91" i="5"/>
  <c r="AB91" i="5"/>
  <c r="AC91" i="5"/>
  <c r="AD91" i="5"/>
  <c r="AF91" i="5"/>
  <c r="AG91" i="5"/>
  <c r="AH91" i="5"/>
  <c r="AJ91" i="5"/>
  <c r="F92" i="5"/>
  <c r="J92" i="5"/>
  <c r="Q92" i="5"/>
  <c r="T92" i="5"/>
  <c r="V92" i="5"/>
  <c r="W92" i="5"/>
  <c r="X92" i="5"/>
  <c r="AA92" i="5"/>
  <c r="AB92" i="5"/>
  <c r="AC92" i="5"/>
  <c r="AD92" i="5"/>
  <c r="AF92" i="5"/>
  <c r="AG92" i="5"/>
  <c r="AH92" i="5"/>
  <c r="AJ92" i="5"/>
  <c r="F93" i="5"/>
  <c r="J93" i="5"/>
  <c r="Q93" i="5"/>
  <c r="T93" i="5"/>
  <c r="V93" i="5"/>
  <c r="W93" i="5"/>
  <c r="X93" i="5"/>
  <c r="AA93" i="5"/>
  <c r="AB93" i="5"/>
  <c r="AC93" i="5"/>
  <c r="AD93" i="5"/>
  <c r="AF93" i="5"/>
  <c r="AG93" i="5"/>
  <c r="AH93" i="5"/>
  <c r="AJ93" i="5"/>
  <c r="F94" i="5"/>
  <c r="J94" i="5"/>
  <c r="Q94" i="5"/>
  <c r="T94" i="5"/>
  <c r="V94" i="5"/>
  <c r="W94" i="5"/>
  <c r="X94" i="5"/>
  <c r="AA94" i="5"/>
  <c r="AB94" i="5"/>
  <c r="AC94" i="5"/>
  <c r="AD94" i="5"/>
  <c r="AF94" i="5"/>
  <c r="AG94" i="5"/>
  <c r="AH94" i="5"/>
  <c r="AJ94" i="5"/>
  <c r="F95" i="5"/>
  <c r="J95" i="5"/>
  <c r="Q95" i="5"/>
  <c r="T95" i="5"/>
  <c r="V95" i="5"/>
  <c r="W95" i="5"/>
  <c r="X95" i="5"/>
  <c r="AA95" i="5"/>
  <c r="AB95" i="5"/>
  <c r="AC95" i="5"/>
  <c r="AD95" i="5"/>
  <c r="AF95" i="5"/>
  <c r="AG95" i="5"/>
  <c r="AH95" i="5"/>
  <c r="AJ95" i="5"/>
  <c r="F96" i="5"/>
  <c r="J96" i="5"/>
  <c r="Q96" i="5"/>
  <c r="T96" i="5"/>
  <c r="V96" i="5"/>
  <c r="W96" i="5"/>
  <c r="X96" i="5"/>
  <c r="AA96" i="5"/>
  <c r="AB96" i="5"/>
  <c r="AC96" i="5"/>
  <c r="AD96" i="5"/>
  <c r="AF96" i="5"/>
  <c r="AG96" i="5"/>
  <c r="AH96" i="5"/>
  <c r="AJ96" i="5"/>
  <c r="F97" i="5"/>
  <c r="J97" i="5"/>
  <c r="Q97" i="5"/>
  <c r="T97" i="5"/>
  <c r="V97" i="5"/>
  <c r="W97" i="5"/>
  <c r="X97" i="5"/>
  <c r="AA97" i="5"/>
  <c r="AB97" i="5"/>
  <c r="AC97" i="5"/>
  <c r="AD97" i="5"/>
  <c r="AF97" i="5"/>
  <c r="AG97" i="5"/>
  <c r="AH97" i="5"/>
  <c r="AJ97" i="5"/>
  <c r="F98" i="5"/>
  <c r="J98" i="5"/>
  <c r="Q98" i="5"/>
  <c r="T98" i="5"/>
  <c r="V98" i="5"/>
  <c r="W98" i="5"/>
  <c r="X98" i="5"/>
  <c r="AA98" i="5"/>
  <c r="AB98" i="5"/>
  <c r="AC98" i="5"/>
  <c r="AD98" i="5"/>
  <c r="AF98" i="5"/>
  <c r="AG98" i="5"/>
  <c r="AH98" i="5"/>
  <c r="AJ98" i="5"/>
  <c r="F99" i="5"/>
  <c r="J99" i="5"/>
  <c r="Q99" i="5"/>
  <c r="T99" i="5"/>
  <c r="V99" i="5"/>
  <c r="W99" i="5"/>
  <c r="X99" i="5"/>
  <c r="AA99" i="5"/>
  <c r="AB99" i="5"/>
  <c r="AC99" i="5"/>
  <c r="AD99" i="5"/>
  <c r="AF99" i="5"/>
  <c r="AG99" i="5"/>
  <c r="AH99" i="5"/>
  <c r="AJ99" i="5"/>
  <c r="F100" i="5"/>
  <c r="J100" i="5"/>
  <c r="Q100" i="5"/>
  <c r="T100" i="5"/>
  <c r="V100" i="5"/>
  <c r="W100" i="5"/>
  <c r="X100" i="5"/>
  <c r="AA100" i="5"/>
  <c r="AB100" i="5"/>
  <c r="AC100" i="5"/>
  <c r="AD100" i="5"/>
  <c r="AF100" i="5"/>
  <c r="AG100" i="5"/>
  <c r="AH100" i="5"/>
  <c r="AJ100" i="5"/>
  <c r="F101" i="5"/>
  <c r="J101" i="5"/>
  <c r="Q101" i="5"/>
  <c r="T101" i="5"/>
  <c r="V101" i="5"/>
  <c r="W101" i="5"/>
  <c r="X101" i="5"/>
  <c r="AA101" i="5"/>
  <c r="AB101" i="5"/>
  <c r="AC101" i="5"/>
  <c r="AD101" i="5"/>
  <c r="AF101" i="5"/>
  <c r="AG101" i="5"/>
  <c r="AH101" i="5"/>
  <c r="AJ101" i="5"/>
  <c r="F102" i="5"/>
  <c r="J102" i="5"/>
  <c r="Q102" i="5"/>
  <c r="T102" i="5"/>
  <c r="V102" i="5"/>
  <c r="W102" i="5"/>
  <c r="X102" i="5"/>
  <c r="AA102" i="5"/>
  <c r="AB102" i="5"/>
  <c r="AC102" i="5"/>
  <c r="AD102" i="5"/>
  <c r="AF102" i="5"/>
  <c r="AG102" i="5"/>
  <c r="AH102" i="5"/>
  <c r="AJ102" i="5"/>
  <c r="F103" i="5"/>
  <c r="J103" i="5"/>
  <c r="Q103" i="5"/>
  <c r="T103" i="5"/>
  <c r="V103" i="5"/>
  <c r="W103" i="5"/>
  <c r="X103" i="5"/>
  <c r="AA103" i="5"/>
  <c r="AB103" i="5"/>
  <c r="AC103" i="5"/>
  <c r="AD103" i="5"/>
  <c r="AF103" i="5"/>
  <c r="AG103" i="5"/>
  <c r="AH103" i="5"/>
  <c r="AJ103" i="5"/>
  <c r="F104" i="5"/>
  <c r="J104" i="5"/>
  <c r="Q104" i="5"/>
  <c r="T104" i="5"/>
  <c r="V104" i="5"/>
  <c r="W104" i="5"/>
  <c r="X104" i="5"/>
  <c r="AA104" i="5"/>
  <c r="AB104" i="5"/>
  <c r="AC104" i="5"/>
  <c r="AD104" i="5"/>
  <c r="AF104" i="5"/>
  <c r="AG104" i="5"/>
  <c r="AH104" i="5"/>
  <c r="AJ104" i="5"/>
  <c r="F105" i="5"/>
  <c r="J105" i="5"/>
  <c r="Q105" i="5"/>
  <c r="T105" i="5"/>
  <c r="V105" i="5"/>
  <c r="W105" i="5"/>
  <c r="X105" i="5"/>
  <c r="AA105" i="5"/>
  <c r="AB105" i="5"/>
  <c r="AC105" i="5"/>
  <c r="AD105" i="5"/>
  <c r="AF105" i="5"/>
  <c r="AG105" i="5"/>
  <c r="AH105" i="5"/>
  <c r="AJ105" i="5"/>
  <c r="F106" i="5"/>
  <c r="J106" i="5"/>
  <c r="Q106" i="5"/>
  <c r="T106" i="5"/>
  <c r="V106" i="5"/>
  <c r="W106" i="5"/>
  <c r="X106" i="5"/>
  <c r="AA106" i="5"/>
  <c r="AB106" i="5"/>
  <c r="AC106" i="5"/>
  <c r="AD106" i="5"/>
  <c r="AF106" i="5"/>
  <c r="AG106" i="5"/>
  <c r="AH106" i="5"/>
  <c r="AJ106" i="5"/>
  <c r="F107" i="5"/>
  <c r="I107" i="5"/>
  <c r="J107" i="5"/>
  <c r="Q107" i="5"/>
  <c r="T107" i="5"/>
  <c r="V107" i="5"/>
  <c r="W107" i="5"/>
  <c r="X107" i="5"/>
  <c r="AA107" i="5"/>
  <c r="AB107" i="5"/>
  <c r="AC107" i="5"/>
  <c r="AD107" i="5"/>
  <c r="AF107" i="5"/>
  <c r="AG107" i="5"/>
  <c r="AH107" i="5"/>
  <c r="AJ107" i="5"/>
  <c r="F108" i="5"/>
  <c r="J108" i="5"/>
  <c r="Q108" i="5"/>
  <c r="T108" i="5"/>
  <c r="V108" i="5"/>
  <c r="W108" i="5"/>
  <c r="X108" i="5"/>
  <c r="AA108" i="5"/>
  <c r="AB108" i="5"/>
  <c r="AC108" i="5"/>
  <c r="AD108" i="5"/>
  <c r="AF108" i="5"/>
  <c r="AG108" i="5"/>
  <c r="AH108" i="5"/>
  <c r="AJ108" i="5"/>
  <c r="F109" i="5"/>
  <c r="J109" i="5"/>
  <c r="Q109" i="5"/>
  <c r="T109" i="5"/>
  <c r="V109" i="5"/>
  <c r="W109" i="5"/>
  <c r="X109" i="5"/>
  <c r="AA109" i="5"/>
  <c r="AB109" i="5"/>
  <c r="AC109" i="5"/>
  <c r="AD109" i="5"/>
  <c r="AF109" i="5"/>
  <c r="AG109" i="5"/>
  <c r="AH109" i="5"/>
  <c r="AJ109" i="5"/>
  <c r="F110" i="5"/>
  <c r="J110" i="5"/>
  <c r="Q110" i="5"/>
  <c r="T110" i="5"/>
  <c r="V110" i="5"/>
  <c r="W110" i="5"/>
  <c r="X110" i="5"/>
  <c r="AA110" i="5"/>
  <c r="AB110" i="5"/>
  <c r="AC110" i="5"/>
  <c r="AD110" i="5"/>
  <c r="AF110" i="5"/>
  <c r="AG110" i="5"/>
  <c r="AH110" i="5"/>
  <c r="AJ110" i="5"/>
  <c r="F111" i="5"/>
  <c r="J111" i="5"/>
  <c r="Q111" i="5"/>
  <c r="T111" i="5"/>
  <c r="V111" i="5"/>
  <c r="W111" i="5"/>
  <c r="X111" i="5"/>
  <c r="AA111" i="5"/>
  <c r="AB111" i="5"/>
  <c r="AC111" i="5"/>
  <c r="AD111" i="5"/>
  <c r="AF111" i="5"/>
  <c r="AG111" i="5"/>
  <c r="AH111" i="5"/>
  <c r="AJ111" i="5"/>
  <c r="F112" i="5"/>
  <c r="J112" i="5"/>
  <c r="Q112" i="5"/>
  <c r="T112" i="5"/>
  <c r="V112" i="5"/>
  <c r="W112" i="5"/>
  <c r="X112" i="5"/>
  <c r="AA112" i="5"/>
  <c r="AB112" i="5"/>
  <c r="AC112" i="5"/>
  <c r="AD112" i="5"/>
  <c r="AF112" i="5"/>
  <c r="AG112" i="5"/>
  <c r="AH112" i="5"/>
  <c r="AJ112" i="5"/>
  <c r="F113" i="5"/>
  <c r="J113" i="5"/>
  <c r="Q113" i="5"/>
  <c r="T113" i="5"/>
  <c r="V113" i="5"/>
  <c r="W113" i="5"/>
  <c r="X113" i="5"/>
  <c r="AA113" i="5"/>
  <c r="AB113" i="5"/>
  <c r="AC113" i="5"/>
  <c r="AD113" i="5"/>
  <c r="AF113" i="5"/>
  <c r="AG113" i="5"/>
  <c r="AH113" i="5"/>
  <c r="AJ113" i="5"/>
  <c r="F114" i="5"/>
  <c r="J114" i="5"/>
  <c r="Q114" i="5"/>
  <c r="T114" i="5"/>
  <c r="V114" i="5"/>
  <c r="W114" i="5"/>
  <c r="X114" i="5"/>
  <c r="AA114" i="5"/>
  <c r="AB114" i="5"/>
  <c r="AC114" i="5"/>
  <c r="AD114" i="5"/>
  <c r="AF114" i="5"/>
  <c r="AG114" i="5"/>
  <c r="AH114" i="5"/>
  <c r="AJ114" i="5"/>
  <c r="F115" i="5"/>
  <c r="J115" i="5"/>
  <c r="Q115" i="5"/>
  <c r="T115" i="5"/>
  <c r="V115" i="5"/>
  <c r="W115" i="5"/>
  <c r="X115" i="5"/>
  <c r="AA115" i="5"/>
  <c r="AB115" i="5"/>
  <c r="AC115" i="5"/>
  <c r="AD115" i="5"/>
  <c r="AF115" i="5"/>
  <c r="AG115" i="5"/>
  <c r="AH115" i="5"/>
  <c r="AJ115" i="5"/>
  <c r="F116" i="5"/>
  <c r="J116" i="5"/>
  <c r="Q116" i="5"/>
  <c r="T116" i="5"/>
  <c r="V116" i="5"/>
  <c r="W116" i="5"/>
  <c r="X116" i="5"/>
  <c r="AA116" i="5"/>
  <c r="AB116" i="5"/>
  <c r="AC116" i="5"/>
  <c r="AD116" i="5"/>
  <c r="AF116" i="5"/>
  <c r="AG116" i="5"/>
  <c r="AH116" i="5"/>
  <c r="AJ116" i="5"/>
  <c r="F117" i="5"/>
  <c r="J117" i="5"/>
  <c r="Q117" i="5"/>
  <c r="T117" i="5"/>
  <c r="V117" i="5"/>
  <c r="W117" i="5"/>
  <c r="X117" i="5"/>
  <c r="AA117" i="5"/>
  <c r="AB117" i="5"/>
  <c r="AC117" i="5"/>
  <c r="AD117" i="5"/>
  <c r="AF117" i="5"/>
  <c r="AG117" i="5"/>
  <c r="AH117" i="5"/>
  <c r="AJ117" i="5"/>
  <c r="F118" i="5"/>
  <c r="I118" i="5"/>
  <c r="J118" i="5"/>
  <c r="Q118" i="5"/>
  <c r="T118" i="5"/>
  <c r="V118" i="5"/>
  <c r="W118" i="5"/>
  <c r="X118" i="5"/>
  <c r="AA118" i="5"/>
  <c r="AB118" i="5"/>
  <c r="AC118" i="5"/>
  <c r="AD118" i="5"/>
  <c r="AF118" i="5"/>
  <c r="AG118" i="5"/>
  <c r="AH118" i="5"/>
  <c r="AJ118" i="5"/>
  <c r="F119" i="5"/>
  <c r="J119" i="5"/>
  <c r="Q119" i="5"/>
  <c r="T119" i="5"/>
  <c r="V119" i="5"/>
  <c r="W119" i="5"/>
  <c r="X119" i="5"/>
  <c r="AA119" i="5"/>
  <c r="AB119" i="5"/>
  <c r="AC119" i="5"/>
  <c r="AD119" i="5"/>
  <c r="AF119" i="5"/>
  <c r="AG119" i="5"/>
  <c r="AH119" i="5"/>
  <c r="AJ119" i="5"/>
  <c r="F120" i="5"/>
  <c r="J120" i="5"/>
  <c r="Q120" i="5"/>
  <c r="T120" i="5"/>
  <c r="V120" i="5"/>
  <c r="W120" i="5"/>
  <c r="X120" i="5"/>
  <c r="AA120" i="5"/>
  <c r="AB120" i="5"/>
  <c r="AC120" i="5"/>
  <c r="AD120" i="5"/>
  <c r="AF120" i="5"/>
  <c r="AG120" i="5"/>
  <c r="AH120" i="5"/>
  <c r="AJ120" i="5"/>
  <c r="F121" i="5"/>
  <c r="J121" i="5"/>
  <c r="Q121" i="5"/>
  <c r="T121" i="5"/>
  <c r="V121" i="5"/>
  <c r="W121" i="5"/>
  <c r="X121" i="5"/>
  <c r="AA121" i="5"/>
  <c r="AB121" i="5"/>
  <c r="AC121" i="5"/>
  <c r="AD121" i="5"/>
  <c r="AF121" i="5"/>
  <c r="AG121" i="5"/>
  <c r="AH121" i="5"/>
  <c r="AJ121" i="5"/>
  <c r="F122" i="5"/>
  <c r="J122" i="5"/>
  <c r="Q122" i="5"/>
  <c r="T122" i="5"/>
  <c r="V122" i="5"/>
  <c r="W122" i="5"/>
  <c r="X122" i="5"/>
  <c r="AA122" i="5"/>
  <c r="AB122" i="5"/>
  <c r="AC122" i="5"/>
  <c r="AD122" i="5"/>
  <c r="AF122" i="5"/>
  <c r="AG122" i="5"/>
  <c r="AH122" i="5"/>
  <c r="AJ122" i="5"/>
  <c r="F123" i="5"/>
  <c r="J123" i="5"/>
  <c r="Q123" i="5"/>
  <c r="T123" i="5"/>
  <c r="V123" i="5"/>
  <c r="W123" i="5"/>
  <c r="X123" i="5"/>
  <c r="AA123" i="5"/>
  <c r="AB123" i="5"/>
  <c r="AC123" i="5"/>
  <c r="AD123" i="5"/>
  <c r="AF123" i="5"/>
  <c r="AG123" i="5"/>
  <c r="AH123" i="5"/>
  <c r="AJ123" i="5"/>
  <c r="F124" i="5"/>
  <c r="J124" i="5"/>
  <c r="Q124" i="5"/>
  <c r="T124" i="5"/>
  <c r="V124" i="5"/>
  <c r="W124" i="5"/>
  <c r="X124" i="5"/>
  <c r="AA124" i="5"/>
  <c r="AB124" i="5"/>
  <c r="AC124" i="5"/>
  <c r="AD124" i="5"/>
  <c r="AF124" i="5"/>
  <c r="AG124" i="5"/>
  <c r="AH124" i="5"/>
  <c r="AJ124" i="5"/>
  <c r="F125" i="5"/>
  <c r="J125" i="5"/>
  <c r="Q125" i="5"/>
  <c r="T125" i="5"/>
  <c r="V125" i="5"/>
  <c r="W125" i="5"/>
  <c r="X125" i="5"/>
  <c r="AA125" i="5"/>
  <c r="AB125" i="5"/>
  <c r="AC125" i="5"/>
  <c r="AD125" i="5"/>
  <c r="AF125" i="5"/>
  <c r="AG125" i="5"/>
  <c r="AH125" i="5"/>
  <c r="AJ125" i="5"/>
  <c r="E126" i="5"/>
  <c r="F126" i="5"/>
  <c r="J126" i="5"/>
  <c r="Q126" i="5"/>
  <c r="T126" i="5"/>
  <c r="V126" i="5"/>
  <c r="W126" i="5"/>
  <c r="X126" i="5"/>
  <c r="AA126" i="5"/>
  <c r="AB126" i="5"/>
  <c r="AC126" i="5"/>
  <c r="AD126" i="5"/>
  <c r="AF126" i="5"/>
  <c r="AG126" i="5"/>
  <c r="AH126" i="5"/>
  <c r="AJ126" i="5"/>
  <c r="F127" i="5"/>
  <c r="J127" i="5"/>
  <c r="Q127" i="5"/>
  <c r="T127" i="5"/>
  <c r="V127" i="5"/>
  <c r="W127" i="5"/>
  <c r="X127" i="5"/>
  <c r="AA127" i="5"/>
  <c r="AB127" i="5"/>
  <c r="AC127" i="5"/>
  <c r="AD127" i="5"/>
  <c r="AF127" i="5"/>
  <c r="AG127" i="5"/>
  <c r="AH127" i="5"/>
  <c r="AJ127" i="5"/>
  <c r="F128" i="5"/>
  <c r="J128" i="5"/>
  <c r="Q128" i="5"/>
  <c r="T128" i="5"/>
  <c r="V128" i="5"/>
  <c r="W128" i="5"/>
  <c r="X128" i="5"/>
  <c r="AA128" i="5"/>
  <c r="AB128" i="5"/>
  <c r="AC128" i="5"/>
  <c r="AD128" i="5"/>
  <c r="AF128" i="5"/>
  <c r="AG128" i="5"/>
  <c r="AH128" i="5"/>
  <c r="AJ128" i="5"/>
  <c r="F129" i="5"/>
  <c r="I129" i="5"/>
  <c r="J129" i="5"/>
  <c r="Q129" i="5"/>
  <c r="T129" i="5"/>
  <c r="V129" i="5"/>
  <c r="W129" i="5"/>
  <c r="X129" i="5"/>
  <c r="AA129" i="5"/>
  <c r="AB129" i="5"/>
  <c r="AC129" i="5"/>
  <c r="AD129" i="5"/>
  <c r="AF129" i="5"/>
  <c r="AG129" i="5"/>
  <c r="AH129" i="5"/>
  <c r="AJ129" i="5"/>
  <c r="F130" i="5"/>
  <c r="J130" i="5"/>
  <c r="Q130" i="5"/>
  <c r="T130" i="5"/>
  <c r="V130" i="5"/>
  <c r="W130" i="5"/>
  <c r="X130" i="5"/>
  <c r="AA130" i="5"/>
  <c r="AB130" i="5"/>
  <c r="AC130" i="5"/>
  <c r="AD130" i="5"/>
  <c r="AF130" i="5"/>
  <c r="AG130" i="5"/>
  <c r="AH130" i="5"/>
  <c r="AJ130" i="5"/>
  <c r="F131" i="5"/>
  <c r="J131" i="5"/>
  <c r="Q131" i="5"/>
  <c r="T131" i="5"/>
  <c r="V131" i="5"/>
  <c r="W131" i="5"/>
  <c r="X131" i="5"/>
  <c r="AA131" i="5"/>
  <c r="AB131" i="5"/>
  <c r="AC131" i="5"/>
  <c r="AD131" i="5"/>
  <c r="AF131" i="5"/>
  <c r="AG131" i="5"/>
  <c r="AH131" i="5"/>
  <c r="AJ131" i="5"/>
  <c r="F132" i="5"/>
  <c r="J132" i="5"/>
  <c r="Q132" i="5"/>
  <c r="T132" i="5"/>
  <c r="V132" i="5"/>
  <c r="W132" i="5"/>
  <c r="X132" i="5"/>
  <c r="AA132" i="5"/>
  <c r="AB132" i="5"/>
  <c r="AC132" i="5"/>
  <c r="AD132" i="5"/>
  <c r="AF132" i="5"/>
  <c r="AG132" i="5"/>
  <c r="AH132" i="5"/>
  <c r="AJ132" i="5"/>
  <c r="F133" i="5"/>
  <c r="J133" i="5"/>
  <c r="Q133" i="5"/>
  <c r="T133" i="5"/>
  <c r="V133" i="5"/>
  <c r="W133" i="5"/>
  <c r="X133" i="5"/>
  <c r="AA133" i="5"/>
  <c r="AB133" i="5"/>
  <c r="AC133" i="5"/>
  <c r="AD133" i="5"/>
  <c r="AF133" i="5"/>
  <c r="AG133" i="5"/>
  <c r="AH133" i="5"/>
  <c r="AJ133" i="5"/>
  <c r="F134" i="5"/>
  <c r="J134" i="5"/>
  <c r="Q134" i="5"/>
  <c r="T134" i="5"/>
  <c r="V134" i="5"/>
  <c r="W134" i="5"/>
  <c r="X134" i="5"/>
  <c r="AA134" i="5"/>
  <c r="AB134" i="5"/>
  <c r="AC134" i="5"/>
  <c r="AD134" i="5"/>
  <c r="AF134" i="5"/>
  <c r="AG134" i="5"/>
  <c r="AH134" i="5"/>
  <c r="AJ134" i="5"/>
  <c r="F135" i="5"/>
  <c r="J135" i="5"/>
  <c r="Q135" i="5"/>
  <c r="T135" i="5"/>
  <c r="V135" i="5"/>
  <c r="W135" i="5"/>
  <c r="X135" i="5"/>
  <c r="AA135" i="5"/>
  <c r="AB135" i="5"/>
  <c r="AC135" i="5"/>
  <c r="AD135" i="5"/>
  <c r="AF135" i="5"/>
  <c r="AG135" i="5"/>
  <c r="AH135" i="5"/>
  <c r="AJ135" i="5"/>
  <c r="F136" i="5"/>
  <c r="J136" i="5"/>
  <c r="Q136" i="5"/>
  <c r="T136" i="5"/>
  <c r="V136" i="5"/>
  <c r="W136" i="5"/>
  <c r="X136" i="5"/>
  <c r="AA136" i="5"/>
  <c r="AB136" i="5"/>
  <c r="AC136" i="5"/>
  <c r="AD136" i="5"/>
  <c r="AF136" i="5"/>
  <c r="AG136" i="5"/>
  <c r="AH136" i="5"/>
  <c r="AJ136" i="5"/>
  <c r="F137" i="5"/>
  <c r="J137" i="5"/>
  <c r="Q137" i="5"/>
  <c r="T137" i="5"/>
  <c r="V137" i="5"/>
  <c r="W137" i="5"/>
  <c r="X137" i="5"/>
  <c r="AA137" i="5"/>
  <c r="AB137" i="5"/>
  <c r="AC137" i="5"/>
  <c r="AD137" i="5"/>
  <c r="AF137" i="5"/>
  <c r="AG137" i="5"/>
  <c r="AH137" i="5"/>
  <c r="AJ137" i="5"/>
  <c r="F138" i="5"/>
  <c r="J138" i="5"/>
  <c r="Q138" i="5"/>
  <c r="T138" i="5"/>
  <c r="V138" i="5"/>
  <c r="W138" i="5"/>
  <c r="X138" i="5"/>
  <c r="AA138" i="5"/>
  <c r="AB138" i="5"/>
  <c r="AC138" i="5"/>
  <c r="AD138" i="5"/>
  <c r="AF138" i="5"/>
  <c r="AG138" i="5"/>
  <c r="AH138" i="5"/>
  <c r="AJ138" i="5"/>
  <c r="F139" i="5"/>
  <c r="I139" i="5"/>
  <c r="J139" i="5"/>
  <c r="Q139" i="5"/>
  <c r="T139" i="5"/>
  <c r="V139" i="5"/>
  <c r="W139" i="5"/>
  <c r="X139" i="5"/>
  <c r="AA139" i="5"/>
  <c r="AB139" i="5"/>
  <c r="AC139" i="5"/>
  <c r="AD139" i="5"/>
  <c r="AF139" i="5"/>
  <c r="AG139" i="5"/>
  <c r="AH139" i="5"/>
  <c r="AJ139" i="5"/>
  <c r="F140" i="5"/>
  <c r="J140" i="5"/>
  <c r="Q140" i="5"/>
  <c r="T140" i="5"/>
  <c r="V140" i="5"/>
  <c r="W140" i="5"/>
  <c r="X140" i="5"/>
  <c r="AA140" i="5"/>
  <c r="AB140" i="5"/>
  <c r="AC140" i="5"/>
  <c r="AD140" i="5"/>
  <c r="AF140" i="5"/>
  <c r="AG140" i="5"/>
  <c r="AH140" i="5"/>
  <c r="AJ140" i="5"/>
  <c r="F141" i="5"/>
  <c r="J141" i="5"/>
  <c r="Q141" i="5"/>
  <c r="T141" i="5"/>
  <c r="V141" i="5"/>
  <c r="W141" i="5"/>
  <c r="X141" i="5"/>
  <c r="AA141" i="5"/>
  <c r="AB141" i="5"/>
  <c r="AC141" i="5"/>
  <c r="AD141" i="5"/>
  <c r="AF141" i="5"/>
  <c r="AG141" i="5"/>
  <c r="AH141" i="5"/>
  <c r="AJ141" i="5"/>
  <c r="F142" i="5"/>
  <c r="J142" i="5"/>
  <c r="Q142" i="5"/>
  <c r="T142" i="5"/>
  <c r="V142" i="5"/>
  <c r="W142" i="5"/>
  <c r="X142" i="5"/>
  <c r="AA142" i="5"/>
  <c r="AB142" i="5"/>
  <c r="AC142" i="5"/>
  <c r="AD142" i="5"/>
  <c r="AF142" i="5"/>
  <c r="AG142" i="5"/>
  <c r="AH142" i="5"/>
  <c r="AJ142" i="5"/>
  <c r="F143" i="5"/>
  <c r="J143" i="5"/>
  <c r="Q143" i="5"/>
  <c r="T143" i="5"/>
  <c r="V143" i="5"/>
  <c r="W143" i="5"/>
  <c r="X143" i="5"/>
  <c r="AA143" i="5"/>
  <c r="AB143" i="5"/>
  <c r="AC143" i="5"/>
  <c r="AD143" i="5"/>
  <c r="AF143" i="5"/>
  <c r="AG143" i="5"/>
  <c r="AH143" i="5"/>
  <c r="AJ143" i="5"/>
  <c r="F144" i="5"/>
  <c r="J144" i="5"/>
  <c r="Q144" i="5"/>
  <c r="T144" i="5"/>
  <c r="V144" i="5"/>
  <c r="W144" i="5"/>
  <c r="X144" i="5"/>
  <c r="AA144" i="5"/>
  <c r="AB144" i="5"/>
  <c r="AC144" i="5"/>
  <c r="AD144" i="5"/>
  <c r="AF144" i="5"/>
  <c r="AG144" i="5"/>
  <c r="AH144" i="5"/>
  <c r="AJ144" i="5"/>
  <c r="F145" i="5"/>
  <c r="J145" i="5"/>
  <c r="Q145" i="5"/>
  <c r="T145" i="5"/>
  <c r="V145" i="5"/>
  <c r="W145" i="5"/>
  <c r="X145" i="5"/>
  <c r="AA145" i="5"/>
  <c r="AB145" i="5"/>
  <c r="AC145" i="5"/>
  <c r="AD145" i="5"/>
  <c r="AF145" i="5"/>
  <c r="AG145" i="5"/>
  <c r="AH145" i="5"/>
  <c r="AJ145" i="5"/>
  <c r="F146" i="5"/>
  <c r="J146" i="5"/>
  <c r="Q146" i="5"/>
  <c r="T146" i="5"/>
  <c r="V146" i="5"/>
  <c r="W146" i="5"/>
  <c r="X146" i="5"/>
  <c r="AA146" i="5"/>
  <c r="AB146" i="5"/>
  <c r="AC146" i="5"/>
  <c r="AD146" i="5"/>
  <c r="AF146" i="5"/>
  <c r="AG146" i="5"/>
  <c r="AH146" i="5"/>
  <c r="AJ146" i="5"/>
  <c r="F147" i="5"/>
  <c r="J147" i="5"/>
  <c r="Q147" i="5"/>
  <c r="T147" i="5"/>
  <c r="V147" i="5"/>
  <c r="W147" i="5"/>
  <c r="X147" i="5"/>
  <c r="AA147" i="5"/>
  <c r="AB147" i="5"/>
  <c r="AC147" i="5"/>
  <c r="AD147" i="5"/>
  <c r="AF147" i="5"/>
  <c r="AG147" i="5"/>
  <c r="AH147" i="5"/>
  <c r="AJ147" i="5"/>
  <c r="F148" i="5"/>
  <c r="J148" i="5"/>
  <c r="Q148" i="5"/>
  <c r="T148" i="5"/>
  <c r="V148" i="5"/>
  <c r="W148" i="5"/>
  <c r="X148" i="5"/>
  <c r="AA148" i="5"/>
  <c r="AB148" i="5"/>
  <c r="AC148" i="5"/>
  <c r="AD148" i="5"/>
  <c r="AF148" i="5"/>
  <c r="AG148" i="5"/>
  <c r="AH148" i="5"/>
  <c r="AJ148" i="5"/>
  <c r="F149" i="5"/>
  <c r="J149" i="5"/>
  <c r="Q149" i="5"/>
  <c r="T149" i="5"/>
  <c r="V149" i="5"/>
  <c r="W149" i="5"/>
  <c r="X149" i="5"/>
  <c r="AA149" i="5"/>
  <c r="AB149" i="5"/>
  <c r="AC149" i="5"/>
  <c r="AD149" i="5"/>
  <c r="AF149" i="5"/>
  <c r="AG149" i="5"/>
  <c r="AH149" i="5"/>
  <c r="AJ149" i="5"/>
  <c r="F150" i="5"/>
  <c r="J150" i="5"/>
  <c r="Q150" i="5"/>
  <c r="T150" i="5"/>
  <c r="V150" i="5"/>
  <c r="W150" i="5"/>
  <c r="X150" i="5"/>
  <c r="AA150" i="5"/>
  <c r="AB150" i="5"/>
  <c r="AC150" i="5"/>
  <c r="AD150" i="5"/>
  <c r="AF150" i="5"/>
  <c r="AG150" i="5"/>
  <c r="AH150" i="5"/>
  <c r="AJ150" i="5"/>
  <c r="F151" i="5"/>
  <c r="J151" i="5"/>
  <c r="Q151" i="5"/>
  <c r="T151" i="5"/>
  <c r="V151" i="5"/>
  <c r="W151" i="5"/>
  <c r="X151" i="5"/>
  <c r="AA151" i="5"/>
  <c r="AB151" i="5"/>
  <c r="AC151" i="5"/>
  <c r="AD151" i="5"/>
  <c r="AF151" i="5"/>
  <c r="AG151" i="5"/>
  <c r="AH151" i="5"/>
  <c r="AJ151" i="5"/>
  <c r="F152" i="5"/>
  <c r="J152" i="5"/>
  <c r="Q152" i="5"/>
  <c r="T152" i="5"/>
  <c r="V152" i="5"/>
  <c r="W152" i="5"/>
  <c r="X152" i="5"/>
  <c r="AA152" i="5"/>
  <c r="AB152" i="5"/>
  <c r="AC152" i="5"/>
  <c r="AD152" i="5"/>
  <c r="AF152" i="5"/>
  <c r="AG152" i="5"/>
  <c r="AH152" i="5"/>
  <c r="AJ152" i="5"/>
  <c r="F153" i="5"/>
  <c r="J153" i="5"/>
  <c r="Q153" i="5"/>
  <c r="T153" i="5"/>
  <c r="V153" i="5"/>
  <c r="W153" i="5"/>
  <c r="X153" i="5"/>
  <c r="AA153" i="5"/>
  <c r="AB153" i="5"/>
  <c r="AC153" i="5"/>
  <c r="AD153" i="5"/>
  <c r="AF153" i="5"/>
  <c r="AG153" i="5"/>
  <c r="AH153" i="5"/>
  <c r="AJ153" i="5"/>
  <c r="F154" i="5"/>
  <c r="J154" i="5"/>
  <c r="Q154" i="5"/>
  <c r="T154" i="5"/>
  <c r="V154" i="5"/>
  <c r="W154" i="5"/>
  <c r="X154" i="5"/>
  <c r="AA154" i="5"/>
  <c r="AB154" i="5"/>
  <c r="AC154" i="5"/>
  <c r="AD154" i="5"/>
  <c r="AF154" i="5"/>
  <c r="AG154" i="5"/>
  <c r="AH154" i="5"/>
  <c r="AJ154" i="5"/>
  <c r="F155" i="5"/>
  <c r="J155" i="5"/>
  <c r="Q155" i="5"/>
  <c r="T155" i="5"/>
  <c r="V155" i="5"/>
  <c r="W155" i="5"/>
  <c r="X155" i="5"/>
  <c r="AA155" i="5"/>
  <c r="AB155" i="5"/>
  <c r="AC155" i="5"/>
  <c r="AD155" i="5"/>
  <c r="AF155" i="5"/>
  <c r="AG155" i="5"/>
  <c r="AH155" i="5"/>
  <c r="AJ155" i="5"/>
  <c r="F156" i="5"/>
  <c r="J156" i="5"/>
  <c r="Q156" i="5"/>
  <c r="T156" i="5"/>
  <c r="V156" i="5"/>
  <c r="W156" i="5"/>
  <c r="X156" i="5"/>
  <c r="AA156" i="5"/>
  <c r="AB156" i="5"/>
  <c r="AC156" i="5"/>
  <c r="AD156" i="5"/>
  <c r="AF156" i="5"/>
  <c r="AG156" i="5"/>
  <c r="AH156" i="5"/>
  <c r="AJ156" i="5"/>
  <c r="F157" i="5"/>
  <c r="J157" i="5"/>
  <c r="Q157" i="5"/>
  <c r="T157" i="5"/>
  <c r="V157" i="5"/>
  <c r="W157" i="5"/>
  <c r="X157" i="5"/>
  <c r="AA157" i="5"/>
  <c r="AB157" i="5"/>
  <c r="AC157" i="5"/>
  <c r="AD157" i="5"/>
  <c r="AF157" i="5"/>
  <c r="AG157" i="5"/>
  <c r="AH157" i="5"/>
  <c r="AJ157" i="5"/>
  <c r="F158" i="5"/>
  <c r="J158" i="5"/>
  <c r="Q158" i="5"/>
  <c r="T158" i="5"/>
  <c r="V158" i="5"/>
  <c r="W158" i="5"/>
  <c r="X158" i="5"/>
  <c r="AA158" i="5"/>
  <c r="AB158" i="5"/>
  <c r="AC158" i="5"/>
  <c r="AD158" i="5"/>
  <c r="AF158" i="5"/>
  <c r="AG158" i="5"/>
  <c r="AH158" i="5"/>
  <c r="AJ158" i="5"/>
  <c r="F159" i="5"/>
  <c r="J159" i="5"/>
  <c r="Q159" i="5"/>
  <c r="T159" i="5"/>
  <c r="V159" i="5"/>
  <c r="W159" i="5"/>
  <c r="X159" i="5"/>
  <c r="AA159" i="5"/>
  <c r="AB159" i="5"/>
  <c r="AC159" i="5"/>
  <c r="AD159" i="5"/>
  <c r="AF159" i="5"/>
  <c r="AG159" i="5"/>
  <c r="AH159" i="5"/>
  <c r="AJ159" i="5"/>
  <c r="F160" i="5"/>
  <c r="J160" i="5"/>
  <c r="Q160" i="5"/>
  <c r="T160" i="5"/>
  <c r="V160" i="5"/>
  <c r="W160" i="5"/>
  <c r="X160" i="5"/>
  <c r="AA160" i="5"/>
  <c r="AB160" i="5"/>
  <c r="AC160" i="5"/>
  <c r="AD160" i="5"/>
  <c r="AF160" i="5"/>
  <c r="AG160" i="5"/>
  <c r="AH160" i="5"/>
  <c r="AJ160" i="5"/>
  <c r="F161" i="5"/>
  <c r="J161" i="5"/>
  <c r="Q161" i="5"/>
  <c r="T161" i="5"/>
  <c r="V161" i="5"/>
  <c r="W161" i="5"/>
  <c r="X161" i="5"/>
  <c r="AA161" i="5"/>
  <c r="AB161" i="5"/>
  <c r="AC161" i="5"/>
  <c r="AD161" i="5"/>
  <c r="AF161" i="5"/>
  <c r="AG161" i="5"/>
  <c r="AH161" i="5"/>
  <c r="AJ161" i="5"/>
  <c r="F162" i="5"/>
  <c r="J162" i="5"/>
  <c r="Q162" i="5"/>
  <c r="T162" i="5"/>
  <c r="V162" i="5"/>
  <c r="W162" i="5"/>
  <c r="X162" i="5"/>
  <c r="AA162" i="5"/>
  <c r="AB162" i="5"/>
  <c r="AC162" i="5"/>
  <c r="AD162" i="5"/>
  <c r="AF162" i="5"/>
  <c r="AG162" i="5"/>
  <c r="AH162" i="5"/>
  <c r="AJ162" i="5"/>
  <c r="F163" i="5"/>
  <c r="J163" i="5"/>
  <c r="Q163" i="5"/>
  <c r="T163" i="5"/>
  <c r="V163" i="5"/>
  <c r="W163" i="5"/>
  <c r="X163" i="5"/>
  <c r="AA163" i="5"/>
  <c r="AB163" i="5"/>
  <c r="AC163" i="5"/>
  <c r="AD163" i="5"/>
  <c r="AF163" i="5"/>
  <c r="AG163" i="5"/>
  <c r="AH163" i="5"/>
  <c r="AJ163" i="5"/>
  <c r="F164" i="5"/>
  <c r="J164" i="5"/>
  <c r="Q164" i="5"/>
  <c r="T164" i="5"/>
  <c r="V164" i="5"/>
  <c r="W164" i="5"/>
  <c r="X164" i="5"/>
  <c r="AA164" i="5"/>
  <c r="AB164" i="5"/>
  <c r="AC164" i="5"/>
  <c r="AD164" i="5"/>
  <c r="AF164" i="5"/>
  <c r="AG164" i="5"/>
  <c r="AH164" i="5"/>
  <c r="AJ164" i="5"/>
  <c r="F165" i="5"/>
  <c r="J165" i="5"/>
  <c r="Q165" i="5"/>
  <c r="T165" i="5"/>
  <c r="V165" i="5"/>
  <c r="W165" i="5"/>
  <c r="X165" i="5"/>
  <c r="AA165" i="5"/>
  <c r="AB165" i="5"/>
  <c r="AC165" i="5"/>
  <c r="AD165" i="5"/>
  <c r="AF165" i="5"/>
  <c r="AG165" i="5"/>
  <c r="AH165" i="5"/>
  <c r="AJ165" i="5"/>
  <c r="F166" i="5"/>
  <c r="J166" i="5"/>
  <c r="Q166" i="5"/>
  <c r="T166" i="5"/>
  <c r="V166" i="5"/>
  <c r="W166" i="5"/>
  <c r="X166" i="5"/>
  <c r="AA166" i="5"/>
  <c r="AB166" i="5"/>
  <c r="AC166" i="5"/>
  <c r="AD166" i="5"/>
  <c r="AF166" i="5"/>
  <c r="AG166" i="5"/>
  <c r="AH166" i="5"/>
  <c r="AJ166" i="5"/>
  <c r="F167" i="5"/>
  <c r="J167" i="5"/>
  <c r="Q167" i="5"/>
  <c r="T167" i="5"/>
  <c r="V167" i="5"/>
  <c r="W167" i="5"/>
  <c r="X167" i="5"/>
  <c r="AA167" i="5"/>
  <c r="AB167" i="5"/>
  <c r="AC167" i="5"/>
  <c r="AD167" i="5"/>
  <c r="AF167" i="5"/>
  <c r="AG167" i="5"/>
  <c r="AH167" i="5"/>
  <c r="AJ167" i="5"/>
  <c r="F168" i="5"/>
  <c r="J168" i="5"/>
  <c r="Q168" i="5"/>
  <c r="T168" i="5"/>
  <c r="V168" i="5"/>
  <c r="W168" i="5"/>
  <c r="X168" i="5"/>
  <c r="AA168" i="5"/>
  <c r="AB168" i="5"/>
  <c r="AC168" i="5"/>
  <c r="AD168" i="5"/>
  <c r="AF168" i="5"/>
  <c r="AG168" i="5"/>
  <c r="AH168" i="5"/>
  <c r="AJ168" i="5"/>
  <c r="F169" i="5"/>
  <c r="J169" i="5"/>
  <c r="Q169" i="5"/>
  <c r="T169" i="5"/>
  <c r="V169" i="5"/>
  <c r="W169" i="5"/>
  <c r="X169" i="5"/>
  <c r="AA169" i="5"/>
  <c r="AB169" i="5"/>
  <c r="AC169" i="5"/>
  <c r="AD169" i="5"/>
  <c r="AF169" i="5"/>
  <c r="AG169" i="5"/>
  <c r="AH169" i="5"/>
  <c r="AJ169" i="5"/>
  <c r="E170" i="5"/>
  <c r="F170" i="5"/>
  <c r="J170" i="5"/>
  <c r="Q170" i="5"/>
  <c r="T170" i="5"/>
  <c r="V170" i="5"/>
  <c r="W170" i="5"/>
  <c r="X170" i="5"/>
  <c r="AA170" i="5"/>
  <c r="AB170" i="5"/>
  <c r="AC170" i="5"/>
  <c r="AD170" i="5"/>
  <c r="AF170" i="5"/>
  <c r="AG170" i="5"/>
  <c r="AH170" i="5"/>
  <c r="AJ170" i="5"/>
  <c r="F171" i="5"/>
  <c r="J171" i="5"/>
  <c r="Q171" i="5"/>
  <c r="T171" i="5"/>
  <c r="V171" i="5"/>
  <c r="W171" i="5"/>
  <c r="X171" i="5"/>
  <c r="AA171" i="5"/>
  <c r="AB171" i="5"/>
  <c r="AC171" i="5"/>
  <c r="AD171" i="5"/>
  <c r="AF171" i="5"/>
  <c r="AG171" i="5"/>
  <c r="AH171" i="5"/>
  <c r="AJ171" i="5"/>
  <c r="F172" i="5"/>
  <c r="J172" i="5"/>
  <c r="Q172" i="5"/>
  <c r="T172" i="5"/>
  <c r="V172" i="5"/>
  <c r="W172" i="5"/>
  <c r="X172" i="5"/>
  <c r="AA172" i="5"/>
  <c r="AB172" i="5"/>
  <c r="AC172" i="5"/>
  <c r="AD172" i="5"/>
  <c r="AF172" i="5"/>
  <c r="AG172" i="5"/>
  <c r="AH172" i="5"/>
  <c r="AJ172" i="5"/>
  <c r="E173" i="5"/>
  <c r="F173" i="5"/>
  <c r="J173" i="5"/>
  <c r="Q173" i="5"/>
  <c r="T173" i="5"/>
  <c r="V173" i="5"/>
  <c r="W173" i="5"/>
  <c r="X173" i="5"/>
  <c r="AA173" i="5"/>
  <c r="AB173" i="5"/>
  <c r="AC173" i="5"/>
  <c r="AD173" i="5"/>
  <c r="AF173" i="5"/>
  <c r="AG173" i="5"/>
  <c r="AH173" i="5"/>
  <c r="AJ173" i="5"/>
  <c r="F174" i="5"/>
  <c r="J174" i="5"/>
  <c r="Q174" i="5"/>
  <c r="T174" i="5"/>
  <c r="V174" i="5"/>
  <c r="W174" i="5"/>
  <c r="X174" i="5"/>
  <c r="AA174" i="5"/>
  <c r="AB174" i="5"/>
  <c r="AC174" i="5"/>
  <c r="AD174" i="5"/>
  <c r="AF174" i="5"/>
  <c r="AG174" i="5"/>
  <c r="AH174" i="5"/>
  <c r="AJ174" i="5"/>
  <c r="F175" i="5"/>
  <c r="J175" i="5"/>
  <c r="Q175" i="5"/>
  <c r="T175" i="5"/>
  <c r="V175" i="5"/>
  <c r="W175" i="5"/>
  <c r="X175" i="5"/>
  <c r="AA175" i="5"/>
  <c r="AB175" i="5"/>
  <c r="AC175" i="5"/>
  <c r="AD175" i="5"/>
  <c r="AF175" i="5"/>
  <c r="AG175" i="5"/>
  <c r="AH175" i="5"/>
  <c r="AJ175" i="5"/>
  <c r="F176" i="5"/>
  <c r="J176" i="5"/>
  <c r="Q176" i="5"/>
  <c r="T176" i="5"/>
  <c r="V176" i="5"/>
  <c r="W176" i="5"/>
  <c r="X176" i="5"/>
  <c r="AA176" i="5"/>
  <c r="AB176" i="5"/>
  <c r="AC176" i="5"/>
  <c r="AD176" i="5"/>
  <c r="AF176" i="5"/>
  <c r="AG176" i="5"/>
  <c r="AH176" i="5"/>
  <c r="AJ176" i="5"/>
  <c r="F177" i="5"/>
  <c r="J177" i="5"/>
  <c r="Q177" i="5"/>
  <c r="T177" i="5"/>
  <c r="V177" i="5"/>
  <c r="W177" i="5"/>
  <c r="X177" i="5"/>
  <c r="AA177" i="5"/>
  <c r="AB177" i="5"/>
  <c r="AC177" i="5"/>
  <c r="AD177" i="5"/>
  <c r="AF177" i="5"/>
  <c r="AG177" i="5"/>
  <c r="AH177" i="5"/>
  <c r="AJ177" i="5"/>
  <c r="F178" i="5"/>
  <c r="J178" i="5"/>
  <c r="Q178" i="5"/>
  <c r="T178" i="5"/>
  <c r="V178" i="5"/>
  <c r="W178" i="5"/>
  <c r="X178" i="5"/>
  <c r="AA178" i="5"/>
  <c r="AB178" i="5"/>
  <c r="AC178" i="5"/>
  <c r="AD178" i="5"/>
  <c r="AF178" i="5"/>
  <c r="AG178" i="5"/>
  <c r="AH178" i="5"/>
  <c r="AJ178" i="5"/>
  <c r="F179" i="5"/>
  <c r="J179" i="5"/>
  <c r="Q179" i="5"/>
  <c r="T179" i="5"/>
  <c r="V179" i="5"/>
  <c r="W179" i="5"/>
  <c r="X179" i="5"/>
  <c r="AA179" i="5"/>
  <c r="AB179" i="5"/>
  <c r="AC179" i="5"/>
  <c r="AD179" i="5"/>
  <c r="AF179" i="5"/>
  <c r="AG179" i="5"/>
  <c r="AH179" i="5"/>
  <c r="AJ179" i="5"/>
  <c r="F180" i="5"/>
  <c r="J180" i="5"/>
  <c r="Q180" i="5"/>
  <c r="T180" i="5"/>
  <c r="V180" i="5"/>
  <c r="W180" i="5"/>
  <c r="X180" i="5"/>
  <c r="AA180" i="5"/>
  <c r="AB180" i="5"/>
  <c r="AC180" i="5"/>
  <c r="AD180" i="5"/>
  <c r="AF180" i="5"/>
  <c r="AG180" i="5"/>
  <c r="AH180" i="5"/>
  <c r="AJ180" i="5"/>
  <c r="E181" i="5"/>
  <c r="F181" i="5"/>
  <c r="J181" i="5"/>
  <c r="Q181" i="5"/>
  <c r="T181" i="5"/>
  <c r="V181" i="5"/>
  <c r="W181" i="5"/>
  <c r="X181" i="5"/>
  <c r="AA181" i="5"/>
  <c r="AB181" i="5"/>
  <c r="AC181" i="5"/>
  <c r="AD181" i="5"/>
  <c r="AF181" i="5"/>
  <c r="AG181" i="5"/>
  <c r="AH181" i="5"/>
  <c r="AJ181" i="5"/>
  <c r="F182" i="5"/>
  <c r="J182" i="5"/>
  <c r="Q182" i="5"/>
  <c r="T182" i="5"/>
  <c r="V182" i="5"/>
  <c r="W182" i="5"/>
  <c r="X182" i="5"/>
  <c r="AA182" i="5"/>
  <c r="AB182" i="5"/>
  <c r="AC182" i="5"/>
  <c r="AD182" i="5"/>
  <c r="AF182" i="5"/>
  <c r="AG182" i="5"/>
  <c r="AH182" i="5"/>
  <c r="AJ182" i="5"/>
  <c r="F183" i="5"/>
  <c r="J183" i="5"/>
  <c r="Q183" i="5"/>
  <c r="R183" i="5"/>
  <c r="T183" i="5"/>
  <c r="V183" i="5"/>
  <c r="W183" i="5"/>
  <c r="X183" i="5"/>
  <c r="AA183" i="5"/>
  <c r="AB183" i="5"/>
  <c r="AC183" i="5"/>
  <c r="AD183" i="5"/>
  <c r="AF183" i="5"/>
  <c r="AG183" i="5"/>
  <c r="AH183" i="5"/>
  <c r="AJ183" i="5"/>
  <c r="F184" i="5"/>
  <c r="J184" i="5"/>
  <c r="Q184" i="5"/>
  <c r="T184" i="5"/>
  <c r="V184" i="5"/>
  <c r="W184" i="5"/>
  <c r="X184" i="5"/>
  <c r="AA184" i="5"/>
  <c r="AB184" i="5"/>
  <c r="AC184" i="5"/>
  <c r="AD184" i="5"/>
  <c r="AF184" i="5"/>
  <c r="AG184" i="5"/>
  <c r="AH184" i="5"/>
  <c r="AJ184" i="5"/>
  <c r="F185" i="5"/>
  <c r="J185" i="5"/>
  <c r="Q185" i="5"/>
  <c r="T185" i="5"/>
  <c r="V185" i="5"/>
  <c r="W185" i="5"/>
  <c r="X185" i="5"/>
  <c r="AA185" i="5"/>
  <c r="AB185" i="5"/>
  <c r="AC185" i="5"/>
  <c r="AD185" i="5"/>
  <c r="AF185" i="5"/>
  <c r="AG185" i="5"/>
  <c r="AH185" i="5"/>
  <c r="AJ185" i="5"/>
  <c r="F186" i="5"/>
  <c r="J186" i="5"/>
  <c r="Q186" i="5"/>
  <c r="T186" i="5"/>
  <c r="V186" i="5"/>
  <c r="W186" i="5"/>
  <c r="X186" i="5"/>
  <c r="AA186" i="5"/>
  <c r="AB186" i="5"/>
  <c r="AC186" i="5"/>
  <c r="AD186" i="5"/>
  <c r="AF186" i="5"/>
  <c r="AG186" i="5"/>
  <c r="AH186" i="5"/>
  <c r="AJ186" i="5"/>
  <c r="F187" i="5"/>
  <c r="J187" i="5"/>
  <c r="Q187" i="5"/>
  <c r="T187" i="5"/>
  <c r="V187" i="5"/>
  <c r="W187" i="5"/>
  <c r="X187" i="5"/>
  <c r="AA187" i="5"/>
  <c r="AB187" i="5"/>
  <c r="AC187" i="5"/>
  <c r="AD187" i="5"/>
  <c r="AF187" i="5"/>
  <c r="AG187" i="5"/>
  <c r="AH187" i="5"/>
  <c r="AJ187" i="5"/>
  <c r="F188" i="5"/>
  <c r="J188" i="5"/>
  <c r="Q188" i="5"/>
  <c r="T188" i="5"/>
  <c r="V188" i="5"/>
  <c r="W188" i="5"/>
  <c r="X188" i="5"/>
  <c r="AA188" i="5"/>
  <c r="AB188" i="5"/>
  <c r="AC188" i="5"/>
  <c r="AD188" i="5"/>
  <c r="AF188" i="5"/>
  <c r="AG188" i="5"/>
  <c r="AH188" i="5"/>
  <c r="AJ188" i="5"/>
  <c r="E189" i="5"/>
  <c r="F189" i="5"/>
  <c r="J189" i="5"/>
  <c r="Q189" i="5"/>
  <c r="T189" i="5"/>
  <c r="V189" i="5"/>
  <c r="W189" i="5"/>
  <c r="X189" i="5"/>
  <c r="AA189" i="5"/>
  <c r="AB189" i="5"/>
  <c r="AC189" i="5"/>
  <c r="AD189" i="5"/>
  <c r="AF189" i="5"/>
  <c r="AG189" i="5"/>
  <c r="AH189" i="5"/>
  <c r="AJ189" i="5"/>
  <c r="F190" i="5"/>
  <c r="J190" i="5"/>
  <c r="Q190" i="5"/>
  <c r="T190" i="5"/>
  <c r="V190" i="5"/>
  <c r="W190" i="5"/>
  <c r="X190" i="5"/>
  <c r="AA190" i="5"/>
  <c r="AB190" i="5"/>
  <c r="AC190" i="5"/>
  <c r="AD190" i="5"/>
  <c r="AF190" i="5"/>
  <c r="AG190" i="5"/>
  <c r="AH190" i="5"/>
  <c r="AJ190" i="5"/>
  <c r="F191" i="5"/>
  <c r="J191" i="5"/>
  <c r="Q191" i="5"/>
  <c r="T191" i="5"/>
  <c r="V191" i="5"/>
  <c r="W191" i="5"/>
  <c r="X191" i="5"/>
  <c r="AA191" i="5"/>
  <c r="AB191" i="5"/>
  <c r="AC191" i="5"/>
  <c r="AD191" i="5"/>
  <c r="AF191" i="5"/>
  <c r="AG191" i="5"/>
  <c r="AH191" i="5"/>
  <c r="AJ191" i="5"/>
  <c r="F192" i="5"/>
  <c r="J192" i="5"/>
  <c r="Q192" i="5"/>
  <c r="T192" i="5"/>
  <c r="V192" i="5"/>
  <c r="W192" i="5"/>
  <c r="X192" i="5"/>
  <c r="AA192" i="5"/>
  <c r="AB192" i="5"/>
  <c r="AC192" i="5"/>
  <c r="AD192" i="5"/>
  <c r="AF192" i="5"/>
  <c r="AG192" i="5"/>
  <c r="AH192" i="5"/>
  <c r="AJ192" i="5"/>
  <c r="F193" i="5"/>
  <c r="J193" i="5"/>
  <c r="Q193" i="5"/>
  <c r="T193" i="5"/>
  <c r="V193" i="5"/>
  <c r="W193" i="5"/>
  <c r="X193" i="5"/>
  <c r="AA193" i="5"/>
  <c r="AB193" i="5"/>
  <c r="AC193" i="5"/>
  <c r="AD193" i="5"/>
  <c r="AF193" i="5"/>
  <c r="AG193" i="5"/>
  <c r="AH193" i="5"/>
  <c r="AJ193" i="5"/>
  <c r="F194" i="5"/>
  <c r="J194" i="5"/>
  <c r="Q194" i="5"/>
  <c r="T194" i="5"/>
  <c r="V194" i="5"/>
  <c r="W194" i="5"/>
  <c r="X194" i="5"/>
  <c r="AA194" i="5"/>
  <c r="AB194" i="5"/>
  <c r="AC194" i="5"/>
  <c r="AD194" i="5"/>
  <c r="AF194" i="5"/>
  <c r="AG194" i="5"/>
  <c r="AH194" i="5"/>
  <c r="AJ194" i="5"/>
  <c r="F195" i="5"/>
  <c r="J195" i="5"/>
  <c r="Q195" i="5"/>
  <c r="T195" i="5"/>
  <c r="V195" i="5"/>
  <c r="W195" i="5"/>
  <c r="X195" i="5"/>
  <c r="AA195" i="5"/>
  <c r="AB195" i="5"/>
  <c r="AC195" i="5"/>
  <c r="AD195" i="5"/>
  <c r="AF195" i="5"/>
  <c r="AG195" i="5"/>
  <c r="AH195" i="5"/>
  <c r="AJ195" i="5"/>
  <c r="F196" i="5"/>
  <c r="J196" i="5"/>
  <c r="Q196" i="5"/>
  <c r="T196" i="5"/>
  <c r="V196" i="5"/>
  <c r="W196" i="5"/>
  <c r="X196" i="5"/>
  <c r="AA196" i="5"/>
  <c r="AB196" i="5"/>
  <c r="AC196" i="5"/>
  <c r="AD196" i="5"/>
  <c r="AF196" i="5"/>
  <c r="AG196" i="5"/>
  <c r="AH196" i="5"/>
  <c r="AJ196" i="5"/>
  <c r="F197" i="5"/>
  <c r="J197" i="5"/>
  <c r="Q197" i="5"/>
  <c r="T197" i="5"/>
  <c r="V197" i="5"/>
  <c r="W197" i="5"/>
  <c r="X197" i="5"/>
  <c r="AA197" i="5"/>
  <c r="AB197" i="5"/>
  <c r="AC197" i="5"/>
  <c r="AD197" i="5"/>
  <c r="AF197" i="5"/>
  <c r="AG197" i="5"/>
  <c r="AH197" i="5"/>
  <c r="AJ197" i="5"/>
  <c r="F198" i="5"/>
  <c r="J198" i="5"/>
  <c r="Q198" i="5"/>
  <c r="T198" i="5"/>
  <c r="V198" i="5"/>
  <c r="W198" i="5"/>
  <c r="X198" i="5"/>
  <c r="AA198" i="5"/>
  <c r="AB198" i="5"/>
  <c r="AC198" i="5"/>
  <c r="AD198" i="5"/>
  <c r="AF198" i="5"/>
  <c r="AG198" i="5"/>
  <c r="AH198" i="5"/>
  <c r="AJ198" i="5"/>
  <c r="F199" i="5"/>
  <c r="J199" i="5"/>
  <c r="Q199" i="5"/>
  <c r="T199" i="5"/>
  <c r="V199" i="5"/>
  <c r="W199" i="5"/>
  <c r="X199" i="5"/>
  <c r="AA199" i="5"/>
  <c r="AB199" i="5"/>
  <c r="AC199" i="5"/>
  <c r="AD199" i="5"/>
  <c r="AF199" i="5"/>
  <c r="AG199" i="5"/>
  <c r="AH199" i="5"/>
  <c r="AJ199" i="5"/>
  <c r="F200" i="5"/>
  <c r="J200" i="5"/>
  <c r="Q200" i="5"/>
  <c r="T200" i="5"/>
  <c r="V200" i="5"/>
  <c r="W200" i="5"/>
  <c r="X200" i="5"/>
  <c r="AA200" i="5"/>
  <c r="AB200" i="5"/>
  <c r="AC200" i="5"/>
  <c r="AD200" i="5"/>
  <c r="AF200" i="5"/>
  <c r="AG200" i="5"/>
  <c r="AH200" i="5"/>
  <c r="AJ200" i="5"/>
  <c r="F201" i="5"/>
  <c r="J201" i="5"/>
  <c r="Q201" i="5"/>
  <c r="T201" i="5"/>
  <c r="V201" i="5"/>
  <c r="W201" i="5"/>
  <c r="X201" i="5"/>
  <c r="AA201" i="5"/>
  <c r="AB201" i="5"/>
  <c r="AC201" i="5"/>
  <c r="AD201" i="5"/>
  <c r="AF201" i="5"/>
  <c r="AG201" i="5"/>
  <c r="AH201" i="5"/>
  <c r="AJ201" i="5"/>
  <c r="F202" i="5"/>
  <c r="J202" i="5"/>
  <c r="Q202" i="5"/>
  <c r="T202" i="5"/>
  <c r="V202" i="5"/>
  <c r="W202" i="5"/>
  <c r="X202" i="5"/>
  <c r="AA202" i="5"/>
  <c r="AB202" i="5"/>
  <c r="AC202" i="5"/>
  <c r="AD202" i="5"/>
  <c r="AF202" i="5"/>
  <c r="AG202" i="5"/>
  <c r="AH202" i="5"/>
  <c r="AJ202" i="5"/>
  <c r="E203" i="5"/>
  <c r="F203" i="5"/>
  <c r="J203" i="5"/>
  <c r="Q203" i="5"/>
  <c r="T203" i="5"/>
  <c r="V203" i="5"/>
  <c r="W203" i="5"/>
  <c r="X203" i="5"/>
  <c r="AA203" i="5"/>
  <c r="AB203" i="5"/>
  <c r="AC203" i="5"/>
  <c r="AD203" i="5"/>
  <c r="AF203" i="5"/>
  <c r="AG203" i="5"/>
  <c r="AH203" i="5"/>
  <c r="AJ203" i="5"/>
  <c r="F204" i="5"/>
  <c r="J204" i="5"/>
  <c r="Q204" i="5"/>
  <c r="T204" i="5"/>
  <c r="V204" i="5"/>
  <c r="W204" i="5"/>
  <c r="X204" i="5"/>
  <c r="AA204" i="5"/>
  <c r="AB204" i="5"/>
  <c r="AC204" i="5"/>
  <c r="AD204" i="5"/>
  <c r="AF204" i="5"/>
  <c r="AG204" i="5"/>
  <c r="AH204" i="5"/>
  <c r="AJ204" i="5"/>
  <c r="F205" i="5"/>
  <c r="J205" i="5"/>
  <c r="Q205" i="5"/>
  <c r="T205" i="5"/>
  <c r="V205" i="5"/>
  <c r="W205" i="5"/>
  <c r="X205" i="5"/>
  <c r="AA205" i="5"/>
  <c r="AB205" i="5"/>
  <c r="AC205" i="5"/>
  <c r="AD205" i="5"/>
  <c r="AF205" i="5"/>
  <c r="AG205" i="5"/>
  <c r="AH205" i="5"/>
  <c r="AJ205" i="5"/>
  <c r="F206" i="5"/>
  <c r="J206" i="5"/>
  <c r="Q206" i="5"/>
  <c r="T206" i="5"/>
  <c r="V206" i="5"/>
  <c r="W206" i="5"/>
  <c r="X206" i="5"/>
  <c r="AA206" i="5"/>
  <c r="AB206" i="5"/>
  <c r="AC206" i="5"/>
  <c r="AD206" i="5"/>
  <c r="AF206" i="5"/>
  <c r="AG206" i="5"/>
  <c r="AH206" i="5"/>
  <c r="AJ206" i="5"/>
  <c r="F207" i="5"/>
  <c r="J207" i="5"/>
  <c r="Q207" i="5"/>
  <c r="R207" i="5"/>
  <c r="T207" i="5"/>
  <c r="V207" i="5"/>
  <c r="W207" i="5"/>
  <c r="X207" i="5"/>
  <c r="AA207" i="5"/>
  <c r="AB207" i="5"/>
  <c r="AC207" i="5"/>
  <c r="AD207" i="5"/>
  <c r="AF207" i="5"/>
  <c r="AG207" i="5"/>
  <c r="AH207" i="5"/>
  <c r="AJ207" i="5"/>
  <c r="F208" i="5"/>
  <c r="J208" i="5"/>
  <c r="Q208" i="5"/>
  <c r="T208" i="5"/>
  <c r="V208" i="5"/>
  <c r="W208" i="5"/>
  <c r="X208" i="5"/>
  <c r="AA208" i="5"/>
  <c r="AB208" i="5"/>
  <c r="AC208" i="5"/>
  <c r="AD208" i="5"/>
  <c r="AF208" i="5"/>
  <c r="AG208" i="5"/>
  <c r="AH208" i="5"/>
  <c r="AJ208" i="5"/>
  <c r="F209" i="5"/>
  <c r="J209" i="5"/>
  <c r="Q209" i="5"/>
  <c r="T209" i="5"/>
  <c r="V209" i="5"/>
  <c r="W209" i="5"/>
  <c r="X209" i="5"/>
  <c r="AA209" i="5"/>
  <c r="AB209" i="5"/>
  <c r="AC209" i="5"/>
  <c r="AD209" i="5"/>
  <c r="AF209" i="5"/>
  <c r="AG209" i="5"/>
  <c r="AH209" i="5"/>
  <c r="AJ209" i="5"/>
  <c r="F210" i="5"/>
  <c r="J210" i="5"/>
  <c r="V210" i="5"/>
  <c r="W210" i="5"/>
  <c r="X210" i="5"/>
  <c r="AA210" i="5"/>
  <c r="AB210" i="5"/>
  <c r="AC210" i="5"/>
  <c r="AD210" i="5"/>
  <c r="AF210" i="5"/>
  <c r="AG210" i="5"/>
  <c r="AH210" i="5"/>
  <c r="AJ210" i="5"/>
  <c r="F211" i="5"/>
  <c r="J211" i="5"/>
  <c r="V211" i="5"/>
  <c r="W211" i="5"/>
  <c r="X211" i="5"/>
  <c r="AA211" i="5"/>
  <c r="AB211" i="5"/>
  <c r="AC211" i="5"/>
  <c r="AD211" i="5"/>
  <c r="AF211" i="5"/>
  <c r="AG211" i="5"/>
  <c r="AH211" i="5"/>
  <c r="AJ211" i="5"/>
  <c r="F212" i="5"/>
  <c r="J212" i="5"/>
  <c r="V212" i="5"/>
  <c r="W212" i="5"/>
  <c r="X212" i="5"/>
  <c r="AA212" i="5"/>
  <c r="AB212" i="5"/>
  <c r="AC212" i="5"/>
  <c r="AD212" i="5"/>
  <c r="AF212" i="5"/>
  <c r="AG212" i="5"/>
  <c r="AH212" i="5"/>
  <c r="AJ212" i="5"/>
  <c r="F213" i="5"/>
  <c r="J213" i="5"/>
  <c r="Q213" i="5"/>
  <c r="T213" i="5"/>
  <c r="V213" i="5"/>
  <c r="W213" i="5"/>
  <c r="X213" i="5"/>
  <c r="AA213" i="5"/>
  <c r="AB213" i="5"/>
  <c r="AC213" i="5"/>
  <c r="AD213" i="5"/>
  <c r="AF213" i="5"/>
  <c r="AG213" i="5"/>
  <c r="AH213" i="5"/>
  <c r="AJ213" i="5"/>
  <c r="F214" i="5"/>
  <c r="J214" i="5"/>
  <c r="Q214" i="5"/>
  <c r="T214" i="5"/>
  <c r="V214" i="5"/>
  <c r="W214" i="5"/>
  <c r="X214" i="5"/>
  <c r="AA214" i="5"/>
  <c r="AB214" i="5"/>
  <c r="AC214" i="5"/>
  <c r="AD214" i="5"/>
  <c r="AF214" i="5"/>
  <c r="AG214" i="5"/>
  <c r="AH214" i="5"/>
  <c r="AJ214" i="5"/>
  <c r="F215" i="5"/>
  <c r="J215" i="5"/>
  <c r="Q215" i="5"/>
  <c r="T215" i="5"/>
  <c r="V215" i="5"/>
  <c r="W215" i="5"/>
  <c r="X215" i="5"/>
  <c r="AA215" i="5"/>
  <c r="AB215" i="5"/>
  <c r="AC215" i="5"/>
  <c r="AD215" i="5"/>
  <c r="AF215" i="5"/>
  <c r="AG215" i="5"/>
  <c r="AH215" i="5"/>
  <c r="AJ215" i="5"/>
  <c r="F216" i="5"/>
  <c r="J216" i="5"/>
  <c r="Q216" i="5"/>
  <c r="T216" i="5"/>
  <c r="V216" i="5"/>
  <c r="W216" i="5"/>
  <c r="X216" i="5"/>
  <c r="AA216" i="5"/>
  <c r="AB216" i="5"/>
  <c r="AC216" i="5"/>
  <c r="AD216" i="5"/>
  <c r="AF216" i="5"/>
  <c r="AG216" i="5"/>
  <c r="AH216" i="5"/>
  <c r="AJ216" i="5"/>
  <c r="F217" i="5"/>
  <c r="J217" i="5"/>
  <c r="Q217" i="5"/>
  <c r="T217" i="5"/>
  <c r="V217" i="5"/>
  <c r="W217" i="5"/>
  <c r="X217" i="5"/>
  <c r="AA217" i="5"/>
  <c r="AB217" i="5"/>
  <c r="AC217" i="5"/>
  <c r="AD217" i="5"/>
  <c r="AF217" i="5"/>
  <c r="AG217" i="5"/>
  <c r="AH217" i="5"/>
  <c r="AJ217" i="5"/>
  <c r="F218" i="5"/>
  <c r="J218" i="5"/>
  <c r="Q218" i="5"/>
  <c r="T218" i="5"/>
  <c r="V218" i="5"/>
  <c r="W218" i="5"/>
  <c r="X218" i="5"/>
  <c r="AA218" i="5"/>
  <c r="AB218" i="5"/>
  <c r="AC218" i="5"/>
  <c r="AD218" i="5"/>
  <c r="AF218" i="5"/>
  <c r="AG218" i="5"/>
  <c r="AH218" i="5"/>
  <c r="AJ218" i="5"/>
  <c r="F219" i="5"/>
  <c r="J219" i="5"/>
  <c r="Q219" i="5"/>
  <c r="T219" i="5"/>
  <c r="V219" i="5"/>
  <c r="W219" i="5"/>
  <c r="X219" i="5"/>
  <c r="AA219" i="5"/>
  <c r="AB219" i="5"/>
  <c r="AC219" i="5"/>
  <c r="AD219" i="5"/>
  <c r="AF219" i="5"/>
  <c r="AG219" i="5"/>
  <c r="AH219" i="5"/>
  <c r="AJ219" i="5"/>
  <c r="F220" i="5"/>
  <c r="J220" i="5"/>
  <c r="Q220" i="5"/>
  <c r="T220" i="5"/>
  <c r="V220" i="5"/>
  <c r="W220" i="5"/>
  <c r="X220" i="5"/>
  <c r="AA220" i="5"/>
  <c r="AB220" i="5"/>
  <c r="AC220" i="5"/>
  <c r="AD220" i="5"/>
  <c r="AF220" i="5"/>
  <c r="AG220" i="5"/>
  <c r="AH220" i="5"/>
  <c r="AJ220" i="5"/>
  <c r="F221" i="5"/>
  <c r="J221" i="5"/>
  <c r="Q221" i="5"/>
  <c r="T221" i="5"/>
  <c r="V221" i="5"/>
  <c r="W221" i="5"/>
  <c r="X221" i="5"/>
  <c r="AA221" i="5"/>
  <c r="AB221" i="5"/>
  <c r="AC221" i="5"/>
  <c r="AD221" i="5"/>
  <c r="AF221" i="5"/>
  <c r="AG221" i="5"/>
  <c r="AH221" i="5"/>
  <c r="AJ221" i="5"/>
  <c r="F222" i="5"/>
  <c r="J222" i="5"/>
  <c r="Q222" i="5"/>
  <c r="T222" i="5"/>
  <c r="V222" i="5"/>
  <c r="W222" i="5"/>
  <c r="X222" i="5"/>
  <c r="AA222" i="5"/>
  <c r="AB222" i="5"/>
  <c r="AC222" i="5"/>
  <c r="AD222" i="5"/>
  <c r="AF222" i="5"/>
  <c r="AG222" i="5"/>
  <c r="AH222" i="5"/>
  <c r="AJ222" i="5"/>
  <c r="F223" i="5"/>
  <c r="J223" i="5"/>
  <c r="Q223" i="5"/>
  <c r="R223" i="5"/>
  <c r="T223" i="5"/>
  <c r="V223" i="5"/>
  <c r="W223" i="5"/>
  <c r="X223" i="5"/>
  <c r="AA223" i="5"/>
  <c r="AB223" i="5"/>
  <c r="AC223" i="5"/>
  <c r="AD223" i="5"/>
  <c r="AF223" i="5"/>
  <c r="AG223" i="5"/>
  <c r="AH223" i="5"/>
  <c r="AJ223" i="5"/>
  <c r="F224" i="5"/>
  <c r="J224" i="5"/>
  <c r="Q224" i="5"/>
  <c r="T224" i="5"/>
  <c r="V224" i="5"/>
  <c r="W224" i="5"/>
  <c r="X224" i="5"/>
  <c r="AA224" i="5"/>
  <c r="AB224" i="5"/>
  <c r="AC224" i="5"/>
  <c r="AD224" i="5"/>
  <c r="AF224" i="5"/>
  <c r="AG224" i="5"/>
  <c r="AH224" i="5"/>
  <c r="AJ224" i="5"/>
  <c r="F225" i="5"/>
  <c r="J225" i="5"/>
  <c r="Q225" i="5"/>
  <c r="T225" i="5"/>
  <c r="V225" i="5"/>
  <c r="W225" i="5"/>
  <c r="X225" i="5"/>
  <c r="AA225" i="5"/>
  <c r="AB225" i="5"/>
  <c r="AC225" i="5"/>
  <c r="AD225" i="5"/>
  <c r="AF225" i="5"/>
  <c r="AG225" i="5"/>
  <c r="AH225" i="5"/>
  <c r="AJ225" i="5"/>
  <c r="E226" i="5"/>
  <c r="F226" i="5"/>
  <c r="G226" i="5"/>
  <c r="H226" i="5"/>
  <c r="I226" i="5"/>
  <c r="J226" i="5"/>
  <c r="L226" i="5"/>
  <c r="M226" i="5"/>
  <c r="N226" i="5"/>
  <c r="O226" i="5"/>
  <c r="P226" i="5"/>
  <c r="Q226" i="5"/>
  <c r="R226" i="5"/>
  <c r="T226" i="5"/>
  <c r="V226" i="5"/>
  <c r="W226" i="5"/>
  <c r="X226" i="5"/>
  <c r="Y226" i="5"/>
  <c r="Z226" i="5"/>
  <c r="AB226" i="5"/>
  <c r="AC226" i="5"/>
  <c r="AD226" i="5"/>
  <c r="AF226" i="5"/>
  <c r="AG226" i="5"/>
  <c r="AH226" i="5"/>
  <c r="F227" i="5"/>
  <c r="I227" i="5"/>
  <c r="M227" i="5"/>
  <c r="AD228" i="5"/>
  <c r="AD229" i="5"/>
  <c r="J230" i="5"/>
  <c r="AB230" i="5"/>
  <c r="AC230" i="5"/>
  <c r="AD230" i="5"/>
  <c r="AF230" i="5"/>
  <c r="AG230" i="5"/>
  <c r="AH230" i="5"/>
  <c r="AJ230" i="5"/>
  <c r="J231" i="5"/>
  <c r="X231" i="5"/>
  <c r="J232" i="5"/>
  <c r="AF232" i="5"/>
  <c r="AG232" i="5"/>
  <c r="AH232" i="5"/>
  <c r="F233" i="5"/>
  <c r="Y233" i="5"/>
  <c r="J234" i="5"/>
  <c r="Y234" i="5"/>
  <c r="AG234" i="5"/>
  <c r="J236" i="5"/>
  <c r="Y236" i="5"/>
  <c r="AG236" i="5"/>
  <c r="Y237" i="5"/>
  <c r="J238" i="5"/>
  <c r="Y239" i="5"/>
  <c r="X240" i="5"/>
  <c r="Y240" i="5"/>
  <c r="V16" i="4"/>
  <c r="Q17" i="4"/>
  <c r="V17" i="4"/>
  <c r="V18" i="4"/>
  <c r="V19" i="4"/>
  <c r="Q20" i="4"/>
  <c r="V20" i="4"/>
  <c r="Q21" i="4"/>
  <c r="V21" i="4"/>
  <c r="Q22" i="4"/>
  <c r="V22" i="4"/>
  <c r="V23" i="4"/>
  <c r="V24" i="4"/>
  <c r="V25" i="4"/>
  <c r="Q26" i="4"/>
  <c r="V26" i="4"/>
  <c r="Q27" i="4"/>
  <c r="V27" i="4"/>
  <c r="Q28" i="4"/>
  <c r="V28" i="4"/>
  <c r="V29" i="4"/>
  <c r="Q30" i="4"/>
  <c r="V30" i="4"/>
  <c r="Q31" i="4"/>
  <c r="V31" i="4"/>
  <c r="Q32" i="4"/>
  <c r="V32" i="4"/>
  <c r="Q33" i="4"/>
  <c r="V33" i="4"/>
  <c r="Q34" i="4"/>
  <c r="V34" i="4"/>
  <c r="Q35" i="4"/>
  <c r="V35" i="4"/>
  <c r="Q36" i="4"/>
  <c r="V36" i="4"/>
  <c r="Q37" i="4"/>
  <c r="V37" i="4"/>
  <c r="Q38" i="4"/>
  <c r="V38" i="4"/>
  <c r="V39" i="4"/>
  <c r="Q40" i="4"/>
  <c r="V40" i="4"/>
  <c r="V41" i="4"/>
  <c r="Q42" i="4"/>
  <c r="V42" i="4"/>
  <c r="Q43" i="4"/>
  <c r="V43" i="4"/>
  <c r="V44" i="4"/>
  <c r="Q45" i="4"/>
  <c r="V45" i="4"/>
  <c r="Q46" i="4"/>
  <c r="V46" i="4"/>
  <c r="Q47" i="4"/>
  <c r="V47" i="4"/>
  <c r="V48" i="4"/>
  <c r="V49" i="4"/>
  <c r="V50" i="4"/>
  <c r="V51" i="4"/>
  <c r="V52" i="4"/>
  <c r="V53" i="4"/>
  <c r="V54" i="4"/>
  <c r="V55" i="4"/>
  <c r="V56" i="4"/>
  <c r="Q57" i="4"/>
  <c r="V57" i="4"/>
  <c r="Q58" i="4"/>
  <c r="V58" i="4"/>
  <c r="Q59" i="4"/>
  <c r="V59" i="4"/>
  <c r="Q60" i="4"/>
  <c r="V60" i="4"/>
  <c r="Q61" i="4"/>
  <c r="V61" i="4"/>
  <c r="Q62" i="4"/>
  <c r="V62" i="4"/>
  <c r="Q63" i="4"/>
  <c r="V63" i="4"/>
  <c r="Q64" i="4"/>
  <c r="V64" i="4"/>
  <c r="Q65" i="4"/>
  <c r="V65" i="4"/>
  <c r="Q66" i="4"/>
  <c r="V66" i="4"/>
  <c r="Q67" i="4"/>
  <c r="V67" i="4"/>
  <c r="Q68" i="4"/>
  <c r="V68" i="4"/>
  <c r="Q69" i="4"/>
  <c r="V69" i="4"/>
  <c r="Q70" i="4"/>
  <c r="V70" i="4"/>
  <c r="Q71" i="4"/>
  <c r="V71" i="4"/>
  <c r="Q72" i="4"/>
  <c r="V72" i="4"/>
  <c r="Q73" i="4"/>
  <c r="V73" i="4"/>
  <c r="V74" i="4"/>
  <c r="Q75" i="4"/>
  <c r="V75" i="4"/>
  <c r="Q76" i="4"/>
  <c r="V76" i="4"/>
  <c r="V77" i="4"/>
  <c r="V78" i="4"/>
  <c r="Q79" i="4"/>
  <c r="V79" i="4"/>
  <c r="V80" i="4"/>
  <c r="V81" i="4"/>
  <c r="V82" i="4"/>
  <c r="Q83" i="4"/>
  <c r="V83" i="4"/>
  <c r="Q84" i="4"/>
  <c r="V84" i="4"/>
  <c r="Q85" i="4"/>
  <c r="V85" i="4"/>
  <c r="Q86" i="4"/>
  <c r="V86" i="4"/>
  <c r="Q87" i="4"/>
  <c r="V87" i="4"/>
  <c r="Q88" i="4"/>
  <c r="V88" i="4"/>
  <c r="V89" i="4"/>
  <c r="V90" i="4"/>
  <c r="V91" i="4"/>
  <c r="V92" i="4"/>
  <c r="Q93" i="4"/>
  <c r="V93" i="4"/>
  <c r="V94" i="4"/>
  <c r="V95" i="4"/>
  <c r="V96" i="4"/>
  <c r="Q97" i="4"/>
  <c r="V97" i="4"/>
  <c r="Q98" i="4"/>
  <c r="V98" i="4"/>
  <c r="Q99" i="4"/>
  <c r="V99" i="4"/>
  <c r="Q100" i="4"/>
  <c r="V100" i="4"/>
  <c r="Q101" i="4"/>
  <c r="V101" i="4"/>
  <c r="Q102" i="4"/>
  <c r="V102" i="4"/>
  <c r="Q103" i="4"/>
  <c r="V103" i="4"/>
  <c r="Q104" i="4"/>
  <c r="V104" i="4"/>
  <c r="Q105" i="4"/>
  <c r="V105" i="4"/>
  <c r="Q106" i="4"/>
  <c r="V106" i="4"/>
  <c r="Q107" i="4"/>
  <c r="V107" i="4"/>
  <c r="Q108" i="4"/>
  <c r="V108" i="4"/>
  <c r="Q109" i="4"/>
  <c r="V109" i="4"/>
  <c r="Q110" i="4"/>
  <c r="V110" i="4"/>
  <c r="Q111" i="4"/>
  <c r="V111" i="4"/>
  <c r="Q112" i="4"/>
  <c r="V112" i="4"/>
  <c r="Q113" i="4"/>
  <c r="V113" i="4"/>
  <c r="Q114" i="4"/>
  <c r="V114" i="4"/>
  <c r="Q115" i="4"/>
  <c r="V115" i="4"/>
  <c r="Q116" i="4"/>
  <c r="V116" i="4"/>
  <c r="V117" i="4"/>
  <c r="V118" i="4"/>
  <c r="Q119" i="4"/>
  <c r="V119" i="4"/>
  <c r="Q120" i="4"/>
  <c r="V120" i="4"/>
  <c r="V121" i="4"/>
  <c r="Q122" i="4"/>
  <c r="V122" i="4"/>
  <c r="V123" i="4"/>
  <c r="V124" i="4"/>
  <c r="V125" i="4"/>
  <c r="Q126" i="4"/>
  <c r="V126" i="4"/>
  <c r="V127" i="4"/>
  <c r="Q128" i="4"/>
  <c r="V128" i="4"/>
  <c r="Q129" i="4"/>
  <c r="V129" i="4"/>
  <c r="Q130" i="4"/>
  <c r="V130" i="4"/>
  <c r="Q131" i="4"/>
  <c r="V131" i="4"/>
  <c r="Q132" i="4"/>
  <c r="V132" i="4"/>
  <c r="Q133" i="4"/>
  <c r="V133" i="4"/>
  <c r="Q134" i="4"/>
  <c r="V134" i="4"/>
  <c r="Q135" i="4"/>
  <c r="V135" i="4"/>
  <c r="Q136" i="4"/>
  <c r="V136" i="4"/>
  <c r="Q137" i="4"/>
  <c r="V137" i="4"/>
  <c r="V138" i="4"/>
  <c r="V139" i="4"/>
  <c r="Q140" i="4"/>
  <c r="V140" i="4"/>
  <c r="Q141" i="4"/>
  <c r="V141" i="4"/>
  <c r="V142" i="4"/>
  <c r="V143" i="4"/>
  <c r="V144" i="4"/>
  <c r="Q145" i="4"/>
  <c r="V145" i="4"/>
  <c r="Q146" i="4"/>
  <c r="V146" i="4"/>
  <c r="V147" i="4"/>
  <c r="V148" i="4"/>
  <c r="V149" i="4"/>
  <c r="V150" i="4"/>
  <c r="Q151" i="4"/>
  <c r="V151" i="4"/>
  <c r="V152" i="4"/>
  <c r="V153" i="4"/>
  <c r="Q154" i="4"/>
  <c r="V154" i="4"/>
  <c r="Q155" i="4"/>
  <c r="V155" i="4"/>
  <c r="V156" i="4"/>
  <c r="V157" i="4"/>
  <c r="V158" i="4"/>
  <c r="V159" i="4"/>
  <c r="V160" i="4"/>
  <c r="Q161" i="4"/>
  <c r="V161" i="4"/>
  <c r="Q162" i="4"/>
  <c r="V162" i="4"/>
  <c r="Q163" i="4"/>
  <c r="V163" i="4"/>
  <c r="Q164" i="4"/>
  <c r="V164" i="4"/>
  <c r="Q165" i="4"/>
  <c r="V165" i="4"/>
  <c r="Q166" i="4"/>
  <c r="V166" i="4"/>
  <c r="Q167" i="4"/>
  <c r="V167" i="4"/>
  <c r="Q168" i="4"/>
  <c r="V168" i="4"/>
  <c r="Q169" i="4"/>
  <c r="V169" i="4"/>
  <c r="V170" i="4"/>
  <c r="Q171" i="4"/>
  <c r="V171" i="4"/>
  <c r="V172" i="4"/>
  <c r="V173" i="4"/>
  <c r="Q174" i="4"/>
  <c r="V174" i="4"/>
  <c r="V175" i="4"/>
  <c r="V176" i="4"/>
  <c r="Q177" i="4"/>
  <c r="V177" i="4"/>
  <c r="V178" i="4"/>
  <c r="Q179" i="4"/>
  <c r="V179" i="4"/>
  <c r="Q180" i="4"/>
  <c r="V180" i="4"/>
  <c r="Q181" i="4"/>
  <c r="V181" i="4"/>
  <c r="Q182" i="4"/>
  <c r="V182" i="4"/>
  <c r="Q183" i="4"/>
  <c r="V183" i="4"/>
  <c r="V184" i="4"/>
  <c r="V185" i="4"/>
  <c r="V186" i="4"/>
  <c r="V187" i="4"/>
  <c r="Q188" i="4"/>
  <c r="V188" i="4"/>
  <c r="Q189" i="4"/>
  <c r="V189" i="4"/>
  <c r="Q190" i="4"/>
  <c r="V190" i="4"/>
  <c r="V191" i="4"/>
  <c r="V192" i="4"/>
  <c r="V193" i="4"/>
  <c r="V194" i="4"/>
  <c r="V195" i="4"/>
  <c r="V196" i="4"/>
  <c r="V197" i="4"/>
  <c r="V198" i="4"/>
  <c r="V199" i="4"/>
  <c r="Q200" i="4"/>
  <c r="V200" i="4"/>
  <c r="Q201" i="4"/>
  <c r="V201" i="4"/>
  <c r="Q202" i="4"/>
  <c r="V202" i="4"/>
  <c r="V203" i="4"/>
  <c r="Q204" i="4"/>
  <c r="V204" i="4"/>
  <c r="Q205" i="4"/>
  <c r="V205" i="4"/>
  <c r="V206" i="4"/>
  <c r="V207" i="4"/>
  <c r="Q208" i="4"/>
  <c r="V208" i="4"/>
  <c r="Q209" i="4"/>
  <c r="V209" i="4"/>
  <c r="V210" i="4"/>
  <c r="V211" i="4"/>
  <c r="V212" i="4"/>
  <c r="V213" i="4"/>
  <c r="Q214" i="4"/>
  <c r="V214" i="4"/>
  <c r="V215" i="4"/>
  <c r="Q216" i="4"/>
  <c r="V216" i="4"/>
  <c r="Q217" i="4"/>
  <c r="V217" i="4"/>
  <c r="Q218" i="4"/>
  <c r="V218" i="4"/>
  <c r="V219" i="4"/>
  <c r="V220" i="4"/>
  <c r="Q221" i="4"/>
  <c r="V221" i="4"/>
  <c r="V222" i="4"/>
  <c r="Y229" i="4"/>
  <c r="Y222" i="4"/>
  <c r="Y230" i="4"/>
  <c r="Q16" i="4"/>
  <c r="W16" i="4"/>
  <c r="W17" i="4"/>
  <c r="Q18" i="4"/>
  <c r="W18" i="4"/>
  <c r="Q19" i="4"/>
  <c r="W19" i="4"/>
  <c r="W20" i="4"/>
  <c r="W21" i="4"/>
  <c r="W22" i="4"/>
  <c r="Q23" i="4"/>
  <c r="W23" i="4"/>
  <c r="Q24" i="4"/>
  <c r="W24" i="4"/>
  <c r="Q25" i="4"/>
  <c r="W25" i="4"/>
  <c r="W26" i="4"/>
  <c r="W27" i="4"/>
  <c r="W28" i="4"/>
  <c r="Q29" i="4"/>
  <c r="W29" i="4"/>
  <c r="W30" i="4"/>
  <c r="W31" i="4"/>
  <c r="W32" i="4"/>
  <c r="W33" i="4"/>
  <c r="W34" i="4"/>
  <c r="W35" i="4"/>
  <c r="W36" i="4"/>
  <c r="W37" i="4"/>
  <c r="W38" i="4"/>
  <c r="W39" i="4"/>
  <c r="W40" i="4"/>
  <c r="Q41" i="4"/>
  <c r="W41" i="4"/>
  <c r="W42" i="4"/>
  <c r="W43" i="4"/>
  <c r="Q44" i="4"/>
  <c r="W44" i="4"/>
  <c r="W45" i="4"/>
  <c r="W46" i="4"/>
  <c r="W47" i="4"/>
  <c r="Q48" i="4"/>
  <c r="W48" i="4"/>
  <c r="Q49" i="4"/>
  <c r="W49" i="4"/>
  <c r="Q50" i="4"/>
  <c r="W50" i="4"/>
  <c r="Q51" i="4"/>
  <c r="W51" i="4"/>
  <c r="Q52" i="4"/>
  <c r="W52" i="4"/>
  <c r="W53" i="4"/>
  <c r="Q54" i="4"/>
  <c r="W54" i="4"/>
  <c r="Q55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8" i="4"/>
  <c r="W69" i="4"/>
  <c r="W70" i="4"/>
  <c r="W71" i="4"/>
  <c r="W72" i="4"/>
  <c r="W73" i="4"/>
  <c r="Q74" i="4"/>
  <c r="W74" i="4"/>
  <c r="W75" i="4"/>
  <c r="W76" i="4"/>
  <c r="Q77" i="4"/>
  <c r="W77" i="4"/>
  <c r="Q78" i="4"/>
  <c r="W78" i="4"/>
  <c r="W79" i="4"/>
  <c r="Q80" i="4"/>
  <c r="W80" i="4"/>
  <c r="Q81" i="4"/>
  <c r="W81" i="4"/>
  <c r="Q82" i="4"/>
  <c r="W82" i="4"/>
  <c r="W83" i="4"/>
  <c r="W84" i="4"/>
  <c r="W85" i="4"/>
  <c r="W86" i="4"/>
  <c r="W87" i="4"/>
  <c r="W88" i="4"/>
  <c r="W89" i="4"/>
  <c r="W90" i="4"/>
  <c r="Q91" i="4"/>
  <c r="W91" i="4"/>
  <c r="Q92" i="4"/>
  <c r="W92" i="4"/>
  <c r="W93" i="4"/>
  <c r="Q94" i="4"/>
  <c r="W94" i="4"/>
  <c r="Q95" i="4"/>
  <c r="W95" i="4"/>
  <c r="Q96" i="4"/>
  <c r="W96" i="4"/>
  <c r="W97" i="4"/>
  <c r="W98" i="4"/>
  <c r="W99" i="4"/>
  <c r="W100" i="4"/>
  <c r="W101" i="4"/>
  <c r="W102" i="4"/>
  <c r="W103" i="4"/>
  <c r="W104" i="4"/>
  <c r="W105" i="4"/>
  <c r="W106" i="4"/>
  <c r="W107" i="4"/>
  <c r="W108" i="4"/>
  <c r="W109" i="4"/>
  <c r="W110" i="4"/>
  <c r="W111" i="4"/>
  <c r="W112" i="4"/>
  <c r="W113" i="4"/>
  <c r="W114" i="4"/>
  <c r="W115" i="4"/>
  <c r="W116" i="4"/>
  <c r="Q117" i="4"/>
  <c r="W117" i="4"/>
  <c r="Q118" i="4"/>
  <c r="W118" i="4"/>
  <c r="W119" i="4"/>
  <c r="W120" i="4"/>
  <c r="Q121" i="4"/>
  <c r="W121" i="4"/>
  <c r="W122" i="4"/>
  <c r="W123" i="4"/>
  <c r="Q124" i="4"/>
  <c r="W124" i="4"/>
  <c r="Q125" i="4"/>
  <c r="W125" i="4"/>
  <c r="W126" i="4"/>
  <c r="Q127" i="4"/>
  <c r="W127" i="4"/>
  <c r="W128" i="4"/>
  <c r="W129" i="4"/>
  <c r="W130" i="4"/>
  <c r="W131" i="4"/>
  <c r="W132" i="4"/>
  <c r="W133" i="4"/>
  <c r="W134" i="4"/>
  <c r="W135" i="4"/>
  <c r="W136" i="4"/>
  <c r="W137" i="4"/>
  <c r="Q138" i="4"/>
  <c r="W138" i="4"/>
  <c r="Q139" i="4"/>
  <c r="W139" i="4"/>
  <c r="W140" i="4"/>
  <c r="W141" i="4"/>
  <c r="W142" i="4"/>
  <c r="Q143" i="4"/>
  <c r="W143" i="4"/>
  <c r="Q144" i="4"/>
  <c r="W144" i="4"/>
  <c r="W145" i="4"/>
  <c r="W146" i="4"/>
  <c r="W147" i="4"/>
  <c r="Q148" i="4"/>
  <c r="W148" i="4"/>
  <c r="Q149" i="4"/>
  <c r="W149" i="4"/>
  <c r="W150" i="4"/>
  <c r="W151" i="4"/>
  <c r="Q152" i="4"/>
  <c r="W152" i="4"/>
  <c r="Q153" i="4"/>
  <c r="W153" i="4"/>
  <c r="W154" i="4"/>
  <c r="W155" i="4"/>
  <c r="Q156" i="4"/>
  <c r="W156" i="4"/>
  <c r="Q157" i="4"/>
  <c r="W157" i="4"/>
  <c r="Q158" i="4"/>
  <c r="W158" i="4"/>
  <c r="Q159" i="4"/>
  <c r="W159" i="4"/>
  <c r="Q160" i="4"/>
  <c r="W160" i="4"/>
  <c r="W161" i="4"/>
  <c r="W162" i="4"/>
  <c r="W163" i="4"/>
  <c r="W164" i="4"/>
  <c r="W165" i="4"/>
  <c r="W166" i="4"/>
  <c r="W167" i="4"/>
  <c r="W168" i="4"/>
  <c r="W169" i="4"/>
  <c r="Q170" i="4"/>
  <c r="W170" i="4"/>
  <c r="W171" i="4"/>
  <c r="Q172" i="4"/>
  <c r="W172" i="4"/>
  <c r="Q173" i="4"/>
  <c r="W173" i="4"/>
  <c r="W174" i="4"/>
  <c r="Q175" i="4"/>
  <c r="W175" i="4"/>
  <c r="W176" i="4"/>
  <c r="W177" i="4"/>
  <c r="Q178" i="4"/>
  <c r="W178" i="4"/>
  <c r="W179" i="4"/>
  <c r="W180" i="4"/>
  <c r="W181" i="4"/>
  <c r="W182" i="4"/>
  <c r="W183" i="4"/>
  <c r="Q184" i="4"/>
  <c r="W184" i="4"/>
  <c r="Q185" i="4"/>
  <c r="W185" i="4"/>
  <c r="Q186" i="4"/>
  <c r="W186" i="4"/>
  <c r="Q187" i="4"/>
  <c r="W187" i="4"/>
  <c r="W188" i="4"/>
  <c r="W189" i="4"/>
  <c r="W190" i="4"/>
  <c r="Q191" i="4"/>
  <c r="W191" i="4"/>
  <c r="Q192" i="4"/>
  <c r="W192" i="4"/>
  <c r="Q193" i="4"/>
  <c r="W193" i="4"/>
  <c r="Q194" i="4"/>
  <c r="W194" i="4"/>
  <c r="Q195" i="4"/>
  <c r="W195" i="4"/>
  <c r="Q196" i="4"/>
  <c r="W196" i="4"/>
  <c r="W197" i="4"/>
  <c r="Q198" i="4"/>
  <c r="W198" i="4"/>
  <c r="W199" i="4"/>
  <c r="W200" i="4"/>
  <c r="W201" i="4"/>
  <c r="W202" i="4"/>
  <c r="W203" i="4"/>
  <c r="W204" i="4"/>
  <c r="W205" i="4"/>
  <c r="Q206" i="4"/>
  <c r="W206" i="4"/>
  <c r="W207" i="4"/>
  <c r="W208" i="4"/>
  <c r="W209" i="4"/>
  <c r="Q210" i="4"/>
  <c r="W210" i="4"/>
  <c r="Q211" i="4"/>
  <c r="W211" i="4"/>
  <c r="Q212" i="4"/>
  <c r="W212" i="4"/>
  <c r="Q213" i="4"/>
  <c r="W213" i="4"/>
  <c r="W214" i="4"/>
  <c r="Q215" i="4"/>
  <c r="W215" i="4"/>
  <c r="W216" i="4"/>
  <c r="W217" i="4"/>
  <c r="W218" i="4"/>
  <c r="W219" i="4"/>
  <c r="W220" i="4"/>
  <c r="W221" i="4"/>
  <c r="W222" i="4"/>
  <c r="Y232" i="4"/>
  <c r="Z222" i="4"/>
  <c r="Y233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Q39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Q53" i="4"/>
  <c r="X53" i="4"/>
  <c r="X54" i="4"/>
  <c r="X55" i="4"/>
  <c r="Q56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Q89" i="4"/>
  <c r="X89" i="4"/>
  <c r="Q90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22" i="4"/>
  <c r="Q123" i="4"/>
  <c r="X123" i="4"/>
  <c r="X124" i="4"/>
  <c r="X125" i="4"/>
  <c r="X126" i="4"/>
  <c r="X127" i="4"/>
  <c r="X128" i="4"/>
  <c r="X129" i="4"/>
  <c r="X130" i="4"/>
  <c r="X131" i="4"/>
  <c r="X132" i="4"/>
  <c r="X133" i="4"/>
  <c r="X134" i="4"/>
  <c r="X135" i="4"/>
  <c r="X136" i="4"/>
  <c r="X137" i="4"/>
  <c r="X138" i="4"/>
  <c r="X139" i="4"/>
  <c r="X140" i="4"/>
  <c r="X141" i="4"/>
  <c r="Q142" i="4"/>
  <c r="X142" i="4"/>
  <c r="X143" i="4"/>
  <c r="X144" i="4"/>
  <c r="X145" i="4"/>
  <c r="X146" i="4"/>
  <c r="Q147" i="4"/>
  <c r="X147" i="4"/>
  <c r="X148" i="4"/>
  <c r="X149" i="4"/>
  <c r="Q150" i="4"/>
  <c r="X150" i="4"/>
  <c r="X151" i="4"/>
  <c r="X152" i="4"/>
  <c r="X153" i="4"/>
  <c r="X154" i="4"/>
  <c r="X155" i="4"/>
  <c r="X156" i="4"/>
  <c r="X157" i="4"/>
  <c r="X158" i="4"/>
  <c r="X159" i="4"/>
  <c r="X160" i="4"/>
  <c r="X161" i="4"/>
  <c r="X162" i="4"/>
  <c r="X163" i="4"/>
  <c r="X164" i="4"/>
  <c r="X165" i="4"/>
  <c r="X166" i="4"/>
  <c r="X167" i="4"/>
  <c r="X168" i="4"/>
  <c r="X169" i="4"/>
  <c r="X170" i="4"/>
  <c r="X171" i="4"/>
  <c r="X172" i="4"/>
  <c r="X173" i="4"/>
  <c r="X174" i="4"/>
  <c r="X175" i="4"/>
  <c r="Q176" i="4"/>
  <c r="X176" i="4"/>
  <c r="X177" i="4"/>
  <c r="X178" i="4"/>
  <c r="X179" i="4"/>
  <c r="X180" i="4"/>
  <c r="X181" i="4"/>
  <c r="X182" i="4"/>
  <c r="X183" i="4"/>
  <c r="X184" i="4"/>
  <c r="X185" i="4"/>
  <c r="X186" i="4"/>
  <c r="X187" i="4"/>
  <c r="X188" i="4"/>
  <c r="X189" i="4"/>
  <c r="X190" i="4"/>
  <c r="X191" i="4"/>
  <c r="X192" i="4"/>
  <c r="X193" i="4"/>
  <c r="X194" i="4"/>
  <c r="X195" i="4"/>
  <c r="X196" i="4"/>
  <c r="Q197" i="4"/>
  <c r="X197" i="4"/>
  <c r="X198" i="4"/>
  <c r="Q199" i="4"/>
  <c r="X199" i="4"/>
  <c r="X200" i="4"/>
  <c r="X201" i="4"/>
  <c r="X202" i="4"/>
  <c r="Q203" i="4"/>
  <c r="X203" i="4"/>
  <c r="X204" i="4"/>
  <c r="X205" i="4"/>
  <c r="X206" i="4"/>
  <c r="Q207" i="4"/>
  <c r="X207" i="4"/>
  <c r="X208" i="4"/>
  <c r="X209" i="4"/>
  <c r="X210" i="4"/>
  <c r="X211" i="4"/>
  <c r="X212" i="4"/>
  <c r="X213" i="4"/>
  <c r="X214" i="4"/>
  <c r="X215" i="4"/>
  <c r="X216" i="4"/>
  <c r="X217" i="4"/>
  <c r="X218" i="4"/>
  <c r="Q219" i="4"/>
  <c r="X219" i="4"/>
  <c r="Q220" i="4"/>
  <c r="X220" i="4"/>
  <c r="X221" i="4"/>
  <c r="X222" i="4"/>
  <c r="Y235" i="4"/>
  <c r="Y236" i="4"/>
  <c r="X227" i="4"/>
  <c r="X236" i="4"/>
  <c r="AB16" i="4"/>
  <c r="F17" i="4"/>
  <c r="J17" i="4"/>
  <c r="AB17" i="4"/>
  <c r="AB18" i="4"/>
  <c r="AB19" i="4"/>
  <c r="F20" i="4"/>
  <c r="J20" i="4"/>
  <c r="AB20" i="4"/>
  <c r="F21" i="4"/>
  <c r="J21" i="4"/>
  <c r="AB21" i="4"/>
  <c r="F22" i="4"/>
  <c r="J22" i="4"/>
  <c r="AB22" i="4"/>
  <c r="AB23" i="4"/>
  <c r="AB24" i="4"/>
  <c r="AB25" i="4"/>
  <c r="F26" i="4"/>
  <c r="J26" i="4"/>
  <c r="AB26" i="4"/>
  <c r="F27" i="4"/>
  <c r="J27" i="4"/>
  <c r="AB27" i="4"/>
  <c r="F28" i="4"/>
  <c r="J28" i="4"/>
  <c r="AB28" i="4"/>
  <c r="AB29" i="4"/>
  <c r="F30" i="4"/>
  <c r="J30" i="4"/>
  <c r="AB30" i="4"/>
  <c r="F31" i="4"/>
  <c r="J31" i="4"/>
  <c r="AB31" i="4"/>
  <c r="F32" i="4"/>
  <c r="J32" i="4"/>
  <c r="AB32" i="4"/>
  <c r="F33" i="4"/>
  <c r="J33" i="4"/>
  <c r="AB33" i="4"/>
  <c r="F34" i="4"/>
  <c r="J34" i="4"/>
  <c r="AB34" i="4"/>
  <c r="F35" i="4"/>
  <c r="J35" i="4"/>
  <c r="AB35" i="4"/>
  <c r="E36" i="4"/>
  <c r="F36" i="4"/>
  <c r="J36" i="4"/>
  <c r="AB36" i="4"/>
  <c r="F37" i="4"/>
  <c r="J37" i="4"/>
  <c r="AB37" i="4"/>
  <c r="F38" i="4"/>
  <c r="J38" i="4"/>
  <c r="AB38" i="4"/>
  <c r="AB39" i="4"/>
  <c r="F40" i="4"/>
  <c r="J40" i="4"/>
  <c r="AB40" i="4"/>
  <c r="AB41" i="4"/>
  <c r="F42" i="4"/>
  <c r="J42" i="4"/>
  <c r="AB42" i="4"/>
  <c r="F43" i="4"/>
  <c r="J43" i="4"/>
  <c r="AB43" i="4"/>
  <c r="AB44" i="4"/>
  <c r="F45" i="4"/>
  <c r="J45" i="4"/>
  <c r="AB45" i="4"/>
  <c r="F46" i="4"/>
  <c r="J46" i="4"/>
  <c r="AB46" i="4"/>
  <c r="F47" i="4"/>
  <c r="J47" i="4"/>
  <c r="AB47" i="4"/>
  <c r="AB48" i="4"/>
  <c r="AB49" i="4"/>
  <c r="AB50" i="4"/>
  <c r="AB51" i="4"/>
  <c r="AB52" i="4"/>
  <c r="AB53" i="4"/>
  <c r="AB54" i="4"/>
  <c r="AB55" i="4"/>
  <c r="AB56" i="4"/>
  <c r="F57" i="4"/>
  <c r="J57" i="4"/>
  <c r="AB57" i="4"/>
  <c r="F58" i="4"/>
  <c r="J58" i="4"/>
  <c r="AB58" i="4"/>
  <c r="F59" i="4"/>
  <c r="J59" i="4"/>
  <c r="AB59" i="4"/>
  <c r="F60" i="4"/>
  <c r="J60" i="4"/>
  <c r="AB60" i="4"/>
  <c r="F61" i="4"/>
  <c r="J61" i="4"/>
  <c r="AB61" i="4"/>
  <c r="F62" i="4"/>
  <c r="J62" i="4"/>
  <c r="AB62" i="4"/>
  <c r="F63" i="4"/>
  <c r="J63" i="4"/>
  <c r="AB63" i="4"/>
  <c r="F64" i="4"/>
  <c r="J64" i="4"/>
  <c r="AB64" i="4"/>
  <c r="F65" i="4"/>
  <c r="J65" i="4"/>
  <c r="AB65" i="4"/>
  <c r="F66" i="4"/>
  <c r="J66" i="4"/>
  <c r="AB66" i="4"/>
  <c r="F67" i="4"/>
  <c r="J67" i="4"/>
  <c r="AB67" i="4"/>
  <c r="F68" i="4"/>
  <c r="J68" i="4"/>
  <c r="AB68" i="4"/>
  <c r="F69" i="4"/>
  <c r="J69" i="4"/>
  <c r="AB69" i="4"/>
  <c r="F70" i="4"/>
  <c r="J70" i="4"/>
  <c r="AB70" i="4"/>
  <c r="F71" i="4"/>
  <c r="J71" i="4"/>
  <c r="AB71" i="4"/>
  <c r="F72" i="4"/>
  <c r="J72" i="4"/>
  <c r="AB72" i="4"/>
  <c r="F73" i="4"/>
  <c r="J73" i="4"/>
  <c r="AB73" i="4"/>
  <c r="AB74" i="4"/>
  <c r="F75" i="4"/>
  <c r="J75" i="4"/>
  <c r="AB75" i="4"/>
  <c r="F76" i="4"/>
  <c r="J76" i="4"/>
  <c r="AB76" i="4"/>
  <c r="AB77" i="4"/>
  <c r="AB78" i="4"/>
  <c r="F79" i="4"/>
  <c r="J79" i="4"/>
  <c r="AB79" i="4"/>
  <c r="AB80" i="4"/>
  <c r="AB81" i="4"/>
  <c r="AB82" i="4"/>
  <c r="F83" i="4"/>
  <c r="J83" i="4"/>
  <c r="AB83" i="4"/>
  <c r="F84" i="4"/>
  <c r="J84" i="4"/>
  <c r="AB84" i="4"/>
  <c r="F85" i="4"/>
  <c r="J85" i="4"/>
  <c r="AB85" i="4"/>
  <c r="F86" i="4"/>
  <c r="J86" i="4"/>
  <c r="AB86" i="4"/>
  <c r="F87" i="4"/>
  <c r="J87" i="4"/>
  <c r="AB87" i="4"/>
  <c r="F88" i="4"/>
  <c r="J88" i="4"/>
  <c r="AB88" i="4"/>
  <c r="AB89" i="4"/>
  <c r="AB90" i="4"/>
  <c r="AB91" i="4"/>
  <c r="AB92" i="4"/>
  <c r="F93" i="4"/>
  <c r="J93" i="4"/>
  <c r="AB93" i="4"/>
  <c r="AB94" i="4"/>
  <c r="AB95" i="4"/>
  <c r="AB96" i="4"/>
  <c r="F97" i="4"/>
  <c r="J97" i="4"/>
  <c r="AB97" i="4"/>
  <c r="F98" i="4"/>
  <c r="J98" i="4"/>
  <c r="AB98" i="4"/>
  <c r="F99" i="4"/>
  <c r="J99" i="4"/>
  <c r="AB99" i="4"/>
  <c r="F100" i="4"/>
  <c r="J100" i="4"/>
  <c r="AB100" i="4"/>
  <c r="E101" i="4"/>
  <c r="F101" i="4"/>
  <c r="J101" i="4"/>
  <c r="AB101" i="4"/>
  <c r="F102" i="4"/>
  <c r="J102" i="4"/>
  <c r="AB102" i="4"/>
  <c r="F103" i="4"/>
  <c r="J103" i="4"/>
  <c r="AB103" i="4"/>
  <c r="F104" i="4"/>
  <c r="J104" i="4"/>
  <c r="AB104" i="4"/>
  <c r="F105" i="4"/>
  <c r="J105" i="4"/>
  <c r="AB105" i="4"/>
  <c r="F106" i="4"/>
  <c r="J106" i="4"/>
  <c r="AB106" i="4"/>
  <c r="F107" i="4"/>
  <c r="J107" i="4"/>
  <c r="AB107" i="4"/>
  <c r="F108" i="4"/>
  <c r="J108" i="4"/>
  <c r="AB108" i="4"/>
  <c r="F109" i="4"/>
  <c r="J109" i="4"/>
  <c r="AB109" i="4"/>
  <c r="F110" i="4"/>
  <c r="J110" i="4"/>
  <c r="AB110" i="4"/>
  <c r="F111" i="4"/>
  <c r="J111" i="4"/>
  <c r="AB111" i="4"/>
  <c r="F112" i="4"/>
  <c r="J112" i="4"/>
  <c r="AB112" i="4"/>
  <c r="F113" i="4"/>
  <c r="J113" i="4"/>
  <c r="AB113" i="4"/>
  <c r="F114" i="4"/>
  <c r="J114" i="4"/>
  <c r="AB114" i="4"/>
  <c r="F115" i="4"/>
  <c r="I115" i="4"/>
  <c r="J115" i="4"/>
  <c r="AB115" i="4"/>
  <c r="F116" i="4"/>
  <c r="J116" i="4"/>
  <c r="AB116" i="4"/>
  <c r="AB117" i="4"/>
  <c r="AB118" i="4"/>
  <c r="F119" i="4"/>
  <c r="J119" i="4"/>
  <c r="AB119" i="4"/>
  <c r="F120" i="4"/>
  <c r="J120" i="4"/>
  <c r="AB120" i="4"/>
  <c r="AB121" i="4"/>
  <c r="F122" i="4"/>
  <c r="J122" i="4"/>
  <c r="AB122" i="4"/>
  <c r="AB123" i="4"/>
  <c r="AB124" i="4"/>
  <c r="AB125" i="4"/>
  <c r="F126" i="4"/>
  <c r="J126" i="4"/>
  <c r="AB126" i="4"/>
  <c r="AB127" i="4"/>
  <c r="J128" i="4"/>
  <c r="AB128" i="4"/>
  <c r="F129" i="4"/>
  <c r="J129" i="4"/>
  <c r="AB129" i="4"/>
  <c r="F130" i="4"/>
  <c r="J130" i="4"/>
  <c r="AB130" i="4"/>
  <c r="F131" i="4"/>
  <c r="J131" i="4"/>
  <c r="AB131" i="4"/>
  <c r="F132" i="4"/>
  <c r="J132" i="4"/>
  <c r="AB132" i="4"/>
  <c r="F133" i="4"/>
  <c r="J133" i="4"/>
  <c r="AB133" i="4"/>
  <c r="F134" i="4"/>
  <c r="J134" i="4"/>
  <c r="AB134" i="4"/>
  <c r="F135" i="4"/>
  <c r="J135" i="4"/>
  <c r="AB135" i="4"/>
  <c r="F136" i="4"/>
  <c r="I136" i="4"/>
  <c r="J136" i="4"/>
  <c r="AB136" i="4"/>
  <c r="F137" i="4"/>
  <c r="J137" i="4"/>
  <c r="AB137" i="4"/>
  <c r="AB138" i="4"/>
  <c r="AB139" i="4"/>
  <c r="F140" i="4"/>
  <c r="J140" i="4"/>
  <c r="AB140" i="4"/>
  <c r="F141" i="4"/>
  <c r="J141" i="4"/>
  <c r="AB141" i="4"/>
  <c r="AB142" i="4"/>
  <c r="AB143" i="4"/>
  <c r="AB144" i="4"/>
  <c r="F145" i="4"/>
  <c r="J145" i="4"/>
  <c r="AB145" i="4"/>
  <c r="E146" i="4"/>
  <c r="F146" i="4"/>
  <c r="J146" i="4"/>
  <c r="AB146" i="4"/>
  <c r="AB147" i="4"/>
  <c r="AB148" i="4"/>
  <c r="AB149" i="4"/>
  <c r="AB150" i="4"/>
  <c r="F151" i="4"/>
  <c r="J151" i="4"/>
  <c r="AB151" i="4"/>
  <c r="AB152" i="4"/>
  <c r="AB153" i="4"/>
  <c r="F154" i="4"/>
  <c r="J154" i="4"/>
  <c r="AB154" i="4"/>
  <c r="F155" i="4"/>
  <c r="J155" i="4"/>
  <c r="AB155" i="4"/>
  <c r="AB156" i="4"/>
  <c r="AB157" i="4"/>
  <c r="AB158" i="4"/>
  <c r="AB159" i="4"/>
  <c r="AB160" i="4"/>
  <c r="F161" i="4"/>
  <c r="J161" i="4"/>
  <c r="AB161" i="4"/>
  <c r="F162" i="4"/>
  <c r="J162" i="4"/>
  <c r="AB162" i="4"/>
  <c r="F163" i="4"/>
  <c r="J163" i="4"/>
  <c r="AB163" i="4"/>
  <c r="F164" i="4"/>
  <c r="J164" i="4"/>
  <c r="AB164" i="4"/>
  <c r="F165" i="4"/>
  <c r="J165" i="4"/>
  <c r="AB165" i="4"/>
  <c r="E166" i="4"/>
  <c r="F166" i="4"/>
  <c r="J166" i="4"/>
  <c r="AB166" i="4"/>
  <c r="F167" i="4"/>
  <c r="J167" i="4"/>
  <c r="AB167" i="4"/>
  <c r="F168" i="4"/>
  <c r="J168" i="4"/>
  <c r="AB168" i="4"/>
  <c r="E169" i="4"/>
  <c r="F169" i="4"/>
  <c r="J169" i="4"/>
  <c r="AB169" i="4"/>
  <c r="AB170" i="4"/>
  <c r="F171" i="4"/>
  <c r="J171" i="4"/>
  <c r="AB171" i="4"/>
  <c r="AB172" i="4"/>
  <c r="AB173" i="4"/>
  <c r="F174" i="4"/>
  <c r="J174" i="4"/>
  <c r="AB174" i="4"/>
  <c r="AB175" i="4"/>
  <c r="AB176" i="4"/>
  <c r="F177" i="4"/>
  <c r="J177" i="4"/>
  <c r="AB177" i="4"/>
  <c r="AB178" i="4"/>
  <c r="E179" i="4"/>
  <c r="F179" i="4"/>
  <c r="J179" i="4"/>
  <c r="AB179" i="4"/>
  <c r="F180" i="4"/>
  <c r="J180" i="4"/>
  <c r="AB180" i="4"/>
  <c r="F181" i="4"/>
  <c r="J181" i="4"/>
  <c r="AB181" i="4"/>
  <c r="F182" i="4"/>
  <c r="J182" i="4"/>
  <c r="AB182" i="4"/>
  <c r="F183" i="4"/>
  <c r="J183" i="4"/>
  <c r="AB183" i="4"/>
  <c r="AB184" i="4"/>
  <c r="AB185" i="4"/>
  <c r="AB186" i="4"/>
  <c r="AB187" i="4"/>
  <c r="F188" i="4"/>
  <c r="J188" i="4"/>
  <c r="AB188" i="4"/>
  <c r="F189" i="4"/>
  <c r="J189" i="4"/>
  <c r="AB189" i="4"/>
  <c r="F190" i="4"/>
  <c r="J190" i="4"/>
  <c r="AB190" i="4"/>
  <c r="AB191" i="4"/>
  <c r="AB192" i="4"/>
  <c r="AB193" i="4"/>
  <c r="AB194" i="4"/>
  <c r="AB195" i="4"/>
  <c r="AB196" i="4"/>
  <c r="AB197" i="4"/>
  <c r="AB198" i="4"/>
  <c r="AB199" i="4"/>
  <c r="F200" i="4"/>
  <c r="J200" i="4"/>
  <c r="AB200" i="4"/>
  <c r="F201" i="4"/>
  <c r="J201" i="4"/>
  <c r="AB201" i="4"/>
  <c r="F202" i="4"/>
  <c r="J202" i="4"/>
  <c r="AB202" i="4"/>
  <c r="AB203" i="4"/>
  <c r="F204" i="4"/>
  <c r="J204" i="4"/>
  <c r="AB204" i="4"/>
  <c r="F205" i="4"/>
  <c r="J205" i="4"/>
  <c r="AB205" i="4"/>
  <c r="AB206" i="4"/>
  <c r="AB207" i="4"/>
  <c r="F208" i="4"/>
  <c r="J208" i="4"/>
  <c r="AB208" i="4"/>
  <c r="F209" i="4"/>
  <c r="J209" i="4"/>
  <c r="AB209" i="4"/>
  <c r="AB210" i="4"/>
  <c r="AB211" i="4"/>
  <c r="AB212" i="4"/>
  <c r="AB213" i="4"/>
  <c r="F214" i="4"/>
  <c r="J214" i="4"/>
  <c r="AB214" i="4"/>
  <c r="AB215" i="4"/>
  <c r="F216" i="4"/>
  <c r="J216" i="4"/>
  <c r="AB216" i="4"/>
  <c r="F217" i="4"/>
  <c r="J217" i="4"/>
  <c r="AB217" i="4"/>
  <c r="F218" i="4"/>
  <c r="J218" i="4"/>
  <c r="AB218" i="4"/>
  <c r="AB219" i="4"/>
  <c r="AB220" i="4"/>
  <c r="F221" i="4"/>
  <c r="J221" i="4"/>
  <c r="AB221" i="4"/>
  <c r="AB222" i="4"/>
  <c r="AB226" i="4"/>
  <c r="F16" i="4"/>
  <c r="J16" i="4"/>
  <c r="AC16" i="4"/>
  <c r="AC17" i="4"/>
  <c r="F18" i="4"/>
  <c r="J18" i="4"/>
  <c r="AC18" i="4"/>
  <c r="F19" i="4"/>
  <c r="J19" i="4"/>
  <c r="AC19" i="4"/>
  <c r="AC20" i="4"/>
  <c r="AC21" i="4"/>
  <c r="AC22" i="4"/>
  <c r="F23" i="4"/>
  <c r="J23" i="4"/>
  <c r="AC23" i="4"/>
  <c r="F24" i="4"/>
  <c r="J24" i="4"/>
  <c r="AC24" i="4"/>
  <c r="F25" i="4"/>
  <c r="J25" i="4"/>
  <c r="AC25" i="4"/>
  <c r="AC26" i="4"/>
  <c r="AC27" i="4"/>
  <c r="AC28" i="4"/>
  <c r="F29" i="4"/>
  <c r="J29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F41" i="4"/>
  <c r="J41" i="4"/>
  <c r="AC41" i="4"/>
  <c r="AC42" i="4"/>
  <c r="AC43" i="4"/>
  <c r="F44" i="4"/>
  <c r="J44" i="4"/>
  <c r="AC44" i="4"/>
  <c r="AC45" i="4"/>
  <c r="AC46" i="4"/>
  <c r="AC47" i="4"/>
  <c r="F48" i="4"/>
  <c r="J48" i="4"/>
  <c r="AC48" i="4"/>
  <c r="F49" i="4"/>
  <c r="J49" i="4"/>
  <c r="AC49" i="4"/>
  <c r="F50" i="4"/>
  <c r="J50" i="4"/>
  <c r="AC50" i="4"/>
  <c r="F51" i="4"/>
  <c r="J51" i="4"/>
  <c r="AC51" i="4"/>
  <c r="E52" i="4"/>
  <c r="F52" i="4"/>
  <c r="J52" i="4"/>
  <c r="AC52" i="4"/>
  <c r="AC53" i="4"/>
  <c r="F54" i="4"/>
  <c r="J54" i="4"/>
  <c r="AC54" i="4"/>
  <c r="F55" i="4"/>
  <c r="J55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F74" i="4"/>
  <c r="J74" i="4"/>
  <c r="AC74" i="4"/>
  <c r="AC75" i="4"/>
  <c r="AC76" i="4"/>
  <c r="F77" i="4"/>
  <c r="J77" i="4"/>
  <c r="AC77" i="4"/>
  <c r="F78" i="4"/>
  <c r="J78" i="4"/>
  <c r="AC78" i="4"/>
  <c r="AC79" i="4"/>
  <c r="F80" i="4"/>
  <c r="J80" i="4"/>
  <c r="AC80" i="4"/>
  <c r="F81" i="4"/>
  <c r="J81" i="4"/>
  <c r="AC81" i="4"/>
  <c r="F82" i="4"/>
  <c r="J82" i="4"/>
  <c r="AC82" i="4"/>
  <c r="AC83" i="4"/>
  <c r="AC84" i="4"/>
  <c r="AC85" i="4"/>
  <c r="AC86" i="4"/>
  <c r="AC87" i="4"/>
  <c r="AC88" i="4"/>
  <c r="AC89" i="4"/>
  <c r="AC90" i="4"/>
  <c r="F91" i="4"/>
  <c r="J91" i="4"/>
  <c r="AC91" i="4"/>
  <c r="F92" i="4"/>
  <c r="J92" i="4"/>
  <c r="AC92" i="4"/>
  <c r="AC93" i="4"/>
  <c r="F94" i="4"/>
  <c r="J94" i="4"/>
  <c r="AC94" i="4"/>
  <c r="F95" i="4"/>
  <c r="J95" i="4"/>
  <c r="AC95" i="4"/>
  <c r="F96" i="4"/>
  <c r="J96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F117" i="4"/>
  <c r="J117" i="4"/>
  <c r="AC117" i="4"/>
  <c r="F118" i="4"/>
  <c r="J118" i="4"/>
  <c r="AC118" i="4"/>
  <c r="AC119" i="4"/>
  <c r="AC120" i="4"/>
  <c r="F121" i="4"/>
  <c r="J121" i="4"/>
  <c r="AC121" i="4"/>
  <c r="AC122" i="4"/>
  <c r="AC123" i="4"/>
  <c r="F124" i="4"/>
  <c r="J124" i="4"/>
  <c r="AC124" i="4"/>
  <c r="F125" i="4"/>
  <c r="J125" i="4"/>
  <c r="AC125" i="4"/>
  <c r="AC126" i="4"/>
  <c r="F127" i="4"/>
  <c r="J127" i="4"/>
  <c r="AC127" i="4"/>
  <c r="AC128" i="4"/>
  <c r="AC129" i="4"/>
  <c r="AC130" i="4"/>
  <c r="AC131" i="4"/>
  <c r="AC132" i="4"/>
  <c r="AC133" i="4"/>
  <c r="AC134" i="4"/>
  <c r="AC135" i="4"/>
  <c r="AC136" i="4"/>
  <c r="AC137" i="4"/>
  <c r="F138" i="4"/>
  <c r="J138" i="4"/>
  <c r="AC138" i="4"/>
  <c r="F139" i="4"/>
  <c r="J139" i="4"/>
  <c r="AC139" i="4"/>
  <c r="AC140" i="4"/>
  <c r="AC141" i="4"/>
  <c r="AC142" i="4"/>
  <c r="F143" i="4"/>
  <c r="J143" i="4"/>
  <c r="AC143" i="4"/>
  <c r="F144" i="4"/>
  <c r="J144" i="4"/>
  <c r="AC144" i="4"/>
  <c r="AC145" i="4"/>
  <c r="AC146" i="4"/>
  <c r="AC147" i="4"/>
  <c r="F148" i="4"/>
  <c r="J148" i="4"/>
  <c r="AC148" i="4"/>
  <c r="F149" i="4"/>
  <c r="J149" i="4"/>
  <c r="AC149" i="4"/>
  <c r="AC150" i="4"/>
  <c r="AC151" i="4"/>
  <c r="F152" i="4"/>
  <c r="J152" i="4"/>
  <c r="AC152" i="4"/>
  <c r="F153" i="4"/>
  <c r="J153" i="4"/>
  <c r="AC153" i="4"/>
  <c r="AC154" i="4"/>
  <c r="AC155" i="4"/>
  <c r="F156" i="4"/>
  <c r="J156" i="4"/>
  <c r="AC156" i="4"/>
  <c r="F157" i="4"/>
  <c r="J157" i="4"/>
  <c r="AC157" i="4"/>
  <c r="F158" i="4"/>
  <c r="J158" i="4"/>
  <c r="AC158" i="4"/>
  <c r="F159" i="4"/>
  <c r="J159" i="4"/>
  <c r="AC159" i="4"/>
  <c r="F160" i="4"/>
  <c r="J160" i="4"/>
  <c r="AC160" i="4"/>
  <c r="AC161" i="4"/>
  <c r="AC162" i="4"/>
  <c r="AC163" i="4"/>
  <c r="AC164" i="4"/>
  <c r="AC165" i="4"/>
  <c r="AC166" i="4"/>
  <c r="AC167" i="4"/>
  <c r="AC168" i="4"/>
  <c r="AC169" i="4"/>
  <c r="F170" i="4"/>
  <c r="J170" i="4"/>
  <c r="AC170" i="4"/>
  <c r="AC171" i="4"/>
  <c r="F172" i="4"/>
  <c r="J172" i="4"/>
  <c r="AC172" i="4"/>
  <c r="F173" i="4"/>
  <c r="J173" i="4"/>
  <c r="AC173" i="4"/>
  <c r="AC174" i="4"/>
  <c r="F175" i="4"/>
  <c r="I175" i="4"/>
  <c r="J175" i="4"/>
  <c r="AC175" i="4"/>
  <c r="AC176" i="4"/>
  <c r="AC177" i="4"/>
  <c r="F178" i="4"/>
  <c r="J178" i="4"/>
  <c r="AC178" i="4"/>
  <c r="AC179" i="4"/>
  <c r="AC180" i="4"/>
  <c r="AC181" i="4"/>
  <c r="AC182" i="4"/>
  <c r="AC183" i="4"/>
  <c r="F184" i="4"/>
  <c r="J184" i="4"/>
  <c r="AC184" i="4"/>
  <c r="F185" i="4"/>
  <c r="J185" i="4"/>
  <c r="AC185" i="4"/>
  <c r="F186" i="4"/>
  <c r="J186" i="4"/>
  <c r="AC186" i="4"/>
  <c r="F187" i="4"/>
  <c r="J187" i="4"/>
  <c r="AC187" i="4"/>
  <c r="AC188" i="4"/>
  <c r="AC189" i="4"/>
  <c r="AC190" i="4"/>
  <c r="F191" i="4"/>
  <c r="J191" i="4"/>
  <c r="AC191" i="4"/>
  <c r="F192" i="4"/>
  <c r="J192" i="4"/>
  <c r="AC192" i="4"/>
  <c r="F193" i="4"/>
  <c r="J193" i="4"/>
  <c r="AC193" i="4"/>
  <c r="F194" i="4"/>
  <c r="J194" i="4"/>
  <c r="AC194" i="4"/>
  <c r="F195" i="4"/>
  <c r="J195" i="4"/>
  <c r="AC195" i="4"/>
  <c r="F196" i="4"/>
  <c r="J196" i="4"/>
  <c r="AC196" i="4"/>
  <c r="AC197" i="4"/>
  <c r="F198" i="4"/>
  <c r="J198" i="4"/>
  <c r="AC198" i="4"/>
  <c r="AC199" i="4"/>
  <c r="AC200" i="4"/>
  <c r="AC201" i="4"/>
  <c r="AC202" i="4"/>
  <c r="AC203" i="4"/>
  <c r="AC204" i="4"/>
  <c r="AC205" i="4"/>
  <c r="F206" i="4"/>
  <c r="J206" i="4"/>
  <c r="AC206" i="4"/>
  <c r="AC207" i="4"/>
  <c r="AC208" i="4"/>
  <c r="AC209" i="4"/>
  <c r="F210" i="4"/>
  <c r="J210" i="4"/>
  <c r="AC210" i="4"/>
  <c r="F211" i="4"/>
  <c r="J211" i="4"/>
  <c r="AC211" i="4"/>
  <c r="F212" i="4"/>
  <c r="J212" i="4"/>
  <c r="AC212" i="4"/>
  <c r="F213" i="4"/>
  <c r="J213" i="4"/>
  <c r="AC213" i="4"/>
  <c r="AC214" i="4"/>
  <c r="F215" i="4"/>
  <c r="J215" i="4"/>
  <c r="AC215" i="4"/>
  <c r="AC216" i="4"/>
  <c r="AC217" i="4"/>
  <c r="AC218" i="4"/>
  <c r="AC219" i="4"/>
  <c r="AC220" i="4"/>
  <c r="AC221" i="4"/>
  <c r="AC222" i="4"/>
  <c r="AC226" i="4"/>
  <c r="J234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52" i="4"/>
  <c r="AF153" i="4"/>
  <c r="AF154" i="4"/>
  <c r="AF155" i="4"/>
  <c r="AF156" i="4"/>
  <c r="AF157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2" i="4"/>
  <c r="AF193" i="4"/>
  <c r="AF194" i="4"/>
  <c r="AF195" i="4"/>
  <c r="AF196" i="4"/>
  <c r="AF197" i="4"/>
  <c r="AF198" i="4"/>
  <c r="AF199" i="4"/>
  <c r="AF200" i="4"/>
  <c r="AF201" i="4"/>
  <c r="AF202" i="4"/>
  <c r="AF203" i="4"/>
  <c r="AF204" i="4"/>
  <c r="AF205" i="4"/>
  <c r="AF206" i="4"/>
  <c r="AF207" i="4"/>
  <c r="AF208" i="4"/>
  <c r="AF209" i="4"/>
  <c r="AF210" i="4"/>
  <c r="AF211" i="4"/>
  <c r="AF212" i="4"/>
  <c r="AF213" i="4"/>
  <c r="AF214" i="4"/>
  <c r="AF215" i="4"/>
  <c r="AF216" i="4"/>
  <c r="AF217" i="4"/>
  <c r="AF218" i="4"/>
  <c r="AF219" i="4"/>
  <c r="AF220" i="4"/>
  <c r="AF221" i="4"/>
  <c r="AF222" i="4"/>
  <c r="AF226" i="4"/>
  <c r="AF228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3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1" i="4"/>
  <c r="AG102" i="4"/>
  <c r="AG103" i="4"/>
  <c r="AG104" i="4"/>
  <c r="AG105" i="4"/>
  <c r="AG106" i="4"/>
  <c r="AG107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0" i="4"/>
  <c r="AG121" i="4"/>
  <c r="AG122" i="4"/>
  <c r="AG123" i="4"/>
  <c r="AG124" i="4"/>
  <c r="AG125" i="4"/>
  <c r="AG126" i="4"/>
  <c r="AG127" i="4"/>
  <c r="AG128" i="4"/>
  <c r="AG129" i="4"/>
  <c r="AG130" i="4"/>
  <c r="AG131" i="4"/>
  <c r="AG132" i="4"/>
  <c r="AG133" i="4"/>
  <c r="AG134" i="4"/>
  <c r="AG135" i="4"/>
  <c r="AG136" i="4"/>
  <c r="AG137" i="4"/>
  <c r="AG138" i="4"/>
  <c r="AG139" i="4"/>
  <c r="AG140" i="4"/>
  <c r="AG141" i="4"/>
  <c r="AG142" i="4"/>
  <c r="AG143" i="4"/>
  <c r="AG144" i="4"/>
  <c r="AG145" i="4"/>
  <c r="AG146" i="4"/>
  <c r="AG147" i="4"/>
  <c r="AG148" i="4"/>
  <c r="AG149" i="4"/>
  <c r="AG150" i="4"/>
  <c r="AG151" i="4"/>
  <c r="AG152" i="4"/>
  <c r="AG153" i="4"/>
  <c r="AG154" i="4"/>
  <c r="AG155" i="4"/>
  <c r="AG156" i="4"/>
  <c r="AG157" i="4"/>
  <c r="AG158" i="4"/>
  <c r="AG159" i="4"/>
  <c r="AG160" i="4"/>
  <c r="AG161" i="4"/>
  <c r="AG162" i="4"/>
  <c r="AG163" i="4"/>
  <c r="AG164" i="4"/>
  <c r="AG165" i="4"/>
  <c r="AG166" i="4"/>
  <c r="AG167" i="4"/>
  <c r="AG168" i="4"/>
  <c r="AG169" i="4"/>
  <c r="AG170" i="4"/>
  <c r="AG171" i="4"/>
  <c r="AG172" i="4"/>
  <c r="AG173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2" i="4"/>
  <c r="AG193" i="4"/>
  <c r="AG194" i="4"/>
  <c r="AG195" i="4"/>
  <c r="AG196" i="4"/>
  <c r="AG197" i="4"/>
  <c r="AG198" i="4"/>
  <c r="AG199" i="4"/>
  <c r="AG200" i="4"/>
  <c r="AG201" i="4"/>
  <c r="AG202" i="4"/>
  <c r="AG203" i="4"/>
  <c r="AG204" i="4"/>
  <c r="AG205" i="4"/>
  <c r="AG206" i="4"/>
  <c r="AG207" i="4"/>
  <c r="AG208" i="4"/>
  <c r="AG209" i="4"/>
  <c r="AG210" i="4"/>
  <c r="AG211" i="4"/>
  <c r="AG212" i="4"/>
  <c r="AG213" i="4"/>
  <c r="AG214" i="4"/>
  <c r="AG215" i="4"/>
  <c r="AG216" i="4"/>
  <c r="AG217" i="4"/>
  <c r="AG218" i="4"/>
  <c r="AG219" i="4"/>
  <c r="AG220" i="4"/>
  <c r="AG221" i="4"/>
  <c r="AG222" i="4"/>
  <c r="AG226" i="4"/>
  <c r="AG228" i="4"/>
  <c r="AG230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F39" i="4"/>
  <c r="J39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F53" i="4"/>
  <c r="J53" i="4"/>
  <c r="AD53" i="4"/>
  <c r="AD54" i="4"/>
  <c r="AD55" i="4"/>
  <c r="F56" i="4"/>
  <c r="J56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F89" i="4"/>
  <c r="J89" i="4"/>
  <c r="AD89" i="4"/>
  <c r="F90" i="4"/>
  <c r="J90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F123" i="4"/>
  <c r="J123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F142" i="4"/>
  <c r="J142" i="4"/>
  <c r="AD142" i="4"/>
  <c r="AD143" i="4"/>
  <c r="AD144" i="4"/>
  <c r="AD145" i="4"/>
  <c r="AD146" i="4"/>
  <c r="E147" i="4"/>
  <c r="F147" i="4"/>
  <c r="J147" i="4"/>
  <c r="AD147" i="4"/>
  <c r="AD148" i="4"/>
  <c r="AD149" i="4"/>
  <c r="E150" i="4"/>
  <c r="F150" i="4"/>
  <c r="J150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D167" i="4"/>
  <c r="AD168" i="4"/>
  <c r="AD169" i="4"/>
  <c r="AD170" i="4"/>
  <c r="AD171" i="4"/>
  <c r="AD172" i="4"/>
  <c r="AD173" i="4"/>
  <c r="AD174" i="4"/>
  <c r="AD175" i="4"/>
  <c r="F176" i="4"/>
  <c r="I176" i="4"/>
  <c r="J176" i="4"/>
  <c r="AD176" i="4"/>
  <c r="AD177" i="4"/>
  <c r="AD178" i="4"/>
  <c r="AD179" i="4"/>
  <c r="AD180" i="4"/>
  <c r="AD181" i="4"/>
  <c r="AD182" i="4"/>
  <c r="AD183" i="4"/>
  <c r="AD184" i="4"/>
  <c r="AD185" i="4"/>
  <c r="AD186" i="4"/>
  <c r="AD187" i="4"/>
  <c r="AD188" i="4"/>
  <c r="AD189" i="4"/>
  <c r="AD190" i="4"/>
  <c r="AD191" i="4"/>
  <c r="AD192" i="4"/>
  <c r="AD193" i="4"/>
  <c r="AD194" i="4"/>
  <c r="AD195" i="4"/>
  <c r="AD196" i="4"/>
  <c r="F197" i="4"/>
  <c r="J197" i="4"/>
  <c r="AD197" i="4"/>
  <c r="AD198" i="4"/>
  <c r="E199" i="4"/>
  <c r="F199" i="4"/>
  <c r="J199" i="4"/>
  <c r="AD199" i="4"/>
  <c r="AD200" i="4"/>
  <c r="AD201" i="4"/>
  <c r="AD202" i="4"/>
  <c r="F203" i="4"/>
  <c r="J203" i="4"/>
  <c r="AD203" i="4"/>
  <c r="AD204" i="4"/>
  <c r="AD205" i="4"/>
  <c r="AD206" i="4"/>
  <c r="F207" i="4"/>
  <c r="J207" i="4"/>
  <c r="AD207" i="4"/>
  <c r="AD208" i="4"/>
  <c r="AD209" i="4"/>
  <c r="AD210" i="4"/>
  <c r="AD211" i="4"/>
  <c r="AD212" i="4"/>
  <c r="AD213" i="4"/>
  <c r="AD214" i="4"/>
  <c r="AD215" i="4"/>
  <c r="AD216" i="4"/>
  <c r="AD217" i="4"/>
  <c r="AD218" i="4"/>
  <c r="F219" i="4"/>
  <c r="J219" i="4"/>
  <c r="AD219" i="4"/>
  <c r="F220" i="4"/>
  <c r="J220" i="4"/>
  <c r="AD220" i="4"/>
  <c r="AD221" i="4"/>
  <c r="AD222" i="4"/>
  <c r="AD224" i="4"/>
  <c r="AD225" i="4"/>
  <c r="AD226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98" i="4"/>
  <c r="AH199" i="4"/>
  <c r="AH200" i="4"/>
  <c r="AH201" i="4"/>
  <c r="AH202" i="4"/>
  <c r="AH203" i="4"/>
  <c r="AH204" i="4"/>
  <c r="AH205" i="4"/>
  <c r="AH206" i="4"/>
  <c r="AH207" i="4"/>
  <c r="AH208" i="4"/>
  <c r="AH209" i="4"/>
  <c r="AH210" i="4"/>
  <c r="AH211" i="4"/>
  <c r="AH212" i="4"/>
  <c r="AH213" i="4"/>
  <c r="AH214" i="4"/>
  <c r="AH215" i="4"/>
  <c r="AH216" i="4"/>
  <c r="AH217" i="4"/>
  <c r="AH218" i="4"/>
  <c r="AH219" i="4"/>
  <c r="AH220" i="4"/>
  <c r="AH221" i="4"/>
  <c r="AH222" i="4"/>
  <c r="AH226" i="4"/>
  <c r="AH228" i="4"/>
  <c r="AG232" i="4"/>
  <c r="J222" i="4"/>
  <c r="J226" i="4"/>
  <c r="M222" i="4"/>
  <c r="L222" i="4"/>
  <c r="M223" i="4"/>
  <c r="J230" i="4"/>
  <c r="J232" i="4"/>
  <c r="J228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J163" i="4"/>
  <c r="AJ164" i="4"/>
  <c r="AJ165" i="4"/>
  <c r="AJ166" i="4"/>
  <c r="AJ167" i="4"/>
  <c r="AJ168" i="4"/>
  <c r="AJ169" i="4"/>
  <c r="AJ170" i="4"/>
  <c r="AJ171" i="4"/>
  <c r="AJ172" i="4"/>
  <c r="AJ173" i="4"/>
  <c r="AJ174" i="4"/>
  <c r="AJ175" i="4"/>
  <c r="AJ176" i="4"/>
  <c r="AJ177" i="4"/>
  <c r="AJ178" i="4"/>
  <c r="AJ179" i="4"/>
  <c r="AJ180" i="4"/>
  <c r="AJ181" i="4"/>
  <c r="AJ182" i="4"/>
  <c r="AJ183" i="4"/>
  <c r="AJ184" i="4"/>
  <c r="AJ185" i="4"/>
  <c r="AJ186" i="4"/>
  <c r="AJ187" i="4"/>
  <c r="AJ188" i="4"/>
  <c r="AJ189" i="4"/>
  <c r="AJ190" i="4"/>
  <c r="AJ191" i="4"/>
  <c r="AJ192" i="4"/>
  <c r="AJ193" i="4"/>
  <c r="AJ194" i="4"/>
  <c r="AJ195" i="4"/>
  <c r="AJ196" i="4"/>
  <c r="AJ197" i="4"/>
  <c r="AJ198" i="4"/>
  <c r="AJ199" i="4"/>
  <c r="AJ200" i="4"/>
  <c r="AJ201" i="4"/>
  <c r="AJ202" i="4"/>
  <c r="AJ203" i="4"/>
  <c r="AJ204" i="4"/>
  <c r="AJ205" i="4"/>
  <c r="AJ206" i="4"/>
  <c r="AJ207" i="4"/>
  <c r="AJ208" i="4"/>
  <c r="AJ209" i="4"/>
  <c r="AJ210" i="4"/>
  <c r="AJ211" i="4"/>
  <c r="AJ212" i="4"/>
  <c r="AJ213" i="4"/>
  <c r="AJ214" i="4"/>
  <c r="AJ215" i="4"/>
  <c r="AJ216" i="4"/>
  <c r="AJ217" i="4"/>
  <c r="AJ218" i="4"/>
  <c r="AJ219" i="4"/>
  <c r="AJ220" i="4"/>
  <c r="AJ221" i="4"/>
  <c r="AJ226" i="4"/>
  <c r="I222" i="4"/>
  <c r="H222" i="4"/>
  <c r="G222" i="4"/>
  <c r="I223" i="4"/>
  <c r="F222" i="4"/>
  <c r="E222" i="4"/>
  <c r="F223" i="4"/>
  <c r="T16" i="4"/>
  <c r="R17" i="4"/>
  <c r="T17" i="4"/>
  <c r="R18" i="4"/>
  <c r="T18" i="4"/>
  <c r="R19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R127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R140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R158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R179" i="4"/>
  <c r="T179" i="4"/>
  <c r="T180" i="4"/>
  <c r="R181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R203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R219" i="4"/>
  <c r="T219" i="4"/>
  <c r="T220" i="4"/>
  <c r="T221" i="4"/>
  <c r="T222" i="4"/>
  <c r="R222" i="4"/>
  <c r="Q222" i="4"/>
  <c r="P222" i="4"/>
  <c r="O222" i="4"/>
  <c r="N222" i="4"/>
  <c r="AA221" i="4"/>
  <c r="AA220" i="4"/>
  <c r="AA219" i="4"/>
  <c r="AA218" i="4"/>
  <c r="AA217" i="4"/>
  <c r="AA216" i="4"/>
  <c r="AA215" i="4"/>
  <c r="AA214" i="4"/>
  <c r="AA213" i="4"/>
  <c r="AA212" i="4"/>
  <c r="AA211" i="4"/>
  <c r="AA210" i="4"/>
  <c r="AA209" i="4"/>
  <c r="AA208" i="4"/>
  <c r="AA207" i="4"/>
  <c r="AA206" i="4"/>
  <c r="AA205" i="4"/>
  <c r="AA204" i="4"/>
  <c r="AA203" i="4"/>
  <c r="AA202" i="4"/>
  <c r="AA201" i="4"/>
  <c r="AA200" i="4"/>
  <c r="AA199" i="4"/>
  <c r="AA198" i="4"/>
  <c r="AA197" i="4"/>
  <c r="AA196" i="4"/>
  <c r="AA195" i="4"/>
  <c r="AA194" i="4"/>
  <c r="AA193" i="4"/>
  <c r="AA192" i="4"/>
  <c r="AA191" i="4"/>
  <c r="AA190" i="4"/>
  <c r="AA189" i="4"/>
  <c r="AA188" i="4"/>
  <c r="AA187" i="4"/>
  <c r="AA186" i="4"/>
  <c r="AA185" i="4"/>
  <c r="AA184" i="4"/>
  <c r="AA183" i="4"/>
  <c r="AA182" i="4"/>
  <c r="AA181" i="4"/>
  <c r="AA180" i="4"/>
  <c r="AA179" i="4"/>
  <c r="AA178" i="4"/>
  <c r="AA177" i="4"/>
  <c r="AA176" i="4"/>
  <c r="AA175" i="4"/>
  <c r="AA174" i="4"/>
  <c r="AA173" i="4"/>
  <c r="AA172" i="4"/>
  <c r="AA171" i="4"/>
  <c r="AA170" i="4"/>
  <c r="AA169" i="4"/>
  <c r="AA168" i="4"/>
  <c r="AA167" i="4"/>
  <c r="AA166" i="4"/>
  <c r="AA165" i="4"/>
  <c r="AA164" i="4"/>
  <c r="AA163" i="4"/>
  <c r="AA162" i="4"/>
  <c r="AA161" i="4"/>
  <c r="AA160" i="4"/>
  <c r="AA159" i="4"/>
  <c r="AA158" i="4"/>
  <c r="AA157" i="4"/>
  <c r="AA156" i="4"/>
  <c r="AA155" i="4"/>
  <c r="AA154" i="4"/>
  <c r="AA153" i="4"/>
  <c r="AA152" i="4"/>
  <c r="AA151" i="4"/>
  <c r="AA150" i="4"/>
  <c r="AA149" i="4"/>
  <c r="AA148" i="4"/>
  <c r="AA147" i="4"/>
  <c r="AA146" i="4"/>
  <c r="AA145" i="4"/>
  <c r="AA144" i="4"/>
  <c r="AA143" i="4"/>
  <c r="AA142" i="4"/>
  <c r="AA141" i="4"/>
  <c r="AA140" i="4"/>
  <c r="AA139" i="4"/>
  <c r="AA138" i="4"/>
  <c r="AA137" i="4"/>
  <c r="AA136" i="4"/>
  <c r="AA135" i="4"/>
  <c r="AA134" i="4"/>
  <c r="AA133" i="4"/>
  <c r="AA132" i="4"/>
  <c r="AA131" i="4"/>
  <c r="AA130" i="4"/>
  <c r="AA129" i="4"/>
  <c r="AA128" i="4"/>
  <c r="AA127" i="4"/>
  <c r="AA126" i="4"/>
  <c r="AA125" i="4"/>
  <c r="AA124" i="4"/>
  <c r="AA123" i="4"/>
  <c r="AA122" i="4"/>
  <c r="AA121" i="4"/>
  <c r="AA120" i="4"/>
  <c r="AA119" i="4"/>
  <c r="AA118" i="4"/>
  <c r="AA117" i="4"/>
  <c r="AA116" i="4"/>
  <c r="AA115" i="4"/>
  <c r="AA114" i="4"/>
  <c r="AA113" i="4"/>
  <c r="AA112" i="4"/>
  <c r="AA111" i="4"/>
  <c r="AA110" i="4"/>
  <c r="AA109" i="4"/>
  <c r="AA108" i="4"/>
  <c r="AA107" i="4"/>
  <c r="AA106" i="4"/>
  <c r="AA105" i="4"/>
  <c r="AA104" i="4"/>
  <c r="AA103" i="4"/>
  <c r="AA102" i="4"/>
  <c r="AA101" i="4"/>
  <c r="AA100" i="4"/>
  <c r="AA99" i="4"/>
  <c r="AA98" i="4"/>
  <c r="AA97" i="4"/>
  <c r="AA96" i="4"/>
  <c r="AA95" i="4"/>
  <c r="AA94" i="4"/>
  <c r="AA93" i="4"/>
  <c r="AA92" i="4"/>
  <c r="AA91" i="4"/>
  <c r="AA90" i="4"/>
  <c r="AA89" i="4"/>
  <c r="AA88" i="4"/>
  <c r="AA87" i="4"/>
  <c r="AA86" i="4"/>
  <c r="AA85" i="4"/>
  <c r="AA84" i="4"/>
  <c r="AA83" i="4"/>
  <c r="AA82" i="4"/>
  <c r="AA81" i="4"/>
  <c r="AA80" i="4"/>
  <c r="AA79" i="4"/>
  <c r="AA78" i="4"/>
  <c r="AA77" i="4"/>
  <c r="AA76" i="4"/>
  <c r="AA75" i="4"/>
  <c r="AA74" i="4"/>
  <c r="AA73" i="4"/>
  <c r="AA72" i="4"/>
  <c r="AA71" i="4"/>
  <c r="AA70" i="4"/>
  <c r="AA69" i="4"/>
  <c r="AA68" i="4"/>
  <c r="AA67" i="4"/>
  <c r="AA66" i="4"/>
  <c r="AA65" i="4"/>
  <c r="AA64" i="4"/>
  <c r="AA63" i="4"/>
  <c r="AA62" i="4"/>
  <c r="AA61" i="4"/>
  <c r="AA60" i="4"/>
  <c r="AA59" i="4"/>
  <c r="AA58" i="4"/>
  <c r="AA57" i="4"/>
  <c r="AA56" i="4"/>
  <c r="AA55" i="4"/>
  <c r="AA54" i="4"/>
  <c r="AA53" i="4"/>
  <c r="AA52" i="4"/>
  <c r="AA51" i="4"/>
  <c r="AA50" i="4"/>
  <c r="AA49" i="4"/>
  <c r="AA48" i="4"/>
  <c r="AA47" i="4"/>
  <c r="AA46" i="4"/>
  <c r="AA45" i="4"/>
  <c r="AA44" i="4"/>
  <c r="AA43" i="4"/>
  <c r="AA42" i="4"/>
  <c r="AA41" i="4"/>
  <c r="AA40" i="4"/>
  <c r="AA39" i="4"/>
  <c r="AA38" i="4"/>
  <c r="AA37" i="4"/>
  <c r="AA36" i="4"/>
  <c r="AA35" i="4"/>
  <c r="AA34" i="4"/>
  <c r="AA33" i="4"/>
  <c r="AA32" i="4"/>
  <c r="AA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F16" i="3"/>
  <c r="J16" i="3"/>
  <c r="AE16" i="3"/>
  <c r="AE17" i="3"/>
  <c r="F18" i="3"/>
  <c r="J18" i="3"/>
  <c r="AE18" i="3"/>
  <c r="F19" i="3"/>
  <c r="J19" i="3"/>
  <c r="AE19" i="3"/>
  <c r="F20" i="3"/>
  <c r="J20" i="3"/>
  <c r="AE20" i="3"/>
  <c r="AE21" i="3"/>
  <c r="AE22" i="3"/>
  <c r="AE23" i="3"/>
  <c r="AE24" i="3"/>
  <c r="F25" i="3"/>
  <c r="J25" i="3"/>
  <c r="AE25" i="3"/>
  <c r="AE26" i="3"/>
  <c r="AE27" i="3"/>
  <c r="AE28" i="3"/>
  <c r="E29" i="3"/>
  <c r="F29" i="3"/>
  <c r="J29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F44" i="3"/>
  <c r="J44" i="3"/>
  <c r="AE44" i="3"/>
  <c r="AE45" i="3"/>
  <c r="AE46" i="3"/>
  <c r="F47" i="3"/>
  <c r="J47" i="3"/>
  <c r="AE47" i="3"/>
  <c r="AE48" i="3"/>
  <c r="AE49" i="3"/>
  <c r="AE50" i="3"/>
  <c r="F51" i="3"/>
  <c r="J51" i="3"/>
  <c r="AE51" i="3"/>
  <c r="F52" i="3"/>
  <c r="J52" i="3"/>
  <c r="AE52" i="3"/>
  <c r="F53" i="3"/>
  <c r="J53" i="3"/>
  <c r="AE53" i="3"/>
  <c r="F54" i="3"/>
  <c r="J54" i="3"/>
  <c r="AE54" i="3"/>
  <c r="AE55" i="3"/>
  <c r="AE56" i="3"/>
  <c r="F57" i="3"/>
  <c r="J57" i="3"/>
  <c r="AE57" i="3"/>
  <c r="AE58" i="3"/>
  <c r="F59" i="3"/>
  <c r="J59" i="3"/>
  <c r="AE59" i="3"/>
  <c r="F60" i="3"/>
  <c r="J60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F75" i="3"/>
  <c r="J75" i="3"/>
  <c r="AE75" i="3"/>
  <c r="AE76" i="3"/>
  <c r="AE77" i="3"/>
  <c r="AE78" i="3"/>
  <c r="F79" i="3"/>
  <c r="J79" i="3"/>
  <c r="AE79" i="3"/>
  <c r="F80" i="3"/>
  <c r="J80" i="3"/>
  <c r="AE80" i="3"/>
  <c r="AE81" i="3"/>
  <c r="F82" i="3"/>
  <c r="J82" i="3"/>
  <c r="AE82" i="3"/>
  <c r="F83" i="3"/>
  <c r="J83" i="3"/>
  <c r="AE83" i="3"/>
  <c r="F84" i="3"/>
  <c r="J84" i="3"/>
  <c r="AE84" i="3"/>
  <c r="AE85" i="3"/>
  <c r="AE86" i="3"/>
  <c r="AE87" i="3"/>
  <c r="AE88" i="3"/>
  <c r="AE89" i="3"/>
  <c r="AE90" i="3"/>
  <c r="AE91" i="3"/>
  <c r="AE92" i="3"/>
  <c r="F93" i="3"/>
  <c r="J93" i="3"/>
  <c r="AE93" i="3"/>
  <c r="F94" i="3"/>
  <c r="J94" i="3"/>
  <c r="AE94" i="3"/>
  <c r="AE95" i="3"/>
  <c r="F96" i="3"/>
  <c r="J96" i="3"/>
  <c r="AE96" i="3"/>
  <c r="F97" i="3"/>
  <c r="J97" i="3"/>
  <c r="AE97" i="3"/>
  <c r="F98" i="3"/>
  <c r="J98" i="3"/>
  <c r="AE98" i="3"/>
  <c r="F99" i="3"/>
  <c r="J99" i="3"/>
  <c r="AE99" i="3"/>
  <c r="AE100" i="3"/>
  <c r="AE101" i="3"/>
  <c r="AE102" i="3"/>
  <c r="AE103" i="3"/>
  <c r="AE104" i="3"/>
  <c r="AE105" i="3"/>
  <c r="AE106" i="3"/>
  <c r="AE107" i="3"/>
  <c r="AE108" i="3"/>
  <c r="AE109" i="3"/>
  <c r="AE110" i="3"/>
  <c r="AE111" i="3"/>
  <c r="AE112" i="3"/>
  <c r="AE113" i="3"/>
  <c r="AE114" i="3"/>
  <c r="AE115" i="3"/>
  <c r="F116" i="3"/>
  <c r="J116" i="3"/>
  <c r="AE116" i="3"/>
  <c r="F117" i="3"/>
  <c r="J117" i="3"/>
  <c r="AE117" i="3"/>
  <c r="AE118" i="3"/>
  <c r="AE119" i="3"/>
  <c r="AE120" i="3"/>
  <c r="AE121" i="3"/>
  <c r="AE122" i="3"/>
  <c r="AE123" i="3"/>
  <c r="AE124" i="3"/>
  <c r="F125" i="3"/>
  <c r="J125" i="3"/>
  <c r="AE125" i="3"/>
  <c r="AE126" i="3"/>
  <c r="AE127" i="3"/>
  <c r="F128" i="3"/>
  <c r="J128" i="3"/>
  <c r="AE128" i="3"/>
  <c r="F129" i="3"/>
  <c r="J129" i="3"/>
  <c r="AE129" i="3"/>
  <c r="AE130" i="3"/>
  <c r="F131" i="3"/>
  <c r="J131" i="3"/>
  <c r="AE131" i="3"/>
  <c r="AE132" i="3"/>
  <c r="AE133" i="3"/>
  <c r="AE134" i="3"/>
  <c r="AE135" i="3"/>
  <c r="AE136" i="3"/>
  <c r="AE137" i="3"/>
  <c r="AE138" i="3"/>
  <c r="AE139" i="3"/>
  <c r="AE140" i="3"/>
  <c r="AE141" i="3"/>
  <c r="F142" i="3"/>
  <c r="J142" i="3"/>
  <c r="AE142" i="3"/>
  <c r="F143" i="3"/>
  <c r="J143" i="3"/>
  <c r="AE143" i="3"/>
  <c r="AE144" i="3"/>
  <c r="AE145" i="3"/>
  <c r="AE146" i="3"/>
  <c r="F147" i="3"/>
  <c r="J147" i="3"/>
  <c r="AE147" i="3"/>
  <c r="F148" i="3"/>
  <c r="J148" i="3"/>
  <c r="AE148" i="3"/>
  <c r="AE149" i="3"/>
  <c r="AE150" i="3"/>
  <c r="AE151" i="3"/>
  <c r="AE152" i="3"/>
  <c r="AE153" i="3"/>
  <c r="F154" i="3"/>
  <c r="J154" i="3"/>
  <c r="AE154" i="3"/>
  <c r="F155" i="3"/>
  <c r="J155" i="3"/>
  <c r="AE155" i="3"/>
  <c r="AE156" i="3"/>
  <c r="AE157" i="3"/>
  <c r="F158" i="3"/>
  <c r="J158" i="3"/>
  <c r="AE158" i="3"/>
  <c r="F159" i="3"/>
  <c r="J159" i="3"/>
  <c r="AE159" i="3"/>
  <c r="AE160" i="3"/>
  <c r="AE161" i="3"/>
  <c r="F162" i="3"/>
  <c r="J162" i="3"/>
  <c r="AE162" i="3"/>
  <c r="F163" i="3"/>
  <c r="J163" i="3"/>
  <c r="AE163" i="3"/>
  <c r="E164" i="3"/>
  <c r="F164" i="3"/>
  <c r="J164" i="3"/>
  <c r="AE164" i="3"/>
  <c r="F165" i="3"/>
  <c r="J165" i="3"/>
  <c r="AE165" i="3"/>
  <c r="F166" i="3"/>
  <c r="J166" i="3"/>
  <c r="AE166" i="3"/>
  <c r="AE167" i="3"/>
  <c r="AE168" i="3"/>
  <c r="AE169" i="3"/>
  <c r="AE170" i="3"/>
  <c r="AE171" i="3"/>
  <c r="AE172" i="3"/>
  <c r="AE173" i="3"/>
  <c r="AE174" i="3"/>
  <c r="AE175" i="3"/>
  <c r="F176" i="3"/>
  <c r="J176" i="3"/>
  <c r="AE176" i="3"/>
  <c r="AE177" i="3"/>
  <c r="AE178" i="3"/>
  <c r="F179" i="3"/>
  <c r="J179" i="3"/>
  <c r="AE179" i="3"/>
  <c r="AE180" i="3"/>
  <c r="F181" i="3"/>
  <c r="J181" i="3"/>
  <c r="AE181" i="3"/>
  <c r="AE182" i="3"/>
  <c r="AE183" i="3"/>
  <c r="F184" i="3"/>
  <c r="J184" i="3"/>
  <c r="AE184" i="3"/>
  <c r="AE185" i="3"/>
  <c r="F186" i="3"/>
  <c r="J186" i="3"/>
  <c r="AE186" i="3"/>
  <c r="AE187" i="3"/>
  <c r="AE188" i="3"/>
  <c r="AE189" i="3"/>
  <c r="F190" i="3"/>
  <c r="J190" i="3"/>
  <c r="AE190" i="3"/>
  <c r="F191" i="3"/>
  <c r="J191" i="3"/>
  <c r="AE191" i="3"/>
  <c r="F192" i="3"/>
  <c r="J192" i="3"/>
  <c r="AE192" i="3"/>
  <c r="AE193" i="3"/>
  <c r="F194" i="3"/>
  <c r="J194" i="3"/>
  <c r="AE194" i="3"/>
  <c r="AE195" i="3"/>
  <c r="AE196" i="3"/>
  <c r="AE197" i="3"/>
  <c r="F198" i="3"/>
  <c r="J198" i="3"/>
  <c r="AE198" i="3"/>
  <c r="F199" i="3"/>
  <c r="J199" i="3"/>
  <c r="AE199" i="3"/>
  <c r="F200" i="3"/>
  <c r="J200" i="3"/>
  <c r="AE200" i="3"/>
  <c r="F201" i="3"/>
  <c r="J201" i="3"/>
  <c r="AE201" i="3"/>
  <c r="F202" i="3"/>
  <c r="J202" i="3"/>
  <c r="AE202" i="3"/>
  <c r="F203" i="3"/>
  <c r="J203" i="3"/>
  <c r="AE203" i="3"/>
  <c r="AE204" i="3"/>
  <c r="F205" i="3"/>
  <c r="J205" i="3"/>
  <c r="AE205" i="3"/>
  <c r="AE206" i="3"/>
  <c r="AE207" i="3"/>
  <c r="AE208" i="3"/>
  <c r="AE209" i="3"/>
  <c r="AE210" i="3"/>
  <c r="AE211" i="3"/>
  <c r="AE212" i="3"/>
  <c r="F213" i="3"/>
  <c r="J213" i="3"/>
  <c r="AE213" i="3"/>
  <c r="AE214" i="3"/>
  <c r="AE215" i="3"/>
  <c r="AE216" i="3"/>
  <c r="F217" i="3"/>
  <c r="J217" i="3"/>
  <c r="AE217" i="3"/>
  <c r="F218" i="3"/>
  <c r="J218" i="3"/>
  <c r="AE218" i="3"/>
  <c r="F219" i="3"/>
  <c r="J219" i="3"/>
  <c r="AE219" i="3"/>
  <c r="F220" i="3"/>
  <c r="J220" i="3"/>
  <c r="AE220" i="3"/>
  <c r="AE221" i="3"/>
  <c r="F222" i="3"/>
  <c r="J222" i="3"/>
  <c r="AE222" i="3"/>
  <c r="AE223" i="3"/>
  <c r="AE224" i="3"/>
  <c r="AE225" i="3"/>
  <c r="AE226" i="3"/>
  <c r="AE227" i="3"/>
  <c r="AE228" i="3"/>
  <c r="AE229" i="3"/>
  <c r="AE233" i="3"/>
  <c r="Q16" i="3"/>
  <c r="AI16" i="3"/>
  <c r="AI17" i="3"/>
  <c r="Q18" i="3"/>
  <c r="AI18" i="3"/>
  <c r="Q19" i="3"/>
  <c r="AI19" i="3"/>
  <c r="Q20" i="3"/>
  <c r="AI20" i="3"/>
  <c r="AI21" i="3"/>
  <c r="AI22" i="3"/>
  <c r="AI23" i="3"/>
  <c r="AI24" i="3"/>
  <c r="Q25" i="3"/>
  <c r="AI25" i="3"/>
  <c r="AI26" i="3"/>
  <c r="AI27" i="3"/>
  <c r="AI28" i="3"/>
  <c r="Q29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Q44" i="3"/>
  <c r="AI44" i="3"/>
  <c r="AI45" i="3"/>
  <c r="AI46" i="3"/>
  <c r="Q47" i="3"/>
  <c r="AI47" i="3"/>
  <c r="AI48" i="3"/>
  <c r="AI49" i="3"/>
  <c r="AI50" i="3"/>
  <c r="Q51" i="3"/>
  <c r="AI51" i="3"/>
  <c r="Q52" i="3"/>
  <c r="AI52" i="3"/>
  <c r="Q53" i="3"/>
  <c r="AI53" i="3"/>
  <c r="Q54" i="3"/>
  <c r="AI54" i="3"/>
  <c r="AI55" i="3"/>
  <c r="AI56" i="3"/>
  <c r="Q57" i="3"/>
  <c r="AI57" i="3"/>
  <c r="AI58" i="3"/>
  <c r="Q59" i="3"/>
  <c r="AI59" i="3"/>
  <c r="Q60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Q75" i="3"/>
  <c r="AI75" i="3"/>
  <c r="AI76" i="3"/>
  <c r="AI77" i="3"/>
  <c r="AI78" i="3"/>
  <c r="Q79" i="3"/>
  <c r="AI79" i="3"/>
  <c r="Q80" i="3"/>
  <c r="AI80" i="3"/>
  <c r="AI81" i="3"/>
  <c r="Q82" i="3"/>
  <c r="AI82" i="3"/>
  <c r="Q83" i="3"/>
  <c r="AI83" i="3"/>
  <c r="Q84" i="3"/>
  <c r="AI84" i="3"/>
  <c r="AI85" i="3"/>
  <c r="AI86" i="3"/>
  <c r="AI87" i="3"/>
  <c r="AI88" i="3"/>
  <c r="AI89" i="3"/>
  <c r="AI90" i="3"/>
  <c r="AI91" i="3"/>
  <c r="AI92" i="3"/>
  <c r="Q93" i="3"/>
  <c r="AI93" i="3"/>
  <c r="Q94" i="3"/>
  <c r="AI94" i="3"/>
  <c r="AI95" i="3"/>
  <c r="Q96" i="3"/>
  <c r="AI96" i="3"/>
  <c r="Q97" i="3"/>
  <c r="AI97" i="3"/>
  <c r="Q98" i="3"/>
  <c r="AI98" i="3"/>
  <c r="Q99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Q116" i="3"/>
  <c r="AI116" i="3"/>
  <c r="Q117" i="3"/>
  <c r="AI117" i="3"/>
  <c r="AI118" i="3"/>
  <c r="AI119" i="3"/>
  <c r="AI120" i="3"/>
  <c r="AI121" i="3"/>
  <c r="AI122" i="3"/>
  <c r="AI123" i="3"/>
  <c r="AI124" i="3"/>
  <c r="Q125" i="3"/>
  <c r="AI125" i="3"/>
  <c r="AI126" i="3"/>
  <c r="AI127" i="3"/>
  <c r="Q128" i="3"/>
  <c r="AI128" i="3"/>
  <c r="Q129" i="3"/>
  <c r="AI129" i="3"/>
  <c r="AI130" i="3"/>
  <c r="Q131" i="3"/>
  <c r="AI131" i="3"/>
  <c r="AI132" i="3"/>
  <c r="AI133" i="3"/>
  <c r="AI134" i="3"/>
  <c r="AI135" i="3"/>
  <c r="AI136" i="3"/>
  <c r="AI137" i="3"/>
  <c r="AI138" i="3"/>
  <c r="AI139" i="3"/>
  <c r="AI140" i="3"/>
  <c r="AI141" i="3"/>
  <c r="Q142" i="3"/>
  <c r="AI142" i="3"/>
  <c r="Q143" i="3"/>
  <c r="AI143" i="3"/>
  <c r="AI144" i="3"/>
  <c r="AI145" i="3"/>
  <c r="AI146" i="3"/>
  <c r="Q147" i="3"/>
  <c r="AI147" i="3"/>
  <c r="Q148" i="3"/>
  <c r="AI148" i="3"/>
  <c r="AI149" i="3"/>
  <c r="AI150" i="3"/>
  <c r="AI151" i="3"/>
  <c r="AI152" i="3"/>
  <c r="AI153" i="3"/>
  <c r="Q154" i="3"/>
  <c r="AI154" i="3"/>
  <c r="Q155" i="3"/>
  <c r="AI155" i="3"/>
  <c r="AI156" i="3"/>
  <c r="AI157" i="3"/>
  <c r="Q158" i="3"/>
  <c r="AI158" i="3"/>
  <c r="Q159" i="3"/>
  <c r="AI159" i="3"/>
  <c r="AI160" i="3"/>
  <c r="AI161" i="3"/>
  <c r="Q162" i="3"/>
  <c r="AI162" i="3"/>
  <c r="Q163" i="3"/>
  <c r="AI163" i="3"/>
  <c r="Q164" i="3"/>
  <c r="AI164" i="3"/>
  <c r="Q165" i="3"/>
  <c r="AI165" i="3"/>
  <c r="Q166" i="3"/>
  <c r="AI166" i="3"/>
  <c r="AI167" i="3"/>
  <c r="AI168" i="3"/>
  <c r="AI169" i="3"/>
  <c r="AI170" i="3"/>
  <c r="AI171" i="3"/>
  <c r="AI172" i="3"/>
  <c r="AI173" i="3"/>
  <c r="AI174" i="3"/>
  <c r="AI175" i="3"/>
  <c r="Q176" i="3"/>
  <c r="AI176" i="3"/>
  <c r="AI177" i="3"/>
  <c r="AI178" i="3"/>
  <c r="Q179" i="3"/>
  <c r="AI179" i="3"/>
  <c r="AI180" i="3"/>
  <c r="Q181" i="3"/>
  <c r="AI181" i="3"/>
  <c r="AI182" i="3"/>
  <c r="AI183" i="3"/>
  <c r="Q184" i="3"/>
  <c r="AI184" i="3"/>
  <c r="AI185" i="3"/>
  <c r="Q186" i="3"/>
  <c r="AI186" i="3"/>
  <c r="AI187" i="3"/>
  <c r="AI188" i="3"/>
  <c r="AI189" i="3"/>
  <c r="Q190" i="3"/>
  <c r="AI190" i="3"/>
  <c r="Q191" i="3"/>
  <c r="AI191" i="3"/>
  <c r="Q192" i="3"/>
  <c r="AI192" i="3"/>
  <c r="AI193" i="3"/>
  <c r="Q194" i="3"/>
  <c r="AI194" i="3"/>
  <c r="AI195" i="3"/>
  <c r="AI196" i="3"/>
  <c r="AI197" i="3"/>
  <c r="Q198" i="3"/>
  <c r="AI198" i="3"/>
  <c r="Q199" i="3"/>
  <c r="AI199" i="3"/>
  <c r="Q200" i="3"/>
  <c r="AI200" i="3"/>
  <c r="Q201" i="3"/>
  <c r="AI201" i="3"/>
  <c r="Q202" i="3"/>
  <c r="AI202" i="3"/>
  <c r="Q203" i="3"/>
  <c r="AI203" i="3"/>
  <c r="AI204" i="3"/>
  <c r="Q205" i="3"/>
  <c r="AI205" i="3"/>
  <c r="AI206" i="3"/>
  <c r="AI207" i="3"/>
  <c r="AI208" i="3"/>
  <c r="AI209" i="3"/>
  <c r="AI210" i="3"/>
  <c r="AI211" i="3"/>
  <c r="AI212" i="3"/>
  <c r="Q213" i="3"/>
  <c r="AI213" i="3"/>
  <c r="AI214" i="3"/>
  <c r="AI215" i="3"/>
  <c r="AI216" i="3"/>
  <c r="Q217" i="3"/>
  <c r="AI217" i="3"/>
  <c r="Q218" i="3"/>
  <c r="AI218" i="3"/>
  <c r="Q219" i="3"/>
  <c r="AI219" i="3"/>
  <c r="Q220" i="3"/>
  <c r="AI220" i="3"/>
  <c r="AI221" i="3"/>
  <c r="Q222" i="3"/>
  <c r="AI222" i="3"/>
  <c r="AI223" i="3"/>
  <c r="AI224" i="3"/>
  <c r="AI225" i="3"/>
  <c r="AI226" i="3"/>
  <c r="AI227" i="3"/>
  <c r="AI228" i="3"/>
  <c r="AI229" i="3"/>
  <c r="AI233" i="3"/>
  <c r="AI235" i="3"/>
  <c r="AD16" i="3"/>
  <c r="F17" i="3"/>
  <c r="J17" i="3"/>
  <c r="AD17" i="3"/>
  <c r="AD18" i="3"/>
  <c r="AD19" i="3"/>
  <c r="AD20" i="3"/>
  <c r="E21" i="3"/>
  <c r="F21" i="3"/>
  <c r="J21" i="3"/>
  <c r="AD21" i="3"/>
  <c r="E22" i="3"/>
  <c r="F22" i="3"/>
  <c r="J22" i="3"/>
  <c r="AD22" i="3"/>
  <c r="E23" i="3"/>
  <c r="F23" i="3"/>
  <c r="J23" i="3"/>
  <c r="AD23" i="3"/>
  <c r="J24" i="3"/>
  <c r="AD24" i="3"/>
  <c r="AD25" i="3"/>
  <c r="F26" i="3"/>
  <c r="J26" i="3"/>
  <c r="AD26" i="3"/>
  <c r="F27" i="3"/>
  <c r="J27" i="3"/>
  <c r="AD27" i="3"/>
  <c r="F28" i="3"/>
  <c r="J28" i="3"/>
  <c r="AD28" i="3"/>
  <c r="AD29" i="3"/>
  <c r="F30" i="3"/>
  <c r="J30" i="3"/>
  <c r="AD30" i="3"/>
  <c r="F31" i="3"/>
  <c r="J31" i="3"/>
  <c r="AD31" i="3"/>
  <c r="F32" i="3"/>
  <c r="J32" i="3"/>
  <c r="AD32" i="3"/>
  <c r="F33" i="3"/>
  <c r="J33" i="3"/>
  <c r="AD33" i="3"/>
  <c r="F34" i="3"/>
  <c r="J34" i="3"/>
  <c r="AD34" i="3"/>
  <c r="F35" i="3"/>
  <c r="J35" i="3"/>
  <c r="AD35" i="3"/>
  <c r="F36" i="3"/>
  <c r="J36" i="3"/>
  <c r="AD36" i="3"/>
  <c r="F37" i="3"/>
  <c r="J37" i="3"/>
  <c r="AD37" i="3"/>
  <c r="F38" i="3"/>
  <c r="J38" i="3"/>
  <c r="AD38" i="3"/>
  <c r="F39" i="3"/>
  <c r="J39" i="3"/>
  <c r="AD39" i="3"/>
  <c r="F40" i="3"/>
  <c r="J40" i="3"/>
  <c r="AD40" i="3"/>
  <c r="AD41" i="3"/>
  <c r="F42" i="3"/>
  <c r="I42" i="3"/>
  <c r="J42" i="3"/>
  <c r="AD42" i="3"/>
  <c r="F43" i="3"/>
  <c r="J43" i="3"/>
  <c r="AD43" i="3"/>
  <c r="AD44" i="3"/>
  <c r="F45" i="3"/>
  <c r="J45" i="3"/>
  <c r="AD45" i="3"/>
  <c r="F46" i="3"/>
  <c r="J46" i="3"/>
  <c r="AD46" i="3"/>
  <c r="AD47" i="3"/>
  <c r="F48" i="3"/>
  <c r="J48" i="3"/>
  <c r="AD48" i="3"/>
  <c r="F49" i="3"/>
  <c r="J49" i="3"/>
  <c r="AD49" i="3"/>
  <c r="F50" i="3"/>
  <c r="J50" i="3"/>
  <c r="AD50" i="3"/>
  <c r="AD51" i="3"/>
  <c r="AD52" i="3"/>
  <c r="AD53" i="3"/>
  <c r="AD54" i="3"/>
  <c r="J55" i="3"/>
  <c r="AD55" i="3"/>
  <c r="E56" i="3"/>
  <c r="J56" i="3"/>
  <c r="AD56" i="3"/>
  <c r="AD57" i="3"/>
  <c r="AD58" i="3"/>
  <c r="AD59" i="3"/>
  <c r="AD60" i="3"/>
  <c r="AD61" i="3"/>
  <c r="F62" i="3"/>
  <c r="J62" i="3"/>
  <c r="AD62" i="3"/>
  <c r="F63" i="3"/>
  <c r="J63" i="3"/>
  <c r="AD63" i="3"/>
  <c r="J64" i="3"/>
  <c r="AD64" i="3"/>
  <c r="F65" i="3"/>
  <c r="J65" i="3"/>
  <c r="AD65" i="3"/>
  <c r="F66" i="3"/>
  <c r="J66" i="3"/>
  <c r="AD66" i="3"/>
  <c r="F67" i="3"/>
  <c r="J67" i="3"/>
  <c r="AD67" i="3"/>
  <c r="F68" i="3"/>
  <c r="J68" i="3"/>
  <c r="AD68" i="3"/>
  <c r="F69" i="3"/>
  <c r="J69" i="3"/>
  <c r="AD69" i="3"/>
  <c r="F70" i="3"/>
  <c r="J70" i="3"/>
  <c r="AD70" i="3"/>
  <c r="F71" i="3"/>
  <c r="J71" i="3"/>
  <c r="AD71" i="3"/>
  <c r="F72" i="3"/>
  <c r="J72" i="3"/>
  <c r="AD72" i="3"/>
  <c r="F73" i="3"/>
  <c r="J73" i="3"/>
  <c r="AD73" i="3"/>
  <c r="F74" i="3"/>
  <c r="J74" i="3"/>
  <c r="AD74" i="3"/>
  <c r="AD75" i="3"/>
  <c r="F76" i="3"/>
  <c r="J76" i="3"/>
  <c r="AD76" i="3"/>
  <c r="F77" i="3"/>
  <c r="J77" i="3"/>
  <c r="AD77" i="3"/>
  <c r="J78" i="3"/>
  <c r="AD78" i="3"/>
  <c r="AD79" i="3"/>
  <c r="AD80" i="3"/>
  <c r="F81" i="3"/>
  <c r="J81" i="3"/>
  <c r="AD81" i="3"/>
  <c r="AD82" i="3"/>
  <c r="AD83" i="3"/>
  <c r="AD84" i="3"/>
  <c r="F85" i="3"/>
  <c r="J85" i="3"/>
  <c r="AD85" i="3"/>
  <c r="F86" i="3"/>
  <c r="J86" i="3"/>
  <c r="AD86" i="3"/>
  <c r="F87" i="3"/>
  <c r="J87" i="3"/>
  <c r="AD87" i="3"/>
  <c r="F88" i="3"/>
  <c r="J88" i="3"/>
  <c r="AD88" i="3"/>
  <c r="F89" i="3"/>
  <c r="J89" i="3"/>
  <c r="AD89" i="3"/>
  <c r="F90" i="3"/>
  <c r="J90" i="3"/>
  <c r="AD90" i="3"/>
  <c r="AD91" i="3"/>
  <c r="AD92" i="3"/>
  <c r="AD93" i="3"/>
  <c r="AD94" i="3"/>
  <c r="F95" i="3"/>
  <c r="J95" i="3"/>
  <c r="AD95" i="3"/>
  <c r="AD96" i="3"/>
  <c r="AD97" i="3"/>
  <c r="AD98" i="3"/>
  <c r="AD99" i="3"/>
  <c r="F100" i="3"/>
  <c r="J100" i="3"/>
  <c r="AD100" i="3"/>
  <c r="F101" i="3"/>
  <c r="J101" i="3"/>
  <c r="AD101" i="3"/>
  <c r="F102" i="3"/>
  <c r="J102" i="3"/>
  <c r="AD102" i="3"/>
  <c r="F103" i="3"/>
  <c r="J103" i="3"/>
  <c r="AD103" i="3"/>
  <c r="F104" i="3"/>
  <c r="J104" i="3"/>
  <c r="AD104" i="3"/>
  <c r="J105" i="3"/>
  <c r="AD105" i="3"/>
  <c r="J106" i="3"/>
  <c r="AD106" i="3"/>
  <c r="J107" i="3"/>
  <c r="AD107" i="3"/>
  <c r="J108" i="3"/>
  <c r="AD108" i="3"/>
  <c r="J109" i="3"/>
  <c r="AD109" i="3"/>
  <c r="J110" i="3"/>
  <c r="AD110" i="3"/>
  <c r="J111" i="3"/>
  <c r="AD111" i="3"/>
  <c r="J112" i="3"/>
  <c r="AD112" i="3"/>
  <c r="J113" i="3"/>
  <c r="AD113" i="3"/>
  <c r="F114" i="3"/>
  <c r="J114" i="3"/>
  <c r="AD114" i="3"/>
  <c r="F115" i="3"/>
  <c r="J115" i="3"/>
  <c r="AD115" i="3"/>
  <c r="AD116" i="3"/>
  <c r="AD117" i="3"/>
  <c r="F118" i="3"/>
  <c r="J118" i="3"/>
  <c r="AD118" i="3"/>
  <c r="AD119" i="3"/>
  <c r="E120" i="3"/>
  <c r="F120" i="3"/>
  <c r="J120" i="3"/>
  <c r="AD120" i="3"/>
  <c r="F121" i="3"/>
  <c r="J121" i="3"/>
  <c r="AD121" i="3"/>
  <c r="J122" i="3"/>
  <c r="AD122" i="3"/>
  <c r="J123" i="3"/>
  <c r="AD123" i="3"/>
  <c r="F124" i="3"/>
  <c r="J124" i="3"/>
  <c r="AD124" i="3"/>
  <c r="AD125" i="3"/>
  <c r="F126" i="3"/>
  <c r="J126" i="3"/>
  <c r="AD126" i="3"/>
  <c r="AD127" i="3"/>
  <c r="AD128" i="3"/>
  <c r="AD129" i="3"/>
  <c r="F130" i="3"/>
  <c r="J130" i="3"/>
  <c r="AD130" i="3"/>
  <c r="AD131" i="3"/>
  <c r="F132" i="3"/>
  <c r="J132" i="3"/>
  <c r="AD132" i="3"/>
  <c r="F133" i="3"/>
  <c r="J133" i="3"/>
  <c r="AD133" i="3"/>
  <c r="F134" i="3"/>
  <c r="J134" i="3"/>
  <c r="AD134" i="3"/>
  <c r="F135" i="3"/>
  <c r="J135" i="3"/>
  <c r="AD135" i="3"/>
  <c r="F136" i="3"/>
  <c r="J136" i="3"/>
  <c r="AD136" i="3"/>
  <c r="F137" i="3"/>
  <c r="J137" i="3"/>
  <c r="AD137" i="3"/>
  <c r="F138" i="3"/>
  <c r="J138" i="3"/>
  <c r="AD138" i="3"/>
  <c r="F139" i="3"/>
  <c r="J139" i="3"/>
  <c r="AD139" i="3"/>
  <c r="F140" i="3"/>
  <c r="J140" i="3"/>
  <c r="AD140" i="3"/>
  <c r="F141" i="3"/>
  <c r="J141" i="3"/>
  <c r="AD141" i="3"/>
  <c r="AD142" i="3"/>
  <c r="AD143" i="3"/>
  <c r="F144" i="3"/>
  <c r="J144" i="3"/>
  <c r="AD144" i="3"/>
  <c r="F145" i="3"/>
  <c r="J145" i="3"/>
  <c r="AD145" i="3"/>
  <c r="AD146" i="3"/>
  <c r="AD147" i="3"/>
  <c r="AD148" i="3"/>
  <c r="E149" i="3"/>
  <c r="F149" i="3"/>
  <c r="J149" i="3"/>
  <c r="AD149" i="3"/>
  <c r="AD150" i="3"/>
  <c r="F151" i="3"/>
  <c r="J151" i="3"/>
  <c r="AD151" i="3"/>
  <c r="F152" i="3"/>
  <c r="J152" i="3"/>
  <c r="AD152" i="3"/>
  <c r="AD153" i="3"/>
  <c r="AD154" i="3"/>
  <c r="AD155" i="3"/>
  <c r="AD156" i="3"/>
  <c r="F157" i="3"/>
  <c r="J157" i="3"/>
  <c r="AD157" i="3"/>
  <c r="AD158" i="3"/>
  <c r="AD159" i="3"/>
  <c r="F160" i="3"/>
  <c r="J160" i="3"/>
  <c r="AD160" i="3"/>
  <c r="E161" i="3"/>
  <c r="F161" i="3"/>
  <c r="J161" i="3"/>
  <c r="AD161" i="3"/>
  <c r="AD162" i="3"/>
  <c r="AD163" i="3"/>
  <c r="AD164" i="3"/>
  <c r="AD165" i="3"/>
  <c r="AD166" i="3"/>
  <c r="F167" i="3"/>
  <c r="J167" i="3"/>
  <c r="AD167" i="3"/>
  <c r="F168" i="3"/>
  <c r="J168" i="3"/>
  <c r="AD168" i="3"/>
  <c r="F169" i="3"/>
  <c r="J169" i="3"/>
  <c r="AD169" i="3"/>
  <c r="F170" i="3"/>
  <c r="J170" i="3"/>
  <c r="AD170" i="3"/>
  <c r="F171" i="3"/>
  <c r="J171" i="3"/>
  <c r="AD171" i="3"/>
  <c r="F172" i="3"/>
  <c r="J172" i="3"/>
  <c r="AD172" i="3"/>
  <c r="F173" i="3"/>
  <c r="J173" i="3"/>
  <c r="AD173" i="3"/>
  <c r="E174" i="3"/>
  <c r="F174" i="3"/>
  <c r="J174" i="3"/>
  <c r="AD174" i="3"/>
  <c r="F175" i="3"/>
  <c r="J175" i="3"/>
  <c r="AD175" i="3"/>
  <c r="AD176" i="3"/>
  <c r="F177" i="3"/>
  <c r="J177" i="3"/>
  <c r="AD177" i="3"/>
  <c r="F178" i="3"/>
  <c r="J178" i="3"/>
  <c r="AD178" i="3"/>
  <c r="AD179" i="3"/>
  <c r="J180" i="3"/>
  <c r="AD180" i="3"/>
  <c r="AD181" i="3"/>
  <c r="AD182" i="3"/>
  <c r="F183" i="3"/>
  <c r="J183" i="3"/>
  <c r="AD183" i="3"/>
  <c r="AD184" i="3"/>
  <c r="F185" i="3"/>
  <c r="J185" i="3"/>
  <c r="AD185" i="3"/>
  <c r="AD186" i="3"/>
  <c r="F187" i="3"/>
  <c r="J187" i="3"/>
  <c r="AD187" i="3"/>
  <c r="F188" i="3"/>
  <c r="J188" i="3"/>
  <c r="AD188" i="3"/>
  <c r="F189" i="3"/>
  <c r="J189" i="3"/>
  <c r="AD189" i="3"/>
  <c r="AD190" i="3"/>
  <c r="AD191" i="3"/>
  <c r="AD192" i="3"/>
  <c r="J193" i="3"/>
  <c r="AD193" i="3"/>
  <c r="AD194" i="3"/>
  <c r="F195" i="3"/>
  <c r="J195" i="3"/>
  <c r="AD195" i="3"/>
  <c r="F196" i="3"/>
  <c r="J196" i="3"/>
  <c r="AD196" i="3"/>
  <c r="F197" i="3"/>
  <c r="J197" i="3"/>
  <c r="AD197" i="3"/>
  <c r="AD198" i="3"/>
  <c r="AD199" i="3"/>
  <c r="AD200" i="3"/>
  <c r="AD201" i="3"/>
  <c r="AD202" i="3"/>
  <c r="AD203" i="3"/>
  <c r="AD204" i="3"/>
  <c r="AD205" i="3"/>
  <c r="AD206" i="3"/>
  <c r="F207" i="3"/>
  <c r="J207" i="3"/>
  <c r="AD207" i="3"/>
  <c r="F208" i="3"/>
  <c r="J208" i="3"/>
  <c r="AD208" i="3"/>
  <c r="F209" i="3"/>
  <c r="J209" i="3"/>
  <c r="AD209" i="3"/>
  <c r="AD210" i="3"/>
  <c r="F211" i="3"/>
  <c r="J211" i="3"/>
  <c r="AD211" i="3"/>
  <c r="F212" i="3"/>
  <c r="J212" i="3"/>
  <c r="AD212" i="3"/>
  <c r="AD213" i="3"/>
  <c r="AD214" i="3"/>
  <c r="F215" i="3"/>
  <c r="J215" i="3"/>
  <c r="AD215" i="3"/>
  <c r="F216" i="3"/>
  <c r="J216" i="3"/>
  <c r="AD216" i="3"/>
  <c r="AD217" i="3"/>
  <c r="AD218" i="3"/>
  <c r="AD219" i="3"/>
  <c r="AD220" i="3"/>
  <c r="F221" i="3"/>
  <c r="J221" i="3"/>
  <c r="AD221" i="3"/>
  <c r="AD222" i="3"/>
  <c r="F223" i="3"/>
  <c r="J223" i="3"/>
  <c r="AD223" i="3"/>
  <c r="F224" i="3"/>
  <c r="J224" i="3"/>
  <c r="AD224" i="3"/>
  <c r="F225" i="3"/>
  <c r="J225" i="3"/>
  <c r="AD225" i="3"/>
  <c r="AD226" i="3"/>
  <c r="AD227" i="3"/>
  <c r="F228" i="3"/>
  <c r="J228" i="3"/>
  <c r="AD228" i="3"/>
  <c r="AD229" i="3"/>
  <c r="AD231" i="3"/>
  <c r="AD233" i="3"/>
  <c r="AH16" i="3"/>
  <c r="Q17" i="3"/>
  <c r="AH17" i="3"/>
  <c r="AH18" i="3"/>
  <c r="AH19" i="3"/>
  <c r="AH20" i="3"/>
  <c r="Q21" i="3"/>
  <c r="AH21" i="3"/>
  <c r="Q22" i="3"/>
  <c r="AH22" i="3"/>
  <c r="Q23" i="3"/>
  <c r="AH23" i="3"/>
  <c r="Q24" i="3"/>
  <c r="AH24" i="3"/>
  <c r="AH25" i="3"/>
  <c r="Q26" i="3"/>
  <c r="AH26" i="3"/>
  <c r="Q27" i="3"/>
  <c r="AH27" i="3"/>
  <c r="Q28" i="3"/>
  <c r="AH28" i="3"/>
  <c r="AH29" i="3"/>
  <c r="Q30" i="3"/>
  <c r="AH30" i="3"/>
  <c r="Q31" i="3"/>
  <c r="AH31" i="3"/>
  <c r="Q32" i="3"/>
  <c r="AH32" i="3"/>
  <c r="Q33" i="3"/>
  <c r="AH33" i="3"/>
  <c r="Q34" i="3"/>
  <c r="AH34" i="3"/>
  <c r="Q35" i="3"/>
  <c r="AH35" i="3"/>
  <c r="Q36" i="3"/>
  <c r="AH36" i="3"/>
  <c r="Q37" i="3"/>
  <c r="AH37" i="3"/>
  <c r="Q38" i="3"/>
  <c r="AH38" i="3"/>
  <c r="Q39" i="3"/>
  <c r="AH39" i="3"/>
  <c r="Q40" i="3"/>
  <c r="AH40" i="3"/>
  <c r="AH41" i="3"/>
  <c r="Q42" i="3"/>
  <c r="AH42" i="3"/>
  <c r="Q43" i="3"/>
  <c r="AH43" i="3"/>
  <c r="AH44" i="3"/>
  <c r="Q45" i="3"/>
  <c r="AH45" i="3"/>
  <c r="Q46" i="3"/>
  <c r="AH46" i="3"/>
  <c r="AH47" i="3"/>
  <c r="Q48" i="3"/>
  <c r="AH48" i="3"/>
  <c r="Q49" i="3"/>
  <c r="AH49" i="3"/>
  <c r="Q50" i="3"/>
  <c r="AH50" i="3"/>
  <c r="AH51" i="3"/>
  <c r="AH52" i="3"/>
  <c r="AH53" i="3"/>
  <c r="AH54" i="3"/>
  <c r="Q55" i="3"/>
  <c r="AH55" i="3"/>
  <c r="Q56" i="3"/>
  <c r="AH56" i="3"/>
  <c r="AH57" i="3"/>
  <c r="AH58" i="3"/>
  <c r="AH59" i="3"/>
  <c r="AH60" i="3"/>
  <c r="AH61" i="3"/>
  <c r="Q62" i="3"/>
  <c r="AH62" i="3"/>
  <c r="Q63" i="3"/>
  <c r="AH63" i="3"/>
  <c r="Q64" i="3"/>
  <c r="AH64" i="3"/>
  <c r="Q65" i="3"/>
  <c r="AH65" i="3"/>
  <c r="Q66" i="3"/>
  <c r="AH66" i="3"/>
  <c r="Q67" i="3"/>
  <c r="AH67" i="3"/>
  <c r="Q68" i="3"/>
  <c r="AH68" i="3"/>
  <c r="Q69" i="3"/>
  <c r="AH69" i="3"/>
  <c r="Q70" i="3"/>
  <c r="AH70" i="3"/>
  <c r="Q71" i="3"/>
  <c r="AH71" i="3"/>
  <c r="Q72" i="3"/>
  <c r="AH72" i="3"/>
  <c r="Q73" i="3"/>
  <c r="AH73" i="3"/>
  <c r="Q74" i="3"/>
  <c r="AH74" i="3"/>
  <c r="AH75" i="3"/>
  <c r="Q76" i="3"/>
  <c r="AH76" i="3"/>
  <c r="Q77" i="3"/>
  <c r="AH77" i="3"/>
  <c r="Q78" i="3"/>
  <c r="AH78" i="3"/>
  <c r="AH79" i="3"/>
  <c r="AH80" i="3"/>
  <c r="Q81" i="3"/>
  <c r="AH81" i="3"/>
  <c r="AH82" i="3"/>
  <c r="AH83" i="3"/>
  <c r="AH84" i="3"/>
  <c r="Q85" i="3"/>
  <c r="AH85" i="3"/>
  <c r="Q86" i="3"/>
  <c r="AH86" i="3"/>
  <c r="Q87" i="3"/>
  <c r="AH87" i="3"/>
  <c r="Q88" i="3"/>
  <c r="AH88" i="3"/>
  <c r="Q89" i="3"/>
  <c r="AH89" i="3"/>
  <c r="Q90" i="3"/>
  <c r="AH90" i="3"/>
  <c r="AH91" i="3"/>
  <c r="AH92" i="3"/>
  <c r="AH93" i="3"/>
  <c r="AH94" i="3"/>
  <c r="Q95" i="3"/>
  <c r="AH95" i="3"/>
  <c r="AH96" i="3"/>
  <c r="AH97" i="3"/>
  <c r="AH98" i="3"/>
  <c r="AH99" i="3"/>
  <c r="Q100" i="3"/>
  <c r="AH100" i="3"/>
  <c r="Q101" i="3"/>
  <c r="AH101" i="3"/>
  <c r="Q102" i="3"/>
  <c r="AH102" i="3"/>
  <c r="Q103" i="3"/>
  <c r="AH103" i="3"/>
  <c r="Q104" i="3"/>
  <c r="AH104" i="3"/>
  <c r="Q105" i="3"/>
  <c r="AH105" i="3"/>
  <c r="Q106" i="3"/>
  <c r="AH106" i="3"/>
  <c r="Q107" i="3"/>
  <c r="AH107" i="3"/>
  <c r="Q108" i="3"/>
  <c r="AH108" i="3"/>
  <c r="Q109" i="3"/>
  <c r="AH109" i="3"/>
  <c r="Q110" i="3"/>
  <c r="AH110" i="3"/>
  <c r="Q111" i="3"/>
  <c r="AH111" i="3"/>
  <c r="Q112" i="3"/>
  <c r="AH112" i="3"/>
  <c r="Q113" i="3"/>
  <c r="AH113" i="3"/>
  <c r="Q114" i="3"/>
  <c r="AH114" i="3"/>
  <c r="Q115" i="3"/>
  <c r="AH115" i="3"/>
  <c r="AH116" i="3"/>
  <c r="AH117" i="3"/>
  <c r="Q118" i="3"/>
  <c r="AH118" i="3"/>
  <c r="Q119" i="3"/>
  <c r="AH119" i="3"/>
  <c r="Q120" i="3"/>
  <c r="AH120" i="3"/>
  <c r="Q121" i="3"/>
  <c r="AH121" i="3"/>
  <c r="Q122" i="3"/>
  <c r="AH122" i="3"/>
  <c r="Q123" i="3"/>
  <c r="AH123" i="3"/>
  <c r="Q124" i="3"/>
  <c r="AH124" i="3"/>
  <c r="AH125" i="3"/>
  <c r="Q126" i="3"/>
  <c r="AH126" i="3"/>
  <c r="AH127" i="3"/>
  <c r="AH128" i="3"/>
  <c r="AH129" i="3"/>
  <c r="Q130" i="3"/>
  <c r="AH130" i="3"/>
  <c r="AH131" i="3"/>
  <c r="Q132" i="3"/>
  <c r="AH132" i="3"/>
  <c r="Q133" i="3"/>
  <c r="AH133" i="3"/>
  <c r="Q134" i="3"/>
  <c r="AH134" i="3"/>
  <c r="Q135" i="3"/>
  <c r="AH135" i="3"/>
  <c r="Q136" i="3"/>
  <c r="AH136" i="3"/>
  <c r="Q137" i="3"/>
  <c r="AH137" i="3"/>
  <c r="Q138" i="3"/>
  <c r="AH138" i="3"/>
  <c r="Q139" i="3"/>
  <c r="AH139" i="3"/>
  <c r="Q140" i="3"/>
  <c r="AH140" i="3"/>
  <c r="Q141" i="3"/>
  <c r="AH141" i="3"/>
  <c r="AH142" i="3"/>
  <c r="AH143" i="3"/>
  <c r="Q144" i="3"/>
  <c r="AH144" i="3"/>
  <c r="Q145" i="3"/>
  <c r="AH145" i="3"/>
  <c r="AH146" i="3"/>
  <c r="AH147" i="3"/>
  <c r="AH148" i="3"/>
  <c r="Q149" i="3"/>
  <c r="AH149" i="3"/>
  <c r="AH150" i="3"/>
  <c r="Q151" i="3"/>
  <c r="AH151" i="3"/>
  <c r="Q152" i="3"/>
  <c r="AH152" i="3"/>
  <c r="AH153" i="3"/>
  <c r="AH154" i="3"/>
  <c r="AH155" i="3"/>
  <c r="AH156" i="3"/>
  <c r="Q157" i="3"/>
  <c r="AH157" i="3"/>
  <c r="AH158" i="3"/>
  <c r="AH159" i="3"/>
  <c r="Q160" i="3"/>
  <c r="AH160" i="3"/>
  <c r="Q161" i="3"/>
  <c r="AH161" i="3"/>
  <c r="AH162" i="3"/>
  <c r="AH163" i="3"/>
  <c r="AH164" i="3"/>
  <c r="AH165" i="3"/>
  <c r="AH166" i="3"/>
  <c r="Q167" i="3"/>
  <c r="AH167" i="3"/>
  <c r="Q168" i="3"/>
  <c r="AH168" i="3"/>
  <c r="Q169" i="3"/>
  <c r="AH169" i="3"/>
  <c r="Q170" i="3"/>
  <c r="AH170" i="3"/>
  <c r="Q171" i="3"/>
  <c r="AH171" i="3"/>
  <c r="Q172" i="3"/>
  <c r="AH172" i="3"/>
  <c r="Q173" i="3"/>
  <c r="AH173" i="3"/>
  <c r="Q174" i="3"/>
  <c r="AH174" i="3"/>
  <c r="Q175" i="3"/>
  <c r="AH175" i="3"/>
  <c r="AH176" i="3"/>
  <c r="Q177" i="3"/>
  <c r="AH177" i="3"/>
  <c r="Q178" i="3"/>
  <c r="AH178" i="3"/>
  <c r="AH179" i="3"/>
  <c r="Q180" i="3"/>
  <c r="AH180" i="3"/>
  <c r="AH181" i="3"/>
  <c r="AH182" i="3"/>
  <c r="Q183" i="3"/>
  <c r="AH183" i="3"/>
  <c r="AH184" i="3"/>
  <c r="Q185" i="3"/>
  <c r="AH185" i="3"/>
  <c r="AH186" i="3"/>
  <c r="Q187" i="3"/>
  <c r="AH187" i="3"/>
  <c r="Q188" i="3"/>
  <c r="AH188" i="3"/>
  <c r="Q189" i="3"/>
  <c r="AH189" i="3"/>
  <c r="AH190" i="3"/>
  <c r="AH191" i="3"/>
  <c r="AH192" i="3"/>
  <c r="Q193" i="3"/>
  <c r="AH193" i="3"/>
  <c r="AH194" i="3"/>
  <c r="Q195" i="3"/>
  <c r="AH195" i="3"/>
  <c r="Q196" i="3"/>
  <c r="AH196" i="3"/>
  <c r="Q197" i="3"/>
  <c r="AH197" i="3"/>
  <c r="AH198" i="3"/>
  <c r="AH199" i="3"/>
  <c r="AH200" i="3"/>
  <c r="AH201" i="3"/>
  <c r="AH202" i="3"/>
  <c r="AH203" i="3"/>
  <c r="AH204" i="3"/>
  <c r="AH205" i="3"/>
  <c r="AH206" i="3"/>
  <c r="Q207" i="3"/>
  <c r="AH207" i="3"/>
  <c r="Q208" i="3"/>
  <c r="AH208" i="3"/>
  <c r="Q209" i="3"/>
  <c r="AH209" i="3"/>
  <c r="AH210" i="3"/>
  <c r="Q211" i="3"/>
  <c r="AH211" i="3"/>
  <c r="Q212" i="3"/>
  <c r="AH212" i="3"/>
  <c r="AH213" i="3"/>
  <c r="AH214" i="3"/>
  <c r="Q215" i="3"/>
  <c r="AH215" i="3"/>
  <c r="Q216" i="3"/>
  <c r="AH216" i="3"/>
  <c r="AH217" i="3"/>
  <c r="AH218" i="3"/>
  <c r="AH219" i="3"/>
  <c r="AH220" i="3"/>
  <c r="Q221" i="3"/>
  <c r="AH221" i="3"/>
  <c r="AH222" i="3"/>
  <c r="Q223" i="3"/>
  <c r="AH223" i="3"/>
  <c r="Q224" i="3"/>
  <c r="AH224" i="3"/>
  <c r="Q225" i="3"/>
  <c r="AH225" i="3"/>
  <c r="AH226" i="3"/>
  <c r="AH227" i="3"/>
  <c r="Q228" i="3"/>
  <c r="AH228" i="3"/>
  <c r="AH229" i="3"/>
  <c r="AH233" i="3"/>
  <c r="AH235" i="3"/>
  <c r="AI237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F41" i="3"/>
  <c r="J41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F58" i="3"/>
  <c r="J58" i="3"/>
  <c r="AF58" i="3"/>
  <c r="AF59" i="3"/>
  <c r="AF60" i="3"/>
  <c r="F61" i="3"/>
  <c r="J61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F91" i="3"/>
  <c r="J91" i="3"/>
  <c r="AF91" i="3"/>
  <c r="F92" i="3"/>
  <c r="J92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F127" i="3"/>
  <c r="J127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F146" i="3"/>
  <c r="J146" i="3"/>
  <c r="AF146" i="3"/>
  <c r="AF147" i="3"/>
  <c r="AF148" i="3"/>
  <c r="AF149" i="3"/>
  <c r="F150" i="3"/>
  <c r="J150" i="3"/>
  <c r="AF150" i="3"/>
  <c r="AF151" i="3"/>
  <c r="AF152" i="3"/>
  <c r="F153" i="3"/>
  <c r="J153" i="3"/>
  <c r="AF153" i="3"/>
  <c r="AF154" i="3"/>
  <c r="AF155" i="3"/>
  <c r="F156" i="3"/>
  <c r="J156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J182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F204" i="3"/>
  <c r="J204" i="3"/>
  <c r="AF204" i="3"/>
  <c r="AF205" i="3"/>
  <c r="F206" i="3"/>
  <c r="J206" i="3"/>
  <c r="AF206" i="3"/>
  <c r="AF207" i="3"/>
  <c r="AF208" i="3"/>
  <c r="AF209" i="3"/>
  <c r="F210" i="3"/>
  <c r="J210" i="3"/>
  <c r="AF210" i="3"/>
  <c r="AF211" i="3"/>
  <c r="AF212" i="3"/>
  <c r="AF213" i="3"/>
  <c r="F214" i="3"/>
  <c r="J214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F226" i="3"/>
  <c r="J226" i="3"/>
  <c r="AF226" i="3"/>
  <c r="F227" i="3"/>
  <c r="J227" i="3"/>
  <c r="AF227" i="3"/>
  <c r="AF228" i="3"/>
  <c r="AF229" i="3"/>
  <c r="AF231" i="3"/>
  <c r="AF232" i="3"/>
  <c r="AF233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Q41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53" i="3"/>
  <c r="AJ54" i="3"/>
  <c r="AJ55" i="3"/>
  <c r="AJ56" i="3"/>
  <c r="AJ57" i="3"/>
  <c r="Q58" i="3"/>
  <c r="AJ58" i="3"/>
  <c r="AJ59" i="3"/>
  <c r="AJ60" i="3"/>
  <c r="Q61" i="3"/>
  <c r="AJ61" i="3"/>
  <c r="AJ62" i="3"/>
  <c r="AJ63" i="3"/>
  <c r="AJ64" i="3"/>
  <c r="AJ65" i="3"/>
  <c r="AJ66" i="3"/>
  <c r="AJ67" i="3"/>
  <c r="AJ68" i="3"/>
  <c r="AJ69" i="3"/>
  <c r="AJ70" i="3"/>
  <c r="AJ71" i="3"/>
  <c r="AJ72" i="3"/>
  <c r="AJ73" i="3"/>
  <c r="AJ74" i="3"/>
  <c r="AJ75" i="3"/>
  <c r="AJ76" i="3"/>
  <c r="AJ77" i="3"/>
  <c r="AJ78" i="3"/>
  <c r="AJ79" i="3"/>
  <c r="AJ80" i="3"/>
  <c r="AJ81" i="3"/>
  <c r="AJ82" i="3"/>
  <c r="AJ83" i="3"/>
  <c r="AJ84" i="3"/>
  <c r="AJ85" i="3"/>
  <c r="AJ86" i="3"/>
  <c r="AJ87" i="3"/>
  <c r="AJ88" i="3"/>
  <c r="AJ89" i="3"/>
  <c r="AJ90" i="3"/>
  <c r="Q91" i="3"/>
  <c r="AJ91" i="3"/>
  <c r="Q92" i="3"/>
  <c r="AJ92" i="3"/>
  <c r="AJ93" i="3"/>
  <c r="AJ94" i="3"/>
  <c r="AJ95" i="3"/>
  <c r="AJ96" i="3"/>
  <c r="AJ97" i="3"/>
  <c r="AJ98" i="3"/>
  <c r="AJ99" i="3"/>
  <c r="AJ100" i="3"/>
  <c r="AJ101" i="3"/>
  <c r="AJ102" i="3"/>
  <c r="AJ103" i="3"/>
  <c r="AJ104" i="3"/>
  <c r="AJ105" i="3"/>
  <c r="AJ106" i="3"/>
  <c r="AJ107" i="3"/>
  <c r="AJ108" i="3"/>
  <c r="AJ109" i="3"/>
  <c r="AJ110" i="3"/>
  <c r="AJ111" i="3"/>
  <c r="AJ112" i="3"/>
  <c r="AJ113" i="3"/>
  <c r="AJ114" i="3"/>
  <c r="AJ115" i="3"/>
  <c r="AJ116" i="3"/>
  <c r="AJ117" i="3"/>
  <c r="AJ118" i="3"/>
  <c r="AJ119" i="3"/>
  <c r="AJ120" i="3"/>
  <c r="AJ121" i="3"/>
  <c r="AJ122" i="3"/>
  <c r="AJ123" i="3"/>
  <c r="AJ124" i="3"/>
  <c r="AJ125" i="3"/>
  <c r="AJ126" i="3"/>
  <c r="Q127" i="3"/>
  <c r="AJ127" i="3"/>
  <c r="AJ128" i="3"/>
  <c r="AJ129" i="3"/>
  <c r="AJ130" i="3"/>
  <c r="AJ131" i="3"/>
  <c r="AJ132" i="3"/>
  <c r="AJ133" i="3"/>
  <c r="AJ134" i="3"/>
  <c r="AJ135" i="3"/>
  <c r="AJ136" i="3"/>
  <c r="AJ137" i="3"/>
  <c r="AJ138" i="3"/>
  <c r="AJ139" i="3"/>
  <c r="AJ140" i="3"/>
  <c r="AJ141" i="3"/>
  <c r="AJ142" i="3"/>
  <c r="AJ143" i="3"/>
  <c r="AJ144" i="3"/>
  <c r="AJ145" i="3"/>
  <c r="Q146" i="3"/>
  <c r="AJ146" i="3"/>
  <c r="AJ147" i="3"/>
  <c r="AJ148" i="3"/>
  <c r="AJ149" i="3"/>
  <c r="Q150" i="3"/>
  <c r="AJ150" i="3"/>
  <c r="AJ151" i="3"/>
  <c r="AJ152" i="3"/>
  <c r="Q153" i="3"/>
  <c r="AJ153" i="3"/>
  <c r="AJ154" i="3"/>
  <c r="AJ155" i="3"/>
  <c r="Q156" i="3"/>
  <c r="AJ156" i="3"/>
  <c r="AJ157" i="3"/>
  <c r="AJ158" i="3"/>
  <c r="AJ159" i="3"/>
  <c r="AJ160" i="3"/>
  <c r="AJ161" i="3"/>
  <c r="AJ162" i="3"/>
  <c r="AJ163" i="3"/>
  <c r="AJ164" i="3"/>
  <c r="AJ165" i="3"/>
  <c r="AJ166" i="3"/>
  <c r="AJ167" i="3"/>
  <c r="AJ168" i="3"/>
  <c r="AJ169" i="3"/>
  <c r="AJ170" i="3"/>
  <c r="AJ171" i="3"/>
  <c r="AJ172" i="3"/>
  <c r="AJ173" i="3"/>
  <c r="AJ174" i="3"/>
  <c r="AJ175" i="3"/>
  <c r="AJ176" i="3"/>
  <c r="AJ177" i="3"/>
  <c r="AJ178" i="3"/>
  <c r="AJ179" i="3"/>
  <c r="AJ180" i="3"/>
  <c r="AJ181" i="3"/>
  <c r="Q182" i="3"/>
  <c r="AJ182" i="3"/>
  <c r="AJ183" i="3"/>
  <c r="AJ184" i="3"/>
  <c r="AJ185" i="3"/>
  <c r="AJ186" i="3"/>
  <c r="AJ187" i="3"/>
  <c r="AJ188" i="3"/>
  <c r="AJ189" i="3"/>
  <c r="AJ190" i="3"/>
  <c r="AJ191" i="3"/>
  <c r="AJ192" i="3"/>
  <c r="AJ193" i="3"/>
  <c r="AJ194" i="3"/>
  <c r="AJ195" i="3"/>
  <c r="AJ196" i="3"/>
  <c r="AJ197" i="3"/>
  <c r="AJ198" i="3"/>
  <c r="AJ199" i="3"/>
  <c r="AJ200" i="3"/>
  <c r="AJ201" i="3"/>
  <c r="AJ202" i="3"/>
  <c r="AJ203" i="3"/>
  <c r="Q204" i="3"/>
  <c r="AJ204" i="3"/>
  <c r="AJ205" i="3"/>
  <c r="Q206" i="3"/>
  <c r="AJ206" i="3"/>
  <c r="AJ207" i="3"/>
  <c r="AJ208" i="3"/>
  <c r="AJ209" i="3"/>
  <c r="Q210" i="3"/>
  <c r="AJ210" i="3"/>
  <c r="AJ211" i="3"/>
  <c r="AJ212" i="3"/>
  <c r="AJ213" i="3"/>
  <c r="Q214" i="3"/>
  <c r="AJ214" i="3"/>
  <c r="AJ215" i="3"/>
  <c r="AJ216" i="3"/>
  <c r="AJ217" i="3"/>
  <c r="AJ218" i="3"/>
  <c r="AJ219" i="3"/>
  <c r="AJ220" i="3"/>
  <c r="AJ221" i="3"/>
  <c r="AJ222" i="3"/>
  <c r="AJ223" i="3"/>
  <c r="AJ224" i="3"/>
  <c r="AJ225" i="3"/>
  <c r="Q226" i="3"/>
  <c r="AJ226" i="3"/>
  <c r="Q227" i="3"/>
  <c r="AJ227" i="3"/>
  <c r="AJ228" i="3"/>
  <c r="AJ229" i="3"/>
  <c r="AJ233" i="3"/>
  <c r="AJ235" i="3"/>
  <c r="AI239" i="3"/>
  <c r="AI243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AA236" i="3"/>
  <c r="AA229" i="3"/>
  <c r="AA237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208" i="3"/>
  <c r="Y209" i="3"/>
  <c r="Y210" i="3"/>
  <c r="Y211" i="3"/>
  <c r="Y212" i="3"/>
  <c r="Y213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Y226" i="3"/>
  <c r="Y227" i="3"/>
  <c r="Y228" i="3"/>
  <c r="Y229" i="3"/>
  <c r="AA239" i="3"/>
  <c r="AB229" i="3"/>
  <c r="AA240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AA242" i="3"/>
  <c r="AA243" i="3"/>
  <c r="Z234" i="3"/>
  <c r="Z243" i="3"/>
  <c r="J241" i="3"/>
  <c r="J229" i="3"/>
  <c r="J233" i="3"/>
  <c r="M229" i="3"/>
  <c r="L229" i="3"/>
  <c r="M230" i="3"/>
  <c r="J237" i="3"/>
  <c r="J239" i="3"/>
  <c r="J234" i="3"/>
  <c r="J235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33" i="3"/>
  <c r="I229" i="3"/>
  <c r="H229" i="3"/>
  <c r="G229" i="3"/>
  <c r="I230" i="3"/>
  <c r="F229" i="3"/>
  <c r="E229" i="3"/>
  <c r="F230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T81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T131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T144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T185" i="3"/>
  <c r="V185" i="3"/>
  <c r="V186" i="3"/>
  <c r="T187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T212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T226" i="3"/>
  <c r="V226" i="3"/>
  <c r="V227" i="3"/>
  <c r="V228" i="3"/>
  <c r="V229" i="3"/>
  <c r="T229" i="3"/>
  <c r="Q229" i="3"/>
  <c r="P229" i="3"/>
  <c r="O229" i="3"/>
  <c r="N229" i="3"/>
  <c r="AC228" i="3"/>
  <c r="AC227" i="3"/>
  <c r="AC226" i="3"/>
  <c r="AC225" i="3"/>
  <c r="AC224" i="3"/>
  <c r="AC223" i="3"/>
  <c r="AC222" i="3"/>
  <c r="AC221" i="3"/>
  <c r="AC220" i="3"/>
  <c r="AC219" i="3"/>
  <c r="AC218" i="3"/>
  <c r="AC217" i="3"/>
  <c r="AC216" i="3"/>
  <c r="AC215" i="3"/>
  <c r="AC214" i="3"/>
  <c r="AC213" i="3"/>
  <c r="AC212" i="3"/>
  <c r="AC211" i="3"/>
  <c r="AC210" i="3"/>
  <c r="AC209" i="3"/>
  <c r="AC208" i="3"/>
  <c r="AC207" i="3"/>
  <c r="AC206" i="3"/>
  <c r="AC205" i="3"/>
  <c r="AC204" i="3"/>
  <c r="AC203" i="3"/>
  <c r="AC202" i="3"/>
  <c r="AC201" i="3"/>
  <c r="AC200" i="3"/>
  <c r="AC199" i="3"/>
  <c r="AC198" i="3"/>
  <c r="AC197" i="3"/>
  <c r="AC196" i="3"/>
  <c r="AC195" i="3"/>
  <c r="AC194" i="3"/>
  <c r="AC193" i="3"/>
  <c r="AC192" i="3"/>
  <c r="AC191" i="3"/>
  <c r="AC190" i="3"/>
  <c r="AC189" i="3"/>
  <c r="AC188" i="3"/>
  <c r="AC187" i="3"/>
  <c r="AC186" i="3"/>
  <c r="AC185" i="3"/>
  <c r="AC184" i="3"/>
  <c r="AC183" i="3"/>
  <c r="AC182" i="3"/>
  <c r="AC181" i="3"/>
  <c r="AC180" i="3"/>
  <c r="AC179" i="3"/>
  <c r="AC178" i="3"/>
  <c r="AC177" i="3"/>
  <c r="AC176" i="3"/>
  <c r="AC175" i="3"/>
  <c r="AC174" i="3"/>
  <c r="AC173" i="3"/>
  <c r="AC172" i="3"/>
  <c r="AC171" i="3"/>
  <c r="AC170" i="3"/>
  <c r="AC169" i="3"/>
  <c r="AC168" i="3"/>
  <c r="AC167" i="3"/>
  <c r="AC166" i="3"/>
  <c r="AC165" i="3"/>
  <c r="AC164" i="3"/>
  <c r="AC163" i="3"/>
  <c r="AC162" i="3"/>
  <c r="AC161" i="3"/>
  <c r="AC160" i="3"/>
  <c r="AC159" i="3"/>
  <c r="AC158" i="3"/>
  <c r="AC157" i="3"/>
  <c r="AC156" i="3"/>
  <c r="AC155" i="3"/>
  <c r="AC154" i="3"/>
  <c r="AC153" i="3"/>
  <c r="AC152" i="3"/>
  <c r="AC151" i="3"/>
  <c r="AC150" i="3"/>
  <c r="AC149" i="3"/>
  <c r="AC148" i="3"/>
  <c r="AC147" i="3"/>
  <c r="AC146" i="3"/>
  <c r="AC145" i="3"/>
  <c r="AC144" i="3"/>
  <c r="AC143" i="3"/>
  <c r="AC142" i="3"/>
  <c r="AC141" i="3"/>
  <c r="AC140" i="3"/>
  <c r="AC139" i="3"/>
  <c r="AC138" i="3"/>
  <c r="AC137" i="3"/>
  <c r="AC136" i="3"/>
  <c r="AC135" i="3"/>
  <c r="AC134" i="3"/>
  <c r="AC133" i="3"/>
  <c r="AC132" i="3"/>
  <c r="AC131" i="3"/>
  <c r="AC130" i="3"/>
  <c r="AC129" i="3"/>
  <c r="AC128" i="3"/>
  <c r="AC127" i="3"/>
  <c r="AC126" i="3"/>
  <c r="AC125" i="3"/>
  <c r="AC124" i="3"/>
  <c r="AC123" i="3"/>
  <c r="AC122" i="3"/>
  <c r="AC121" i="3"/>
  <c r="AC120" i="3"/>
  <c r="AC119" i="3"/>
  <c r="AC118" i="3"/>
  <c r="AC117" i="3"/>
  <c r="AC116" i="3"/>
  <c r="AC115" i="3"/>
  <c r="AC114" i="3"/>
  <c r="AC113" i="3"/>
  <c r="AC112" i="3"/>
  <c r="AC111" i="3"/>
  <c r="AC110" i="3"/>
  <c r="AC109" i="3"/>
  <c r="AC108" i="3"/>
  <c r="AC107" i="3"/>
  <c r="AC106" i="3"/>
  <c r="AC105" i="3"/>
  <c r="AC104" i="3"/>
  <c r="AC103" i="3"/>
  <c r="AC102" i="3"/>
  <c r="AC101" i="3"/>
  <c r="AC100" i="3"/>
  <c r="AC99" i="3"/>
  <c r="AC98" i="3"/>
  <c r="AC97" i="3"/>
  <c r="AC96" i="3"/>
  <c r="AC95" i="3"/>
  <c r="AC94" i="3"/>
  <c r="AC93" i="3"/>
  <c r="AC92" i="3"/>
  <c r="AC91" i="3"/>
  <c r="AC90" i="3"/>
  <c r="AC89" i="3"/>
  <c r="AC88" i="3"/>
  <c r="AC87" i="3"/>
  <c r="AC86" i="3"/>
  <c r="AC85" i="3"/>
  <c r="AC84" i="3"/>
  <c r="AC83" i="3"/>
  <c r="AC82" i="3"/>
  <c r="AC81" i="3"/>
  <c r="AC80" i="3"/>
  <c r="AC79" i="3"/>
  <c r="AC78" i="3"/>
  <c r="AC77" i="3"/>
  <c r="AC76" i="3"/>
  <c r="AC75" i="3"/>
  <c r="AC74" i="3"/>
  <c r="AC73" i="3"/>
  <c r="AC72" i="3"/>
  <c r="AC71" i="3"/>
  <c r="AC70" i="3"/>
  <c r="AC69" i="3"/>
  <c r="AC68" i="3"/>
  <c r="AC67" i="3"/>
  <c r="AC66" i="3"/>
  <c r="AC65" i="3"/>
  <c r="AC64" i="3"/>
  <c r="AC63" i="3"/>
  <c r="AC62" i="3"/>
  <c r="AC61" i="3"/>
  <c r="AC60" i="3"/>
  <c r="AC59" i="3"/>
  <c r="AC58" i="3"/>
  <c r="AC57" i="3"/>
  <c r="AC56" i="3"/>
  <c r="AC55" i="3"/>
  <c r="AC54" i="3"/>
  <c r="AC53" i="3"/>
  <c r="AC52" i="3"/>
  <c r="AC51" i="3"/>
  <c r="AC50" i="3"/>
  <c r="AC49" i="3"/>
  <c r="AC48" i="3"/>
  <c r="AC47" i="3"/>
  <c r="AC46" i="3"/>
  <c r="AC45" i="3"/>
  <c r="AC44" i="3"/>
  <c r="AC43" i="3"/>
  <c r="AC42" i="3"/>
  <c r="AC41" i="3"/>
  <c r="AC40" i="3"/>
  <c r="AC39" i="3"/>
  <c r="AC38" i="3"/>
  <c r="AC37" i="3"/>
  <c r="AC36" i="3"/>
  <c r="AC35" i="3"/>
  <c r="AC34" i="3"/>
  <c r="AC33" i="3"/>
  <c r="AC32" i="3"/>
  <c r="AC31" i="3"/>
  <c r="AC30" i="3"/>
  <c r="AC29" i="3"/>
  <c r="AC28" i="3"/>
  <c r="AC27" i="3"/>
  <c r="AC26" i="3"/>
  <c r="AC25" i="3"/>
  <c r="AC24" i="3"/>
  <c r="AC23" i="3"/>
  <c r="AC22" i="3"/>
  <c r="AC21" i="3"/>
  <c r="AC20" i="3"/>
  <c r="AC19" i="3"/>
  <c r="AC18" i="3"/>
  <c r="AC17" i="3"/>
  <c r="AC16" i="3"/>
  <c r="F16" i="2"/>
  <c r="J16" i="2"/>
  <c r="AE16" i="2"/>
  <c r="AE17" i="2"/>
  <c r="F18" i="2"/>
  <c r="J18" i="2"/>
  <c r="AE18" i="2"/>
  <c r="F19" i="2"/>
  <c r="J19" i="2"/>
  <c r="AE19" i="2"/>
  <c r="F20" i="2"/>
  <c r="J20" i="2"/>
  <c r="AE20" i="2"/>
  <c r="AE21" i="2"/>
  <c r="AE22" i="2"/>
  <c r="AE23" i="2"/>
  <c r="AE24" i="2"/>
  <c r="E25" i="2"/>
  <c r="F25" i="2"/>
  <c r="J25" i="2"/>
  <c r="AE25" i="2"/>
  <c r="AE26" i="2"/>
  <c r="AE27" i="2"/>
  <c r="AE28" i="2"/>
  <c r="F29" i="2"/>
  <c r="J29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F45" i="2"/>
  <c r="J45" i="2"/>
  <c r="AE45" i="2"/>
  <c r="AE46" i="2"/>
  <c r="AE47" i="2"/>
  <c r="F48" i="2"/>
  <c r="J48" i="2"/>
  <c r="AE48" i="2"/>
  <c r="AE49" i="2"/>
  <c r="AE50" i="2"/>
  <c r="AE51" i="2"/>
  <c r="F52" i="2"/>
  <c r="J52" i="2"/>
  <c r="AE52" i="2"/>
  <c r="F53" i="2"/>
  <c r="J53" i="2"/>
  <c r="AE53" i="2"/>
  <c r="F54" i="2"/>
  <c r="J54" i="2"/>
  <c r="AE54" i="2"/>
  <c r="F55" i="2"/>
  <c r="J55" i="2"/>
  <c r="AE55" i="2"/>
  <c r="AE56" i="2"/>
  <c r="AE57" i="2"/>
  <c r="F58" i="2"/>
  <c r="J58" i="2"/>
  <c r="AE58" i="2"/>
  <c r="AE59" i="2"/>
  <c r="E60" i="2"/>
  <c r="F60" i="2"/>
  <c r="J60" i="2"/>
  <c r="AE60" i="2"/>
  <c r="F61" i="2"/>
  <c r="J61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F76" i="2"/>
  <c r="J76" i="2"/>
  <c r="AE76" i="2"/>
  <c r="AE77" i="2"/>
  <c r="AE78" i="2"/>
  <c r="AE79" i="2"/>
  <c r="F80" i="2"/>
  <c r="J80" i="2"/>
  <c r="AE80" i="2"/>
  <c r="F81" i="2"/>
  <c r="J81" i="2"/>
  <c r="AE81" i="2"/>
  <c r="AE82" i="2"/>
  <c r="F83" i="2"/>
  <c r="J83" i="2"/>
  <c r="AE83" i="2"/>
  <c r="F84" i="2"/>
  <c r="J84" i="2"/>
  <c r="AE84" i="2"/>
  <c r="F85" i="2"/>
  <c r="J85" i="2"/>
  <c r="AE85" i="2"/>
  <c r="AE86" i="2"/>
  <c r="AE87" i="2"/>
  <c r="AE88" i="2"/>
  <c r="AE89" i="2"/>
  <c r="AE90" i="2"/>
  <c r="AE91" i="2"/>
  <c r="AE92" i="2"/>
  <c r="AE93" i="2"/>
  <c r="AE94" i="2"/>
  <c r="F95" i="2"/>
  <c r="J95" i="2"/>
  <c r="AE95" i="2"/>
  <c r="F96" i="2"/>
  <c r="J96" i="2"/>
  <c r="AE96" i="2"/>
  <c r="AE97" i="2"/>
  <c r="F98" i="2"/>
  <c r="J98" i="2"/>
  <c r="AE98" i="2"/>
  <c r="F99" i="2"/>
  <c r="J99" i="2"/>
  <c r="AE99" i="2"/>
  <c r="F100" i="2"/>
  <c r="J100" i="2"/>
  <c r="AE100" i="2"/>
  <c r="F101" i="2"/>
  <c r="J101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F118" i="2"/>
  <c r="J118" i="2"/>
  <c r="AE118" i="2"/>
  <c r="F119" i="2"/>
  <c r="J119" i="2"/>
  <c r="AE119" i="2"/>
  <c r="AE120" i="2"/>
  <c r="AE121" i="2"/>
  <c r="AE122" i="2"/>
  <c r="AE123" i="2"/>
  <c r="AE124" i="2"/>
  <c r="AE125" i="2"/>
  <c r="AE126" i="2"/>
  <c r="F127" i="2"/>
  <c r="J127" i="2"/>
  <c r="AE127" i="2"/>
  <c r="AE128" i="2"/>
  <c r="AE129" i="2"/>
  <c r="AE130" i="2"/>
  <c r="F131" i="2"/>
  <c r="J131" i="2"/>
  <c r="AE131" i="2"/>
  <c r="F132" i="2"/>
  <c r="J132" i="2"/>
  <c r="AE132" i="2"/>
  <c r="AE133" i="2"/>
  <c r="F134" i="2"/>
  <c r="J134" i="2"/>
  <c r="AE134" i="2"/>
  <c r="AE135" i="2"/>
  <c r="AE136" i="2"/>
  <c r="AE137" i="2"/>
  <c r="AE138" i="2"/>
  <c r="AE139" i="2"/>
  <c r="AE140" i="2"/>
  <c r="AE141" i="2"/>
  <c r="AE142" i="2"/>
  <c r="AE143" i="2"/>
  <c r="AE144" i="2"/>
  <c r="F145" i="2"/>
  <c r="J145" i="2"/>
  <c r="AE145" i="2"/>
  <c r="F146" i="2"/>
  <c r="J146" i="2"/>
  <c r="AE146" i="2"/>
  <c r="AE147" i="2"/>
  <c r="AE148" i="2"/>
  <c r="AE149" i="2"/>
  <c r="F150" i="2"/>
  <c r="J150" i="2"/>
  <c r="AE150" i="2"/>
  <c r="F151" i="2"/>
  <c r="J151" i="2"/>
  <c r="AE151" i="2"/>
  <c r="AE152" i="2"/>
  <c r="AE153" i="2"/>
  <c r="AE154" i="2"/>
  <c r="AE155" i="2"/>
  <c r="AE156" i="2"/>
  <c r="F157" i="2"/>
  <c r="J157" i="2"/>
  <c r="AE157" i="2"/>
  <c r="F158" i="2"/>
  <c r="J158" i="2"/>
  <c r="AE158" i="2"/>
  <c r="AE159" i="2"/>
  <c r="AE160" i="2"/>
  <c r="F161" i="2"/>
  <c r="J161" i="2"/>
  <c r="AE161" i="2"/>
  <c r="F162" i="2"/>
  <c r="J162" i="2"/>
  <c r="AE162" i="2"/>
  <c r="AE163" i="2"/>
  <c r="AE164" i="2"/>
  <c r="F165" i="2"/>
  <c r="J165" i="2"/>
  <c r="AE165" i="2"/>
  <c r="F166" i="2"/>
  <c r="J166" i="2"/>
  <c r="AE166" i="2"/>
  <c r="F167" i="2"/>
  <c r="J167" i="2"/>
  <c r="AE167" i="2"/>
  <c r="F168" i="2"/>
  <c r="J168" i="2"/>
  <c r="AE168" i="2"/>
  <c r="AE169" i="2"/>
  <c r="AE170" i="2"/>
  <c r="AE171" i="2"/>
  <c r="AE172" i="2"/>
  <c r="AE173" i="2"/>
  <c r="F174" i="2"/>
  <c r="J174" i="2"/>
  <c r="AE174" i="2"/>
  <c r="AE175" i="2"/>
  <c r="AE176" i="2"/>
  <c r="AE177" i="2"/>
  <c r="AE178" i="2"/>
  <c r="AE179" i="2"/>
  <c r="F180" i="2"/>
  <c r="J180" i="2"/>
  <c r="AE180" i="2"/>
  <c r="AE181" i="2"/>
  <c r="AE182" i="2"/>
  <c r="F183" i="2"/>
  <c r="J183" i="2"/>
  <c r="AE183" i="2"/>
  <c r="AE184" i="2"/>
  <c r="F185" i="2"/>
  <c r="J185" i="2"/>
  <c r="AE185" i="2"/>
  <c r="AE186" i="2"/>
  <c r="AE187" i="2"/>
  <c r="F188" i="2"/>
  <c r="J188" i="2"/>
  <c r="AE188" i="2"/>
  <c r="AE189" i="2"/>
  <c r="F190" i="2"/>
  <c r="J190" i="2"/>
  <c r="AE190" i="2"/>
  <c r="AE191" i="2"/>
  <c r="AE192" i="2"/>
  <c r="AE193" i="2"/>
  <c r="F194" i="2"/>
  <c r="J194" i="2"/>
  <c r="AE194" i="2"/>
  <c r="F195" i="2"/>
  <c r="J195" i="2"/>
  <c r="AE195" i="2"/>
  <c r="F196" i="2"/>
  <c r="J196" i="2"/>
  <c r="AE196" i="2"/>
  <c r="AE197" i="2"/>
  <c r="F198" i="2"/>
  <c r="J198" i="2"/>
  <c r="AE198" i="2"/>
  <c r="AE199" i="2"/>
  <c r="AE200" i="2"/>
  <c r="AE201" i="2"/>
  <c r="AE202" i="2"/>
  <c r="AE203" i="2"/>
  <c r="F204" i="2"/>
  <c r="J204" i="2"/>
  <c r="AE204" i="2"/>
  <c r="F205" i="2"/>
  <c r="J205" i="2"/>
  <c r="AE205" i="2"/>
  <c r="F206" i="2"/>
  <c r="J206" i="2"/>
  <c r="AE206" i="2"/>
  <c r="F207" i="2"/>
  <c r="J207" i="2"/>
  <c r="AE207" i="2"/>
  <c r="F208" i="2"/>
  <c r="J208" i="2"/>
  <c r="AE208" i="2"/>
  <c r="F209" i="2"/>
  <c r="J209" i="2"/>
  <c r="AE209" i="2"/>
  <c r="AE210" i="2"/>
  <c r="F211" i="2"/>
  <c r="J211" i="2"/>
  <c r="AE211" i="2"/>
  <c r="AE212" i="2"/>
  <c r="AE213" i="2"/>
  <c r="AE214" i="2"/>
  <c r="AE215" i="2"/>
  <c r="AE216" i="2"/>
  <c r="AE217" i="2"/>
  <c r="AE218" i="2"/>
  <c r="AE219" i="2"/>
  <c r="F220" i="2"/>
  <c r="J220" i="2"/>
  <c r="AE220" i="2"/>
  <c r="AE221" i="2"/>
  <c r="AE222" i="2"/>
  <c r="AE223" i="2"/>
  <c r="F224" i="2"/>
  <c r="J224" i="2"/>
  <c r="AE224" i="2"/>
  <c r="F225" i="2"/>
  <c r="J225" i="2"/>
  <c r="AE225" i="2"/>
  <c r="F226" i="2"/>
  <c r="J226" i="2"/>
  <c r="AE226" i="2"/>
  <c r="F227" i="2"/>
  <c r="J227" i="2"/>
  <c r="AE227" i="2"/>
  <c r="AE228" i="2"/>
  <c r="F229" i="2"/>
  <c r="J229" i="2"/>
  <c r="AE229" i="2"/>
  <c r="AE230" i="2"/>
  <c r="AE231" i="2"/>
  <c r="AE232" i="2"/>
  <c r="AE233" i="2"/>
  <c r="AE234" i="2"/>
  <c r="AE235" i="2"/>
  <c r="AE236" i="2"/>
  <c r="AE240" i="2"/>
  <c r="Q16" i="2"/>
  <c r="AI16" i="2"/>
  <c r="AI17" i="2"/>
  <c r="Q18" i="2"/>
  <c r="AI18" i="2"/>
  <c r="Q19" i="2"/>
  <c r="AI19" i="2"/>
  <c r="Q20" i="2"/>
  <c r="AI20" i="2"/>
  <c r="AI21" i="2"/>
  <c r="AI22" i="2"/>
  <c r="AI23" i="2"/>
  <c r="AI24" i="2"/>
  <c r="Q25" i="2"/>
  <c r="AI25" i="2"/>
  <c r="AI26" i="2"/>
  <c r="AI27" i="2"/>
  <c r="AI28" i="2"/>
  <c r="Q29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Q45" i="2"/>
  <c r="AI45" i="2"/>
  <c r="AI46" i="2"/>
  <c r="AI47" i="2"/>
  <c r="Q48" i="2"/>
  <c r="AI48" i="2"/>
  <c r="AI49" i="2"/>
  <c r="AI50" i="2"/>
  <c r="AI51" i="2"/>
  <c r="Q52" i="2"/>
  <c r="AI52" i="2"/>
  <c r="Q53" i="2"/>
  <c r="AI53" i="2"/>
  <c r="Q54" i="2"/>
  <c r="AI54" i="2"/>
  <c r="Q55" i="2"/>
  <c r="AI55" i="2"/>
  <c r="AI56" i="2"/>
  <c r="AI57" i="2"/>
  <c r="Q58" i="2"/>
  <c r="AI58" i="2"/>
  <c r="AI59" i="2"/>
  <c r="Q60" i="2"/>
  <c r="AI60" i="2"/>
  <c r="Q61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Q76" i="2"/>
  <c r="AI76" i="2"/>
  <c r="AI77" i="2"/>
  <c r="AI78" i="2"/>
  <c r="AI79" i="2"/>
  <c r="Q80" i="2"/>
  <c r="AI80" i="2"/>
  <c r="Q81" i="2"/>
  <c r="AI81" i="2"/>
  <c r="AI82" i="2"/>
  <c r="Q83" i="2"/>
  <c r="AI83" i="2"/>
  <c r="Q84" i="2"/>
  <c r="AI84" i="2"/>
  <c r="Q85" i="2"/>
  <c r="AI85" i="2"/>
  <c r="AI86" i="2"/>
  <c r="AI87" i="2"/>
  <c r="AI88" i="2"/>
  <c r="AI89" i="2"/>
  <c r="AI90" i="2"/>
  <c r="AI91" i="2"/>
  <c r="AI92" i="2"/>
  <c r="AI93" i="2"/>
  <c r="AI94" i="2"/>
  <c r="Q95" i="2"/>
  <c r="AI95" i="2"/>
  <c r="Q96" i="2"/>
  <c r="AI96" i="2"/>
  <c r="AI97" i="2"/>
  <c r="Q98" i="2"/>
  <c r="AI98" i="2"/>
  <c r="Q99" i="2"/>
  <c r="AI99" i="2"/>
  <c r="Q100" i="2"/>
  <c r="AI100" i="2"/>
  <c r="Q101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Q118" i="2"/>
  <c r="AI118" i="2"/>
  <c r="Q119" i="2"/>
  <c r="AI119" i="2"/>
  <c r="AI120" i="2"/>
  <c r="AI121" i="2"/>
  <c r="AI122" i="2"/>
  <c r="AI123" i="2"/>
  <c r="AI124" i="2"/>
  <c r="AI125" i="2"/>
  <c r="AI126" i="2"/>
  <c r="Q127" i="2"/>
  <c r="AI127" i="2"/>
  <c r="AI128" i="2"/>
  <c r="AI129" i="2"/>
  <c r="AI130" i="2"/>
  <c r="Q131" i="2"/>
  <c r="AI131" i="2"/>
  <c r="Q132" i="2"/>
  <c r="AI132" i="2"/>
  <c r="AI133" i="2"/>
  <c r="Q134" i="2"/>
  <c r="AI134" i="2"/>
  <c r="AI135" i="2"/>
  <c r="AI136" i="2"/>
  <c r="AI137" i="2"/>
  <c r="AI138" i="2"/>
  <c r="AI139" i="2"/>
  <c r="AI140" i="2"/>
  <c r="AI141" i="2"/>
  <c r="AI142" i="2"/>
  <c r="AI143" i="2"/>
  <c r="AI144" i="2"/>
  <c r="Q145" i="2"/>
  <c r="AI145" i="2"/>
  <c r="Q146" i="2"/>
  <c r="AI146" i="2"/>
  <c r="AI147" i="2"/>
  <c r="AI148" i="2"/>
  <c r="AI149" i="2"/>
  <c r="Q150" i="2"/>
  <c r="AI150" i="2"/>
  <c r="Q151" i="2"/>
  <c r="AI151" i="2"/>
  <c r="AI152" i="2"/>
  <c r="AI153" i="2"/>
  <c r="AI154" i="2"/>
  <c r="AI155" i="2"/>
  <c r="AI156" i="2"/>
  <c r="Q157" i="2"/>
  <c r="AI157" i="2"/>
  <c r="Q158" i="2"/>
  <c r="AI158" i="2"/>
  <c r="AI159" i="2"/>
  <c r="AI160" i="2"/>
  <c r="Q161" i="2"/>
  <c r="AI161" i="2"/>
  <c r="Q162" i="2"/>
  <c r="AI162" i="2"/>
  <c r="AI163" i="2"/>
  <c r="AI164" i="2"/>
  <c r="Q165" i="2"/>
  <c r="AI165" i="2"/>
  <c r="Q166" i="2"/>
  <c r="AI166" i="2"/>
  <c r="Q167" i="2"/>
  <c r="AI167" i="2"/>
  <c r="Q168" i="2"/>
  <c r="AI168" i="2"/>
  <c r="AI169" i="2"/>
  <c r="AI170" i="2"/>
  <c r="AI171" i="2"/>
  <c r="AI172" i="2"/>
  <c r="AI173" i="2"/>
  <c r="Q174" i="2"/>
  <c r="AI174" i="2"/>
  <c r="AI175" i="2"/>
  <c r="AI176" i="2"/>
  <c r="AI177" i="2"/>
  <c r="AI178" i="2"/>
  <c r="AI179" i="2"/>
  <c r="Q180" i="2"/>
  <c r="AI180" i="2"/>
  <c r="AI181" i="2"/>
  <c r="AI182" i="2"/>
  <c r="Q183" i="2"/>
  <c r="AI183" i="2"/>
  <c r="AI184" i="2"/>
  <c r="Q185" i="2"/>
  <c r="AI185" i="2"/>
  <c r="AI186" i="2"/>
  <c r="AI187" i="2"/>
  <c r="Q188" i="2"/>
  <c r="AI188" i="2"/>
  <c r="AI189" i="2"/>
  <c r="Q190" i="2"/>
  <c r="AI190" i="2"/>
  <c r="AI191" i="2"/>
  <c r="AI192" i="2"/>
  <c r="AI193" i="2"/>
  <c r="Q194" i="2"/>
  <c r="AI194" i="2"/>
  <c r="Q195" i="2"/>
  <c r="AI195" i="2"/>
  <c r="Q196" i="2"/>
  <c r="AI196" i="2"/>
  <c r="AI197" i="2"/>
  <c r="Q198" i="2"/>
  <c r="AI198" i="2"/>
  <c r="AI199" i="2"/>
  <c r="AI200" i="2"/>
  <c r="AI201" i="2"/>
  <c r="AI202" i="2"/>
  <c r="AI203" i="2"/>
  <c r="Q204" i="2"/>
  <c r="AI204" i="2"/>
  <c r="Q205" i="2"/>
  <c r="AI205" i="2"/>
  <c r="Q206" i="2"/>
  <c r="AI206" i="2"/>
  <c r="Q207" i="2"/>
  <c r="AI207" i="2"/>
  <c r="Q208" i="2"/>
  <c r="AI208" i="2"/>
  <c r="Q209" i="2"/>
  <c r="AI209" i="2"/>
  <c r="AI210" i="2"/>
  <c r="Q211" i="2"/>
  <c r="AI211" i="2"/>
  <c r="AI212" i="2"/>
  <c r="AI213" i="2"/>
  <c r="AI214" i="2"/>
  <c r="AI215" i="2"/>
  <c r="AI216" i="2"/>
  <c r="AI217" i="2"/>
  <c r="AI218" i="2"/>
  <c r="AI219" i="2"/>
  <c r="Q220" i="2"/>
  <c r="AI220" i="2"/>
  <c r="AI221" i="2"/>
  <c r="AI222" i="2"/>
  <c r="AI223" i="2"/>
  <c r="Q224" i="2"/>
  <c r="AI224" i="2"/>
  <c r="Q225" i="2"/>
  <c r="AI225" i="2"/>
  <c r="Q226" i="2"/>
  <c r="AI226" i="2"/>
  <c r="Q227" i="2"/>
  <c r="AI227" i="2"/>
  <c r="AI228" i="2"/>
  <c r="Q229" i="2"/>
  <c r="AI229" i="2"/>
  <c r="AI230" i="2"/>
  <c r="AI231" i="2"/>
  <c r="AI232" i="2"/>
  <c r="AI233" i="2"/>
  <c r="AI234" i="2"/>
  <c r="AI235" i="2"/>
  <c r="AI236" i="2"/>
  <c r="AI240" i="2"/>
  <c r="AI242" i="2"/>
  <c r="AD16" i="2"/>
  <c r="F17" i="2"/>
  <c r="J17" i="2"/>
  <c r="AD17" i="2"/>
  <c r="AD18" i="2"/>
  <c r="AD19" i="2"/>
  <c r="AD20" i="2"/>
  <c r="F21" i="2"/>
  <c r="J21" i="2"/>
  <c r="AD21" i="2"/>
  <c r="F22" i="2"/>
  <c r="J22" i="2"/>
  <c r="AD22" i="2"/>
  <c r="F23" i="2"/>
  <c r="J23" i="2"/>
  <c r="AD23" i="2"/>
  <c r="F24" i="2"/>
  <c r="J24" i="2"/>
  <c r="AD24" i="2"/>
  <c r="AD25" i="2"/>
  <c r="F26" i="2"/>
  <c r="J26" i="2"/>
  <c r="AD26" i="2"/>
  <c r="F27" i="2"/>
  <c r="J27" i="2"/>
  <c r="AD27" i="2"/>
  <c r="F28" i="2"/>
  <c r="J28" i="2"/>
  <c r="AD28" i="2"/>
  <c r="AD29" i="2"/>
  <c r="F30" i="2"/>
  <c r="J30" i="2"/>
  <c r="AD30" i="2"/>
  <c r="F31" i="2"/>
  <c r="J31" i="2"/>
  <c r="AD31" i="2"/>
  <c r="F32" i="2"/>
  <c r="J32" i="2"/>
  <c r="AD32" i="2"/>
  <c r="F33" i="2"/>
  <c r="J33" i="2"/>
  <c r="AD33" i="2"/>
  <c r="F34" i="2"/>
  <c r="J34" i="2"/>
  <c r="AD34" i="2"/>
  <c r="F35" i="2"/>
  <c r="J35" i="2"/>
  <c r="AD35" i="2"/>
  <c r="F36" i="2"/>
  <c r="J36" i="2"/>
  <c r="AD36" i="2"/>
  <c r="F37" i="2"/>
  <c r="J37" i="2"/>
  <c r="AD37" i="2"/>
  <c r="F38" i="2"/>
  <c r="J38" i="2"/>
  <c r="AD38" i="2"/>
  <c r="F39" i="2"/>
  <c r="J39" i="2"/>
  <c r="AD39" i="2"/>
  <c r="F40" i="2"/>
  <c r="J40" i="2"/>
  <c r="AD40" i="2"/>
  <c r="AD41" i="2"/>
  <c r="AD42" i="2"/>
  <c r="F43" i="2"/>
  <c r="J43" i="2"/>
  <c r="AD43" i="2"/>
  <c r="F44" i="2"/>
  <c r="J44" i="2"/>
  <c r="AD44" i="2"/>
  <c r="AD45" i="2"/>
  <c r="F46" i="2"/>
  <c r="J46" i="2"/>
  <c r="AD46" i="2"/>
  <c r="F47" i="2"/>
  <c r="J47" i="2"/>
  <c r="AD47" i="2"/>
  <c r="AD48" i="2"/>
  <c r="F49" i="2"/>
  <c r="J49" i="2"/>
  <c r="AD49" i="2"/>
  <c r="F50" i="2"/>
  <c r="J50" i="2"/>
  <c r="AD50" i="2"/>
  <c r="F51" i="2"/>
  <c r="J51" i="2"/>
  <c r="AD51" i="2"/>
  <c r="AD52" i="2"/>
  <c r="AD53" i="2"/>
  <c r="AD54" i="2"/>
  <c r="AD55" i="2"/>
  <c r="F56" i="2"/>
  <c r="J56" i="2"/>
  <c r="AD56" i="2"/>
  <c r="F57" i="2"/>
  <c r="J57" i="2"/>
  <c r="AD57" i="2"/>
  <c r="AD58" i="2"/>
  <c r="F59" i="2"/>
  <c r="J59" i="2"/>
  <c r="AD59" i="2"/>
  <c r="AD60" i="2"/>
  <c r="AD61" i="2"/>
  <c r="AD62" i="2"/>
  <c r="F63" i="2"/>
  <c r="J63" i="2"/>
  <c r="AD63" i="2"/>
  <c r="F64" i="2"/>
  <c r="J64" i="2"/>
  <c r="AD64" i="2"/>
  <c r="F65" i="2"/>
  <c r="J65" i="2"/>
  <c r="AD65" i="2"/>
  <c r="F66" i="2"/>
  <c r="J66" i="2"/>
  <c r="AD66" i="2"/>
  <c r="F67" i="2"/>
  <c r="J67" i="2"/>
  <c r="AD67" i="2"/>
  <c r="F68" i="2"/>
  <c r="J68" i="2"/>
  <c r="AD68" i="2"/>
  <c r="F69" i="2"/>
  <c r="J69" i="2"/>
  <c r="AD69" i="2"/>
  <c r="F70" i="2"/>
  <c r="J70" i="2"/>
  <c r="AD70" i="2"/>
  <c r="F71" i="2"/>
  <c r="J71" i="2"/>
  <c r="AD71" i="2"/>
  <c r="F72" i="2"/>
  <c r="J72" i="2"/>
  <c r="AD72" i="2"/>
  <c r="F73" i="2"/>
  <c r="J73" i="2"/>
  <c r="AD73" i="2"/>
  <c r="F74" i="2"/>
  <c r="J74" i="2"/>
  <c r="AD74" i="2"/>
  <c r="F75" i="2"/>
  <c r="J75" i="2"/>
  <c r="AD75" i="2"/>
  <c r="AD76" i="2"/>
  <c r="F77" i="2"/>
  <c r="J77" i="2"/>
  <c r="AD77" i="2"/>
  <c r="F78" i="2"/>
  <c r="J78" i="2"/>
  <c r="AD78" i="2"/>
  <c r="F79" i="2"/>
  <c r="J79" i="2"/>
  <c r="AD79" i="2"/>
  <c r="AD80" i="2"/>
  <c r="AD81" i="2"/>
  <c r="F82" i="2"/>
  <c r="J82" i="2"/>
  <c r="AD82" i="2"/>
  <c r="AD83" i="2"/>
  <c r="AD84" i="2"/>
  <c r="AD85" i="2"/>
  <c r="F86" i="2"/>
  <c r="J86" i="2"/>
  <c r="AD86" i="2"/>
  <c r="F87" i="2"/>
  <c r="J87" i="2"/>
  <c r="AD87" i="2"/>
  <c r="F88" i="2"/>
  <c r="J88" i="2"/>
  <c r="AD88" i="2"/>
  <c r="F89" i="2"/>
  <c r="J89" i="2"/>
  <c r="AD89" i="2"/>
  <c r="F90" i="2"/>
  <c r="J90" i="2"/>
  <c r="AD90" i="2"/>
  <c r="F91" i="2"/>
  <c r="J91" i="2"/>
  <c r="AD91" i="2"/>
  <c r="F92" i="2"/>
  <c r="J92" i="2"/>
  <c r="AD92" i="2"/>
  <c r="AD93" i="2"/>
  <c r="AD94" i="2"/>
  <c r="AD95" i="2"/>
  <c r="AD96" i="2"/>
  <c r="F97" i="2"/>
  <c r="J97" i="2"/>
  <c r="AD97" i="2"/>
  <c r="AD98" i="2"/>
  <c r="AD99" i="2"/>
  <c r="AD100" i="2"/>
  <c r="AD101" i="2"/>
  <c r="F102" i="2"/>
  <c r="J102" i="2"/>
  <c r="AD102" i="2"/>
  <c r="AD103" i="2"/>
  <c r="F104" i="2"/>
  <c r="J104" i="2"/>
  <c r="AD104" i="2"/>
  <c r="F105" i="2"/>
  <c r="J105" i="2"/>
  <c r="AD105" i="2"/>
  <c r="F106" i="2"/>
  <c r="J106" i="2"/>
  <c r="AD106" i="2"/>
  <c r="F107" i="2"/>
  <c r="J107" i="2"/>
  <c r="AD107" i="2"/>
  <c r="F108" i="2"/>
  <c r="J108" i="2"/>
  <c r="AD108" i="2"/>
  <c r="F109" i="2"/>
  <c r="J109" i="2"/>
  <c r="AD109" i="2"/>
  <c r="F110" i="2"/>
  <c r="J110" i="2"/>
  <c r="AD110" i="2"/>
  <c r="F111" i="2"/>
  <c r="J111" i="2"/>
  <c r="AD111" i="2"/>
  <c r="F112" i="2"/>
  <c r="J112" i="2"/>
  <c r="AD112" i="2"/>
  <c r="F113" i="2"/>
  <c r="J113" i="2"/>
  <c r="AD113" i="2"/>
  <c r="F114" i="2"/>
  <c r="J114" i="2"/>
  <c r="AD114" i="2"/>
  <c r="F115" i="2"/>
  <c r="J115" i="2"/>
  <c r="AD115" i="2"/>
  <c r="F116" i="2"/>
  <c r="J116" i="2"/>
  <c r="AD116" i="2"/>
  <c r="F117" i="2"/>
  <c r="J117" i="2"/>
  <c r="AD117" i="2"/>
  <c r="AD118" i="2"/>
  <c r="AD119" i="2"/>
  <c r="F120" i="2"/>
  <c r="J120" i="2"/>
  <c r="AD120" i="2"/>
  <c r="F121" i="2"/>
  <c r="J121" i="2"/>
  <c r="AD121" i="2"/>
  <c r="F122" i="2"/>
  <c r="J122" i="2"/>
  <c r="AD122" i="2"/>
  <c r="F123" i="2"/>
  <c r="J123" i="2"/>
  <c r="AD123" i="2"/>
  <c r="F124" i="2"/>
  <c r="J124" i="2"/>
  <c r="AD124" i="2"/>
  <c r="F125" i="2"/>
  <c r="J125" i="2"/>
  <c r="AD125" i="2"/>
  <c r="F126" i="2"/>
  <c r="J126" i="2"/>
  <c r="AD126" i="2"/>
  <c r="AD127" i="2"/>
  <c r="F128" i="2"/>
  <c r="J128" i="2"/>
  <c r="AD128" i="2"/>
  <c r="F129" i="2"/>
  <c r="J129" i="2"/>
  <c r="AD129" i="2"/>
  <c r="AD130" i="2"/>
  <c r="AD131" i="2"/>
  <c r="AD132" i="2"/>
  <c r="F133" i="2"/>
  <c r="J133" i="2"/>
  <c r="AD133" i="2"/>
  <c r="AD134" i="2"/>
  <c r="F135" i="2"/>
  <c r="J135" i="2"/>
  <c r="AD135" i="2"/>
  <c r="F136" i="2"/>
  <c r="J136" i="2"/>
  <c r="AD136" i="2"/>
  <c r="F137" i="2"/>
  <c r="J137" i="2"/>
  <c r="AD137" i="2"/>
  <c r="F138" i="2"/>
  <c r="J138" i="2"/>
  <c r="AD138" i="2"/>
  <c r="F139" i="2"/>
  <c r="J139" i="2"/>
  <c r="AD139" i="2"/>
  <c r="F140" i="2"/>
  <c r="J140" i="2"/>
  <c r="AD140" i="2"/>
  <c r="F141" i="2"/>
  <c r="J141" i="2"/>
  <c r="AD141" i="2"/>
  <c r="F142" i="2"/>
  <c r="J142" i="2"/>
  <c r="AD142" i="2"/>
  <c r="F143" i="2"/>
  <c r="J143" i="2"/>
  <c r="AD143" i="2"/>
  <c r="F144" i="2"/>
  <c r="J144" i="2"/>
  <c r="AD144" i="2"/>
  <c r="AD145" i="2"/>
  <c r="AD146" i="2"/>
  <c r="F147" i="2"/>
  <c r="J147" i="2"/>
  <c r="AD147" i="2"/>
  <c r="F148" i="2"/>
  <c r="J148" i="2"/>
  <c r="AD148" i="2"/>
  <c r="AD149" i="2"/>
  <c r="AD150" i="2"/>
  <c r="AD151" i="2"/>
  <c r="F152" i="2"/>
  <c r="J152" i="2"/>
  <c r="AD152" i="2"/>
  <c r="AD153" i="2"/>
  <c r="F154" i="2"/>
  <c r="J154" i="2"/>
  <c r="AD154" i="2"/>
  <c r="F155" i="2"/>
  <c r="J155" i="2"/>
  <c r="AD155" i="2"/>
  <c r="AD156" i="2"/>
  <c r="AD157" i="2"/>
  <c r="AD158" i="2"/>
  <c r="AD159" i="2"/>
  <c r="F160" i="2"/>
  <c r="J160" i="2"/>
  <c r="AD160" i="2"/>
  <c r="AD161" i="2"/>
  <c r="AD162" i="2"/>
  <c r="F163" i="2"/>
  <c r="J163" i="2"/>
  <c r="AD163" i="2"/>
  <c r="F164" i="2"/>
  <c r="J164" i="2"/>
  <c r="AD164" i="2"/>
  <c r="AD165" i="2"/>
  <c r="AD166" i="2"/>
  <c r="AD167" i="2"/>
  <c r="AD168" i="2"/>
  <c r="F169" i="2"/>
  <c r="J169" i="2"/>
  <c r="AD169" i="2"/>
  <c r="F170" i="2"/>
  <c r="J170" i="2"/>
  <c r="AD170" i="2"/>
  <c r="F171" i="2"/>
  <c r="J171" i="2"/>
  <c r="AD171" i="2"/>
  <c r="F172" i="2"/>
  <c r="J172" i="2"/>
  <c r="AD172" i="2"/>
  <c r="F173" i="2"/>
  <c r="J173" i="2"/>
  <c r="AD173" i="2"/>
  <c r="AD174" i="2"/>
  <c r="F175" i="2"/>
  <c r="J175" i="2"/>
  <c r="AD175" i="2"/>
  <c r="F176" i="2"/>
  <c r="J176" i="2"/>
  <c r="AD176" i="2"/>
  <c r="F177" i="2"/>
  <c r="J177" i="2"/>
  <c r="AD177" i="2"/>
  <c r="F178" i="2"/>
  <c r="J178" i="2"/>
  <c r="AD178" i="2"/>
  <c r="F179" i="2"/>
  <c r="J179" i="2"/>
  <c r="AD179" i="2"/>
  <c r="AD180" i="2"/>
  <c r="F181" i="2"/>
  <c r="J181" i="2"/>
  <c r="AD181" i="2"/>
  <c r="F182" i="2"/>
  <c r="J182" i="2"/>
  <c r="AD182" i="2"/>
  <c r="AD183" i="2"/>
  <c r="F184" i="2"/>
  <c r="J184" i="2"/>
  <c r="AD184" i="2"/>
  <c r="AD185" i="2"/>
  <c r="AD186" i="2"/>
  <c r="E187" i="2"/>
  <c r="F187" i="2"/>
  <c r="I187" i="2"/>
  <c r="J187" i="2"/>
  <c r="AD187" i="2"/>
  <c r="AD188" i="2"/>
  <c r="F189" i="2"/>
  <c r="J189" i="2"/>
  <c r="AD189" i="2"/>
  <c r="AD190" i="2"/>
  <c r="F191" i="2"/>
  <c r="J191" i="2"/>
  <c r="AD191" i="2"/>
  <c r="F192" i="2"/>
  <c r="J192" i="2"/>
  <c r="AD192" i="2"/>
  <c r="F193" i="2"/>
  <c r="J193" i="2"/>
  <c r="AD193" i="2"/>
  <c r="AD194" i="2"/>
  <c r="AD195" i="2"/>
  <c r="AD196" i="2"/>
  <c r="F197" i="2"/>
  <c r="J197" i="2"/>
  <c r="AD197" i="2"/>
  <c r="AD198" i="2"/>
  <c r="F199" i="2"/>
  <c r="J199" i="2"/>
  <c r="AD199" i="2"/>
  <c r="F200" i="2"/>
  <c r="J200" i="2"/>
  <c r="AD200" i="2"/>
  <c r="F201" i="2"/>
  <c r="J201" i="2"/>
  <c r="AD201" i="2"/>
  <c r="F202" i="2"/>
  <c r="J202" i="2"/>
  <c r="AD202" i="2"/>
  <c r="F203" i="2"/>
  <c r="J203" i="2"/>
  <c r="AD203" i="2"/>
  <c r="AD204" i="2"/>
  <c r="AD205" i="2"/>
  <c r="AD206" i="2"/>
  <c r="AD207" i="2"/>
  <c r="AD208" i="2"/>
  <c r="AD209" i="2"/>
  <c r="AD210" i="2"/>
  <c r="AD211" i="2"/>
  <c r="F212" i="2"/>
  <c r="J212" i="2"/>
  <c r="AD212" i="2"/>
  <c r="AD213" i="2"/>
  <c r="F214" i="2"/>
  <c r="J214" i="2"/>
  <c r="AD214" i="2"/>
  <c r="F215" i="2"/>
  <c r="J215" i="2"/>
  <c r="AD215" i="2"/>
  <c r="F216" i="2"/>
  <c r="J216" i="2"/>
  <c r="AD216" i="2"/>
  <c r="AD217" i="2"/>
  <c r="F218" i="2"/>
  <c r="J218" i="2"/>
  <c r="AD218" i="2"/>
  <c r="F219" i="2"/>
  <c r="J219" i="2"/>
  <c r="AD219" i="2"/>
  <c r="AD220" i="2"/>
  <c r="AD221" i="2"/>
  <c r="F222" i="2"/>
  <c r="J222" i="2"/>
  <c r="AD222" i="2"/>
  <c r="F223" i="2"/>
  <c r="J223" i="2"/>
  <c r="AD223" i="2"/>
  <c r="AD224" i="2"/>
  <c r="AD225" i="2"/>
  <c r="AD226" i="2"/>
  <c r="AD227" i="2"/>
  <c r="F228" i="2"/>
  <c r="J228" i="2"/>
  <c r="AD228" i="2"/>
  <c r="AD229" i="2"/>
  <c r="F230" i="2"/>
  <c r="J230" i="2"/>
  <c r="AD230" i="2"/>
  <c r="F231" i="2"/>
  <c r="J231" i="2"/>
  <c r="AD231" i="2"/>
  <c r="F232" i="2"/>
  <c r="J232" i="2"/>
  <c r="AD232" i="2"/>
  <c r="AD233" i="2"/>
  <c r="AD234" i="2"/>
  <c r="F235" i="2"/>
  <c r="J235" i="2"/>
  <c r="AD235" i="2"/>
  <c r="AD236" i="2"/>
  <c r="AD240" i="2"/>
  <c r="AH16" i="2"/>
  <c r="Q17" i="2"/>
  <c r="AH17" i="2"/>
  <c r="AH18" i="2"/>
  <c r="AH19" i="2"/>
  <c r="AH20" i="2"/>
  <c r="Q21" i="2"/>
  <c r="AH21" i="2"/>
  <c r="Q22" i="2"/>
  <c r="AH22" i="2"/>
  <c r="Q23" i="2"/>
  <c r="AH23" i="2"/>
  <c r="Q24" i="2"/>
  <c r="AH24" i="2"/>
  <c r="AH25" i="2"/>
  <c r="Q26" i="2"/>
  <c r="AH26" i="2"/>
  <c r="Q27" i="2"/>
  <c r="AH27" i="2"/>
  <c r="Q28" i="2"/>
  <c r="AH28" i="2"/>
  <c r="AH29" i="2"/>
  <c r="Q30" i="2"/>
  <c r="AH30" i="2"/>
  <c r="Q31" i="2"/>
  <c r="AH31" i="2"/>
  <c r="Q32" i="2"/>
  <c r="AH32" i="2"/>
  <c r="Q33" i="2"/>
  <c r="AH33" i="2"/>
  <c r="Q34" i="2"/>
  <c r="AH34" i="2"/>
  <c r="Q35" i="2"/>
  <c r="AH35" i="2"/>
  <c r="Q36" i="2"/>
  <c r="AH36" i="2"/>
  <c r="Q37" i="2"/>
  <c r="AH37" i="2"/>
  <c r="Q38" i="2"/>
  <c r="AH38" i="2"/>
  <c r="Q39" i="2"/>
  <c r="AH39" i="2"/>
  <c r="Q40" i="2"/>
  <c r="AH40" i="2"/>
  <c r="AH41" i="2"/>
  <c r="AH42" i="2"/>
  <c r="Q43" i="2"/>
  <c r="AH43" i="2"/>
  <c r="Q44" i="2"/>
  <c r="AH44" i="2"/>
  <c r="AH45" i="2"/>
  <c r="Q46" i="2"/>
  <c r="AH46" i="2"/>
  <c r="Q47" i="2"/>
  <c r="AH47" i="2"/>
  <c r="AH48" i="2"/>
  <c r="Q49" i="2"/>
  <c r="AH49" i="2"/>
  <c r="Q50" i="2"/>
  <c r="AH50" i="2"/>
  <c r="Q51" i="2"/>
  <c r="AH51" i="2"/>
  <c r="AH52" i="2"/>
  <c r="AH53" i="2"/>
  <c r="AH54" i="2"/>
  <c r="AH55" i="2"/>
  <c r="Q56" i="2"/>
  <c r="AH56" i="2"/>
  <c r="Q57" i="2"/>
  <c r="AH57" i="2"/>
  <c r="AH58" i="2"/>
  <c r="Q59" i="2"/>
  <c r="AH59" i="2"/>
  <c r="AH60" i="2"/>
  <c r="AH61" i="2"/>
  <c r="AH62" i="2"/>
  <c r="Q63" i="2"/>
  <c r="AH63" i="2"/>
  <c r="Q64" i="2"/>
  <c r="AH64" i="2"/>
  <c r="Q65" i="2"/>
  <c r="AH65" i="2"/>
  <c r="Q66" i="2"/>
  <c r="AH66" i="2"/>
  <c r="Q67" i="2"/>
  <c r="AH67" i="2"/>
  <c r="Q68" i="2"/>
  <c r="AH68" i="2"/>
  <c r="Q69" i="2"/>
  <c r="AH69" i="2"/>
  <c r="Q70" i="2"/>
  <c r="AH70" i="2"/>
  <c r="Q71" i="2"/>
  <c r="AH71" i="2"/>
  <c r="Q72" i="2"/>
  <c r="AH72" i="2"/>
  <c r="Q73" i="2"/>
  <c r="AH73" i="2"/>
  <c r="Q74" i="2"/>
  <c r="AH74" i="2"/>
  <c r="Q75" i="2"/>
  <c r="AH75" i="2"/>
  <c r="AH76" i="2"/>
  <c r="Q77" i="2"/>
  <c r="AH77" i="2"/>
  <c r="Q78" i="2"/>
  <c r="AH78" i="2"/>
  <c r="Q79" i="2"/>
  <c r="AH79" i="2"/>
  <c r="AH80" i="2"/>
  <c r="AH81" i="2"/>
  <c r="Q82" i="2"/>
  <c r="AH82" i="2"/>
  <c r="AH83" i="2"/>
  <c r="AH84" i="2"/>
  <c r="AH85" i="2"/>
  <c r="Q86" i="2"/>
  <c r="AH86" i="2"/>
  <c r="Q87" i="2"/>
  <c r="AH87" i="2"/>
  <c r="Q88" i="2"/>
  <c r="AH88" i="2"/>
  <c r="Q89" i="2"/>
  <c r="AH89" i="2"/>
  <c r="Q90" i="2"/>
  <c r="AH90" i="2"/>
  <c r="Q91" i="2"/>
  <c r="AH91" i="2"/>
  <c r="Q92" i="2"/>
  <c r="AH92" i="2"/>
  <c r="AH93" i="2"/>
  <c r="AH94" i="2"/>
  <c r="AH95" i="2"/>
  <c r="AH96" i="2"/>
  <c r="Q97" i="2"/>
  <c r="AH97" i="2"/>
  <c r="AH98" i="2"/>
  <c r="AH99" i="2"/>
  <c r="AH100" i="2"/>
  <c r="AH101" i="2"/>
  <c r="Q102" i="2"/>
  <c r="AH102" i="2"/>
  <c r="AH103" i="2"/>
  <c r="Q104" i="2"/>
  <c r="AH104" i="2"/>
  <c r="Q105" i="2"/>
  <c r="AH105" i="2"/>
  <c r="Q106" i="2"/>
  <c r="AH106" i="2"/>
  <c r="Q107" i="2"/>
  <c r="AH107" i="2"/>
  <c r="Q108" i="2"/>
  <c r="AH108" i="2"/>
  <c r="Q109" i="2"/>
  <c r="AH109" i="2"/>
  <c r="Q110" i="2"/>
  <c r="AH110" i="2"/>
  <c r="Q111" i="2"/>
  <c r="AH111" i="2"/>
  <c r="Q112" i="2"/>
  <c r="AH112" i="2"/>
  <c r="Q113" i="2"/>
  <c r="AH113" i="2"/>
  <c r="Q114" i="2"/>
  <c r="AH114" i="2"/>
  <c r="Q115" i="2"/>
  <c r="AH115" i="2"/>
  <c r="Q116" i="2"/>
  <c r="AH116" i="2"/>
  <c r="Q117" i="2"/>
  <c r="AH117" i="2"/>
  <c r="AH118" i="2"/>
  <c r="AH119" i="2"/>
  <c r="Q120" i="2"/>
  <c r="AH120" i="2"/>
  <c r="Q121" i="2"/>
  <c r="AH121" i="2"/>
  <c r="Q122" i="2"/>
  <c r="AH122" i="2"/>
  <c r="Q123" i="2"/>
  <c r="AH123" i="2"/>
  <c r="Q124" i="2"/>
  <c r="AH124" i="2"/>
  <c r="Q125" i="2"/>
  <c r="AH125" i="2"/>
  <c r="Q126" i="2"/>
  <c r="AH126" i="2"/>
  <c r="AH127" i="2"/>
  <c r="Q128" i="2"/>
  <c r="AH128" i="2"/>
  <c r="Q129" i="2"/>
  <c r="AH129" i="2"/>
  <c r="AH130" i="2"/>
  <c r="AH131" i="2"/>
  <c r="AH132" i="2"/>
  <c r="Q133" i="2"/>
  <c r="AH133" i="2"/>
  <c r="AH134" i="2"/>
  <c r="Q135" i="2"/>
  <c r="AH135" i="2"/>
  <c r="Q136" i="2"/>
  <c r="AH136" i="2"/>
  <c r="Q137" i="2"/>
  <c r="AH137" i="2"/>
  <c r="Q138" i="2"/>
  <c r="AH138" i="2"/>
  <c r="Q139" i="2"/>
  <c r="AH139" i="2"/>
  <c r="Q140" i="2"/>
  <c r="AH140" i="2"/>
  <c r="Q141" i="2"/>
  <c r="AH141" i="2"/>
  <c r="Q142" i="2"/>
  <c r="AH142" i="2"/>
  <c r="Q143" i="2"/>
  <c r="AH143" i="2"/>
  <c r="Q144" i="2"/>
  <c r="AH144" i="2"/>
  <c r="AH145" i="2"/>
  <c r="AH146" i="2"/>
  <c r="Q147" i="2"/>
  <c r="AH147" i="2"/>
  <c r="Q148" i="2"/>
  <c r="AH148" i="2"/>
  <c r="AH149" i="2"/>
  <c r="AH150" i="2"/>
  <c r="AH151" i="2"/>
  <c r="Q152" i="2"/>
  <c r="AH152" i="2"/>
  <c r="AH153" i="2"/>
  <c r="Q154" i="2"/>
  <c r="AH154" i="2"/>
  <c r="Q155" i="2"/>
  <c r="AH155" i="2"/>
  <c r="AH156" i="2"/>
  <c r="AH157" i="2"/>
  <c r="AH158" i="2"/>
  <c r="AH159" i="2"/>
  <c r="Q160" i="2"/>
  <c r="AH160" i="2"/>
  <c r="AH161" i="2"/>
  <c r="AH162" i="2"/>
  <c r="Q163" i="2"/>
  <c r="AH163" i="2"/>
  <c r="Q164" i="2"/>
  <c r="AH164" i="2"/>
  <c r="AH165" i="2"/>
  <c r="AH166" i="2"/>
  <c r="AH167" i="2"/>
  <c r="AH168" i="2"/>
  <c r="Q169" i="2"/>
  <c r="AH169" i="2"/>
  <c r="Q170" i="2"/>
  <c r="AH170" i="2"/>
  <c r="Q171" i="2"/>
  <c r="AH171" i="2"/>
  <c r="Q172" i="2"/>
  <c r="AH172" i="2"/>
  <c r="Q173" i="2"/>
  <c r="AH173" i="2"/>
  <c r="AH174" i="2"/>
  <c r="Q175" i="2"/>
  <c r="AH175" i="2"/>
  <c r="Q176" i="2"/>
  <c r="AH176" i="2"/>
  <c r="Q177" i="2"/>
  <c r="AH177" i="2"/>
  <c r="Q178" i="2"/>
  <c r="AH178" i="2"/>
  <c r="Q179" i="2"/>
  <c r="AH179" i="2"/>
  <c r="AH180" i="2"/>
  <c r="Q181" i="2"/>
  <c r="AH181" i="2"/>
  <c r="Q182" i="2"/>
  <c r="AH182" i="2"/>
  <c r="AH183" i="2"/>
  <c r="Q184" i="2"/>
  <c r="AH184" i="2"/>
  <c r="AH185" i="2"/>
  <c r="AH186" i="2"/>
  <c r="Q187" i="2"/>
  <c r="AH187" i="2"/>
  <c r="AH188" i="2"/>
  <c r="Q189" i="2"/>
  <c r="AH189" i="2"/>
  <c r="AH190" i="2"/>
  <c r="Q191" i="2"/>
  <c r="AH191" i="2"/>
  <c r="Q192" i="2"/>
  <c r="AH192" i="2"/>
  <c r="Q193" i="2"/>
  <c r="AH193" i="2"/>
  <c r="AH194" i="2"/>
  <c r="AH195" i="2"/>
  <c r="AH196" i="2"/>
  <c r="Q197" i="2"/>
  <c r="AH197" i="2"/>
  <c r="AH198" i="2"/>
  <c r="Q199" i="2"/>
  <c r="AH199" i="2"/>
  <c r="Q200" i="2"/>
  <c r="AH200" i="2"/>
  <c r="Q201" i="2"/>
  <c r="AH201" i="2"/>
  <c r="Q202" i="2"/>
  <c r="AH202" i="2"/>
  <c r="Q203" i="2"/>
  <c r="AH203" i="2"/>
  <c r="AH204" i="2"/>
  <c r="AH205" i="2"/>
  <c r="AH206" i="2"/>
  <c r="AH207" i="2"/>
  <c r="AH208" i="2"/>
  <c r="AH209" i="2"/>
  <c r="AH210" i="2"/>
  <c r="AH211" i="2"/>
  <c r="Q212" i="2"/>
  <c r="AH212" i="2"/>
  <c r="AH213" i="2"/>
  <c r="Q214" i="2"/>
  <c r="AH214" i="2"/>
  <c r="Q215" i="2"/>
  <c r="AH215" i="2"/>
  <c r="Q216" i="2"/>
  <c r="AH216" i="2"/>
  <c r="AH217" i="2"/>
  <c r="Q218" i="2"/>
  <c r="AH218" i="2"/>
  <c r="Q219" i="2"/>
  <c r="AH219" i="2"/>
  <c r="AH220" i="2"/>
  <c r="AH221" i="2"/>
  <c r="Q222" i="2"/>
  <c r="AH222" i="2"/>
  <c r="Q223" i="2"/>
  <c r="AH223" i="2"/>
  <c r="AH224" i="2"/>
  <c r="AH225" i="2"/>
  <c r="AH226" i="2"/>
  <c r="AH227" i="2"/>
  <c r="Q228" i="2"/>
  <c r="AH228" i="2"/>
  <c r="AH229" i="2"/>
  <c r="Q230" i="2"/>
  <c r="AH230" i="2"/>
  <c r="Q231" i="2"/>
  <c r="AH231" i="2"/>
  <c r="Q232" i="2"/>
  <c r="AH232" i="2"/>
  <c r="AH233" i="2"/>
  <c r="AH234" i="2"/>
  <c r="Q235" i="2"/>
  <c r="AH235" i="2"/>
  <c r="AH236" i="2"/>
  <c r="AH240" i="2"/>
  <c r="AH242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F41" i="2"/>
  <c r="J41" i="2"/>
  <c r="AF41" i="2"/>
  <c r="F42" i="2"/>
  <c r="J42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F62" i="2"/>
  <c r="J62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F93" i="2"/>
  <c r="J93" i="2"/>
  <c r="AF93" i="2"/>
  <c r="F94" i="2"/>
  <c r="J94" i="2"/>
  <c r="AF94" i="2"/>
  <c r="AF95" i="2"/>
  <c r="AF96" i="2"/>
  <c r="AF97" i="2"/>
  <c r="AF98" i="2"/>
  <c r="AF99" i="2"/>
  <c r="AF100" i="2"/>
  <c r="AF101" i="2"/>
  <c r="AF102" i="2"/>
  <c r="J103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E130" i="2"/>
  <c r="F130" i="2"/>
  <c r="J130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F149" i="2"/>
  <c r="J149" i="2"/>
  <c r="AF149" i="2"/>
  <c r="AF150" i="2"/>
  <c r="AF151" i="2"/>
  <c r="AF152" i="2"/>
  <c r="F153" i="2"/>
  <c r="J153" i="2"/>
  <c r="AF153" i="2"/>
  <c r="AF154" i="2"/>
  <c r="AF155" i="2"/>
  <c r="F156" i="2"/>
  <c r="J156" i="2"/>
  <c r="AF156" i="2"/>
  <c r="AF157" i="2"/>
  <c r="AF158" i="2"/>
  <c r="F159" i="2"/>
  <c r="J159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F186" i="2"/>
  <c r="J186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F210" i="2"/>
  <c r="J210" i="2"/>
  <c r="AF210" i="2"/>
  <c r="AF211" i="2"/>
  <c r="AF212" i="2"/>
  <c r="F213" i="2"/>
  <c r="J213" i="2"/>
  <c r="AF213" i="2"/>
  <c r="AF214" i="2"/>
  <c r="AF215" i="2"/>
  <c r="AF216" i="2"/>
  <c r="F217" i="2"/>
  <c r="J217" i="2"/>
  <c r="AF217" i="2"/>
  <c r="AF218" i="2"/>
  <c r="AF219" i="2"/>
  <c r="AF220" i="2"/>
  <c r="F221" i="2"/>
  <c r="J221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F233" i="2"/>
  <c r="J233" i="2"/>
  <c r="AF233" i="2"/>
  <c r="F234" i="2"/>
  <c r="J234" i="2"/>
  <c r="AF234" i="2"/>
  <c r="AF235" i="2"/>
  <c r="AF236" i="2"/>
  <c r="AF240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Q41" i="2"/>
  <c r="AJ41" i="2"/>
  <c r="Q42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Q62" i="2"/>
  <c r="AJ62" i="2"/>
  <c r="AJ63" i="2"/>
  <c r="AJ64" i="2"/>
  <c r="AJ65" i="2"/>
  <c r="AJ66" i="2"/>
  <c r="AJ67" i="2"/>
  <c r="AJ68" i="2"/>
  <c r="AJ69" i="2"/>
  <c r="AJ70" i="2"/>
  <c r="AJ71" i="2"/>
  <c r="AJ72" i="2"/>
  <c r="AJ73" i="2"/>
  <c r="AJ74" i="2"/>
  <c r="AJ75" i="2"/>
  <c r="AJ76" i="2"/>
  <c r="AJ77" i="2"/>
  <c r="AJ78" i="2"/>
  <c r="AJ79" i="2"/>
  <c r="AJ80" i="2"/>
  <c r="AJ81" i="2"/>
  <c r="AJ82" i="2"/>
  <c r="AJ83" i="2"/>
  <c r="AJ84" i="2"/>
  <c r="AJ85" i="2"/>
  <c r="AJ86" i="2"/>
  <c r="AJ87" i="2"/>
  <c r="AJ88" i="2"/>
  <c r="AJ89" i="2"/>
  <c r="AJ90" i="2"/>
  <c r="AJ91" i="2"/>
  <c r="AJ92" i="2"/>
  <c r="Q93" i="2"/>
  <c r="AJ93" i="2"/>
  <c r="Q94" i="2"/>
  <c r="AJ94" i="2"/>
  <c r="AJ95" i="2"/>
  <c r="AJ96" i="2"/>
  <c r="AJ97" i="2"/>
  <c r="AJ98" i="2"/>
  <c r="AJ99" i="2"/>
  <c r="AJ100" i="2"/>
  <c r="AJ101" i="2"/>
  <c r="AJ102" i="2"/>
  <c r="Q103" i="2"/>
  <c r="AJ103" i="2"/>
  <c r="AJ104" i="2"/>
  <c r="AJ105" i="2"/>
  <c r="AJ106" i="2"/>
  <c r="AJ107" i="2"/>
  <c r="AJ108" i="2"/>
  <c r="AJ109" i="2"/>
  <c r="AJ110" i="2"/>
  <c r="AJ111" i="2"/>
  <c r="AJ112" i="2"/>
  <c r="AJ113" i="2"/>
  <c r="AJ114" i="2"/>
  <c r="AJ115" i="2"/>
  <c r="AJ116" i="2"/>
  <c r="AJ117" i="2"/>
  <c r="AJ118" i="2"/>
  <c r="AJ119" i="2"/>
  <c r="AJ120" i="2"/>
  <c r="AJ121" i="2"/>
  <c r="AJ122" i="2"/>
  <c r="AJ123" i="2"/>
  <c r="AJ124" i="2"/>
  <c r="AJ125" i="2"/>
  <c r="AJ126" i="2"/>
  <c r="AJ127" i="2"/>
  <c r="AJ128" i="2"/>
  <c r="AJ129" i="2"/>
  <c r="Q130" i="2"/>
  <c r="AJ130" i="2"/>
  <c r="AJ131" i="2"/>
  <c r="AJ132" i="2"/>
  <c r="AJ133" i="2"/>
  <c r="AJ134" i="2"/>
  <c r="AJ135" i="2"/>
  <c r="AJ136" i="2"/>
  <c r="AJ137" i="2"/>
  <c r="AJ138" i="2"/>
  <c r="AJ139" i="2"/>
  <c r="AJ140" i="2"/>
  <c r="AJ141" i="2"/>
  <c r="AJ142" i="2"/>
  <c r="AJ143" i="2"/>
  <c r="AJ144" i="2"/>
  <c r="AJ145" i="2"/>
  <c r="AJ146" i="2"/>
  <c r="AJ147" i="2"/>
  <c r="AJ148" i="2"/>
  <c r="Q149" i="2"/>
  <c r="AJ149" i="2"/>
  <c r="AJ150" i="2"/>
  <c r="AJ151" i="2"/>
  <c r="AJ152" i="2"/>
  <c r="Q153" i="2"/>
  <c r="AJ153" i="2"/>
  <c r="AJ154" i="2"/>
  <c r="AJ155" i="2"/>
  <c r="Q156" i="2"/>
  <c r="AJ156" i="2"/>
  <c r="AJ157" i="2"/>
  <c r="AJ158" i="2"/>
  <c r="Q159" i="2"/>
  <c r="AJ159" i="2"/>
  <c r="AJ160" i="2"/>
  <c r="AJ161" i="2"/>
  <c r="AJ162" i="2"/>
  <c r="AJ163" i="2"/>
  <c r="AJ164" i="2"/>
  <c r="AJ165" i="2"/>
  <c r="AJ166" i="2"/>
  <c r="AJ167" i="2"/>
  <c r="AJ168" i="2"/>
  <c r="AJ169" i="2"/>
  <c r="AJ170" i="2"/>
  <c r="AJ171" i="2"/>
  <c r="AJ172" i="2"/>
  <c r="AJ173" i="2"/>
  <c r="AJ174" i="2"/>
  <c r="AJ175" i="2"/>
  <c r="AJ176" i="2"/>
  <c r="AJ177" i="2"/>
  <c r="AJ178" i="2"/>
  <c r="AJ179" i="2"/>
  <c r="AJ180" i="2"/>
  <c r="AJ181" i="2"/>
  <c r="AJ182" i="2"/>
  <c r="AJ183" i="2"/>
  <c r="AJ184" i="2"/>
  <c r="AJ185" i="2"/>
  <c r="Q186" i="2"/>
  <c r="AJ186" i="2"/>
  <c r="AJ187" i="2"/>
  <c r="AJ188" i="2"/>
  <c r="AJ189" i="2"/>
  <c r="AJ190" i="2"/>
  <c r="AJ191" i="2"/>
  <c r="AJ192" i="2"/>
  <c r="AJ193" i="2"/>
  <c r="AJ194" i="2"/>
  <c r="AJ195" i="2"/>
  <c r="AJ196" i="2"/>
  <c r="AJ197" i="2"/>
  <c r="AJ198" i="2"/>
  <c r="AJ199" i="2"/>
  <c r="AJ200" i="2"/>
  <c r="AJ201" i="2"/>
  <c r="AJ202" i="2"/>
  <c r="AJ203" i="2"/>
  <c r="AJ204" i="2"/>
  <c r="AJ205" i="2"/>
  <c r="AJ206" i="2"/>
  <c r="AJ207" i="2"/>
  <c r="AJ208" i="2"/>
  <c r="AJ209" i="2"/>
  <c r="Q210" i="2"/>
  <c r="AJ210" i="2"/>
  <c r="AJ211" i="2"/>
  <c r="AJ212" i="2"/>
  <c r="Q213" i="2"/>
  <c r="AJ213" i="2"/>
  <c r="AJ214" i="2"/>
  <c r="AJ215" i="2"/>
  <c r="AJ216" i="2"/>
  <c r="Q217" i="2"/>
  <c r="AJ217" i="2"/>
  <c r="AJ218" i="2"/>
  <c r="AJ219" i="2"/>
  <c r="AJ220" i="2"/>
  <c r="Q221" i="2"/>
  <c r="AJ221" i="2"/>
  <c r="AJ222" i="2"/>
  <c r="AJ223" i="2"/>
  <c r="AJ224" i="2"/>
  <c r="AJ225" i="2"/>
  <c r="AJ226" i="2"/>
  <c r="AJ227" i="2"/>
  <c r="AJ228" i="2"/>
  <c r="AJ229" i="2"/>
  <c r="AJ230" i="2"/>
  <c r="AJ231" i="2"/>
  <c r="AJ232" i="2"/>
  <c r="Q233" i="2"/>
  <c r="AJ233" i="2"/>
  <c r="Q234" i="2"/>
  <c r="AJ234" i="2"/>
  <c r="AJ235" i="2"/>
  <c r="AJ236" i="2"/>
  <c r="AJ240" i="2"/>
  <c r="AJ242" i="2"/>
  <c r="AI244" i="2"/>
  <c r="AI246" i="2"/>
  <c r="AI250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AA243" i="2"/>
  <c r="AA236" i="2"/>
  <c r="AA244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AA246" i="2"/>
  <c r="AB236" i="2"/>
  <c r="AA247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AA249" i="2"/>
  <c r="AA250" i="2"/>
  <c r="Z241" i="2"/>
  <c r="Z250" i="2"/>
  <c r="J248" i="2"/>
  <c r="J236" i="2"/>
  <c r="J240" i="2"/>
  <c r="M236" i="2"/>
  <c r="L236" i="2"/>
  <c r="M237" i="2"/>
  <c r="J244" i="2"/>
  <c r="J246" i="2"/>
  <c r="J241" i="2"/>
  <c r="J242" i="2"/>
  <c r="J245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3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6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40" i="2"/>
  <c r="I236" i="2"/>
  <c r="H236" i="2"/>
  <c r="G236" i="2"/>
  <c r="I237" i="2"/>
  <c r="F236" i="2"/>
  <c r="E236" i="2"/>
  <c r="F237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T29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T134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T147" i="2"/>
  <c r="V147" i="2"/>
  <c r="V148" i="2"/>
  <c r="V149" i="2"/>
  <c r="V150" i="2"/>
  <c r="T151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T167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T189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T219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T233" i="2"/>
  <c r="V233" i="2"/>
  <c r="V234" i="2"/>
  <c r="V235" i="2"/>
  <c r="V236" i="2"/>
  <c r="T236" i="2"/>
  <c r="Q236" i="2"/>
  <c r="P236" i="2"/>
  <c r="O236" i="2"/>
  <c r="N236" i="2"/>
  <c r="AC235" i="2"/>
  <c r="AC234" i="2"/>
  <c r="AC233" i="2"/>
  <c r="AC232" i="2"/>
  <c r="AC231" i="2"/>
  <c r="AC230" i="2"/>
  <c r="AC229" i="2"/>
  <c r="AC228" i="2"/>
  <c r="AC227" i="2"/>
  <c r="AC226" i="2"/>
  <c r="AC225" i="2"/>
  <c r="AC224" i="2"/>
  <c r="AC223" i="2"/>
  <c r="AC222" i="2"/>
  <c r="AC221" i="2"/>
  <c r="AC220" i="2"/>
  <c r="AC219" i="2"/>
  <c r="AC218" i="2"/>
  <c r="AC217" i="2"/>
  <c r="AC216" i="2"/>
  <c r="AC215" i="2"/>
  <c r="AC214" i="2"/>
  <c r="AC213" i="2"/>
  <c r="AC212" i="2"/>
  <c r="AC211" i="2"/>
  <c r="AC210" i="2"/>
  <c r="AC209" i="2"/>
  <c r="AC208" i="2"/>
  <c r="AC207" i="2"/>
  <c r="AC206" i="2"/>
  <c r="AC205" i="2"/>
  <c r="AC204" i="2"/>
  <c r="AC203" i="2"/>
  <c r="AC202" i="2"/>
  <c r="AC201" i="2"/>
  <c r="AC200" i="2"/>
  <c r="AC199" i="2"/>
  <c r="AC198" i="2"/>
  <c r="AC197" i="2"/>
  <c r="AC196" i="2"/>
  <c r="AC195" i="2"/>
  <c r="AC194" i="2"/>
  <c r="AC193" i="2"/>
  <c r="AC192" i="2"/>
  <c r="AC191" i="2"/>
  <c r="AC190" i="2"/>
  <c r="AC189" i="2"/>
  <c r="AC188" i="2"/>
  <c r="AC187" i="2"/>
  <c r="AC186" i="2"/>
  <c r="AC185" i="2"/>
  <c r="AC184" i="2"/>
  <c r="AC183" i="2"/>
  <c r="AC182" i="2"/>
  <c r="AC181" i="2"/>
  <c r="AC180" i="2"/>
  <c r="AC179" i="2"/>
  <c r="AC178" i="2"/>
  <c r="AC177" i="2"/>
  <c r="AC176" i="2"/>
  <c r="AC175" i="2"/>
  <c r="AC174" i="2"/>
  <c r="AC173" i="2"/>
  <c r="AC172" i="2"/>
  <c r="AC171" i="2"/>
  <c r="AC170" i="2"/>
  <c r="AC169" i="2"/>
  <c r="AC168" i="2"/>
  <c r="AC167" i="2"/>
  <c r="AC166" i="2"/>
  <c r="AC165" i="2"/>
  <c r="AC164" i="2"/>
  <c r="AC163" i="2"/>
  <c r="AC162" i="2"/>
  <c r="AC161" i="2"/>
  <c r="AC160" i="2"/>
  <c r="AC159" i="2"/>
  <c r="AC158" i="2"/>
  <c r="AC157" i="2"/>
  <c r="AC156" i="2"/>
  <c r="AC155" i="2"/>
  <c r="AC154" i="2"/>
  <c r="AC153" i="2"/>
  <c r="AC152" i="2"/>
  <c r="AC151" i="2"/>
  <c r="AC150" i="2"/>
  <c r="AC149" i="2"/>
  <c r="AC148" i="2"/>
  <c r="AC147" i="2"/>
  <c r="AC146" i="2"/>
  <c r="AC145" i="2"/>
  <c r="AC144" i="2"/>
  <c r="AC143" i="2"/>
  <c r="AC142" i="2"/>
  <c r="AC141" i="2"/>
  <c r="AC140" i="2"/>
  <c r="AC139" i="2"/>
  <c r="AC138" i="2"/>
  <c r="AC137" i="2"/>
  <c r="AC136" i="2"/>
  <c r="AC135" i="2"/>
  <c r="AC134" i="2"/>
  <c r="AC133" i="2"/>
  <c r="AC132" i="2"/>
  <c r="AC131" i="2"/>
  <c r="AC130" i="2"/>
  <c r="AC129" i="2"/>
  <c r="AC128" i="2"/>
  <c r="AC127" i="2"/>
  <c r="AC126" i="2"/>
  <c r="AC125" i="2"/>
  <c r="AC124" i="2"/>
  <c r="AC123" i="2"/>
  <c r="AC122" i="2"/>
  <c r="AC121" i="2"/>
  <c r="AC120" i="2"/>
  <c r="AC119" i="2"/>
  <c r="AC118" i="2"/>
  <c r="AC117" i="2"/>
  <c r="AC116" i="2"/>
  <c r="AC115" i="2"/>
  <c r="AC114" i="2"/>
  <c r="AC113" i="2"/>
  <c r="AC112" i="2"/>
  <c r="AC111" i="2"/>
  <c r="AC110" i="2"/>
  <c r="AC109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C96" i="2"/>
  <c r="AC95" i="2"/>
  <c r="AC94" i="2"/>
  <c r="AC93" i="2"/>
  <c r="AC92" i="2"/>
  <c r="AC91" i="2"/>
  <c r="AC90" i="2"/>
  <c r="AC89" i="2"/>
  <c r="AC88" i="2"/>
  <c r="AC87" i="2"/>
  <c r="AC86" i="2"/>
  <c r="AC85" i="2"/>
  <c r="AC84" i="2"/>
  <c r="AC83" i="2"/>
  <c r="AC82" i="2"/>
  <c r="AC81" i="2"/>
  <c r="AC80" i="2"/>
  <c r="AC79" i="2"/>
  <c r="AC78" i="2"/>
  <c r="AC77" i="2"/>
  <c r="AC76" i="2"/>
  <c r="AC75" i="2"/>
  <c r="AC74" i="2"/>
  <c r="AC73" i="2"/>
  <c r="AC72" i="2"/>
  <c r="AC71" i="2"/>
  <c r="AC70" i="2"/>
  <c r="AC69" i="2"/>
  <c r="AC68" i="2"/>
  <c r="AC67" i="2"/>
  <c r="AC66" i="2"/>
  <c r="AC65" i="2"/>
  <c r="AC64" i="2"/>
  <c r="AC63" i="2"/>
  <c r="AC62" i="2"/>
  <c r="AC61" i="2"/>
  <c r="AC60" i="2"/>
  <c r="AC59" i="2"/>
  <c r="AC58" i="2"/>
  <c r="AC57" i="2"/>
  <c r="AC56" i="2"/>
  <c r="AC55" i="2"/>
  <c r="AC54" i="2"/>
  <c r="AC53" i="2"/>
  <c r="AC52" i="2"/>
  <c r="AC51" i="2"/>
  <c r="AC50" i="2"/>
  <c r="AC49" i="2"/>
  <c r="AC48" i="2"/>
  <c r="AC47" i="2"/>
  <c r="AC46" i="2"/>
  <c r="AC45" i="2"/>
  <c r="AC44" i="2"/>
  <c r="AC43" i="2"/>
  <c r="AC42" i="2"/>
  <c r="AC41" i="2"/>
  <c r="AC40" i="2"/>
  <c r="AC39" i="2"/>
  <c r="AC38" i="2"/>
  <c r="AC37" i="2"/>
  <c r="AC36" i="2"/>
  <c r="AC35" i="2"/>
  <c r="AC34" i="2"/>
  <c r="AC33" i="2"/>
  <c r="AC32" i="2"/>
  <c r="AC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C18" i="2"/>
  <c r="AC17" i="2"/>
  <c r="AC16" i="2"/>
  <c r="F16" i="1"/>
  <c r="J16" i="1"/>
  <c r="AE16" i="1"/>
  <c r="AE17" i="1"/>
  <c r="E18" i="1"/>
  <c r="F18" i="1"/>
  <c r="J18" i="1"/>
  <c r="AE18" i="1"/>
  <c r="F19" i="1"/>
  <c r="J19" i="1"/>
  <c r="AE19" i="1"/>
  <c r="F20" i="1"/>
  <c r="J20" i="1"/>
  <c r="AE20" i="1"/>
  <c r="AE21" i="1"/>
  <c r="AE22" i="1"/>
  <c r="AE23" i="1"/>
  <c r="AE24" i="1"/>
  <c r="F25" i="1"/>
  <c r="J25" i="1"/>
  <c r="AE25" i="1"/>
  <c r="AE26" i="1"/>
  <c r="AE27" i="1"/>
  <c r="AE28" i="1"/>
  <c r="F29" i="1"/>
  <c r="J29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F45" i="1"/>
  <c r="J45" i="1"/>
  <c r="AE45" i="1"/>
  <c r="AE46" i="1"/>
  <c r="AE47" i="1"/>
  <c r="F48" i="1"/>
  <c r="J48" i="1"/>
  <c r="AE48" i="1"/>
  <c r="AE49" i="1"/>
  <c r="AE50" i="1"/>
  <c r="AE51" i="1"/>
  <c r="F52" i="1"/>
  <c r="J52" i="1"/>
  <c r="AE52" i="1"/>
  <c r="F53" i="1"/>
  <c r="J53" i="1"/>
  <c r="AE53" i="1"/>
  <c r="F54" i="1"/>
  <c r="J54" i="1"/>
  <c r="AE54" i="1"/>
  <c r="F55" i="1"/>
  <c r="J55" i="1"/>
  <c r="AE55" i="1"/>
  <c r="AE56" i="1"/>
  <c r="AE57" i="1"/>
  <c r="F58" i="1"/>
  <c r="J58" i="1"/>
  <c r="AE58" i="1"/>
  <c r="AE59" i="1"/>
  <c r="F60" i="1"/>
  <c r="J60" i="1"/>
  <c r="AE60" i="1"/>
  <c r="F61" i="1"/>
  <c r="J61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F76" i="1"/>
  <c r="J76" i="1"/>
  <c r="AE76" i="1"/>
  <c r="AE77" i="1"/>
  <c r="AE78" i="1"/>
  <c r="AE79" i="1"/>
  <c r="F80" i="1"/>
  <c r="J80" i="1"/>
  <c r="AE80" i="1"/>
  <c r="F81" i="1"/>
  <c r="J81" i="1"/>
  <c r="AE81" i="1"/>
  <c r="AE82" i="1"/>
  <c r="F83" i="1"/>
  <c r="J83" i="1"/>
  <c r="AE83" i="1"/>
  <c r="F84" i="1"/>
  <c r="J84" i="1"/>
  <c r="AE84" i="1"/>
  <c r="F85" i="1"/>
  <c r="J85" i="1"/>
  <c r="AE85" i="1"/>
  <c r="AE86" i="1"/>
  <c r="AE87" i="1"/>
  <c r="AE88" i="1"/>
  <c r="AE89" i="1"/>
  <c r="AE90" i="1"/>
  <c r="AE91" i="1"/>
  <c r="AE92" i="1"/>
  <c r="AE93" i="1"/>
  <c r="AE94" i="1"/>
  <c r="F95" i="1"/>
  <c r="J95" i="1"/>
  <c r="AE95" i="1"/>
  <c r="F96" i="1"/>
  <c r="J96" i="1"/>
  <c r="AE96" i="1"/>
  <c r="AE97" i="1"/>
  <c r="F98" i="1"/>
  <c r="J98" i="1"/>
  <c r="AE98" i="1"/>
  <c r="F99" i="1"/>
  <c r="J99" i="1"/>
  <c r="AE99" i="1"/>
  <c r="F100" i="1"/>
  <c r="J100" i="1"/>
  <c r="AE100" i="1"/>
  <c r="F101" i="1"/>
  <c r="J101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F118" i="1"/>
  <c r="J118" i="1"/>
  <c r="AE118" i="1"/>
  <c r="F119" i="1"/>
  <c r="J119" i="1"/>
  <c r="AE119" i="1"/>
  <c r="AE120" i="1"/>
  <c r="AE121" i="1"/>
  <c r="AE122" i="1"/>
  <c r="AE123" i="1"/>
  <c r="AE124" i="1"/>
  <c r="AE125" i="1"/>
  <c r="AE126" i="1"/>
  <c r="F127" i="1"/>
  <c r="J127" i="1"/>
  <c r="AE127" i="1"/>
  <c r="AE128" i="1"/>
  <c r="AE129" i="1"/>
  <c r="AE130" i="1"/>
  <c r="F131" i="1"/>
  <c r="J131" i="1"/>
  <c r="AE131" i="1"/>
  <c r="F132" i="1"/>
  <c r="J132" i="1"/>
  <c r="AE132" i="1"/>
  <c r="AE133" i="1"/>
  <c r="F134" i="1"/>
  <c r="J134" i="1"/>
  <c r="AE134" i="1"/>
  <c r="AE135" i="1"/>
  <c r="AE136" i="1"/>
  <c r="AE137" i="1"/>
  <c r="AE138" i="1"/>
  <c r="AE139" i="1"/>
  <c r="AE140" i="1"/>
  <c r="AE141" i="1"/>
  <c r="AE142" i="1"/>
  <c r="AE143" i="1"/>
  <c r="AE144" i="1"/>
  <c r="F145" i="1"/>
  <c r="J145" i="1"/>
  <c r="AE145" i="1"/>
  <c r="F146" i="1"/>
  <c r="J146" i="1"/>
  <c r="AE146" i="1"/>
  <c r="AE147" i="1"/>
  <c r="AE148" i="1"/>
  <c r="AE149" i="1"/>
  <c r="F150" i="1"/>
  <c r="J150" i="1"/>
  <c r="AE150" i="1"/>
  <c r="F151" i="1"/>
  <c r="J151" i="1"/>
  <c r="AE151" i="1"/>
  <c r="AE152" i="1"/>
  <c r="AE153" i="1"/>
  <c r="AE154" i="1"/>
  <c r="AE155" i="1"/>
  <c r="AE156" i="1"/>
  <c r="F157" i="1"/>
  <c r="J157" i="1"/>
  <c r="AE157" i="1"/>
  <c r="F158" i="1"/>
  <c r="J158" i="1"/>
  <c r="AE158" i="1"/>
  <c r="AE159" i="1"/>
  <c r="AE160" i="1"/>
  <c r="F161" i="1"/>
  <c r="J161" i="1"/>
  <c r="AE161" i="1"/>
  <c r="F162" i="1"/>
  <c r="J162" i="1"/>
  <c r="AE162" i="1"/>
  <c r="AE163" i="1"/>
  <c r="AE164" i="1"/>
  <c r="F165" i="1"/>
  <c r="J165" i="1"/>
  <c r="AE165" i="1"/>
  <c r="F166" i="1"/>
  <c r="J166" i="1"/>
  <c r="AE166" i="1"/>
  <c r="F167" i="1"/>
  <c r="J167" i="1"/>
  <c r="AE167" i="1"/>
  <c r="F168" i="1"/>
  <c r="J168" i="1"/>
  <c r="AE168" i="1"/>
  <c r="AE169" i="1"/>
  <c r="AE170" i="1"/>
  <c r="AE171" i="1"/>
  <c r="AE172" i="1"/>
  <c r="AE173" i="1"/>
  <c r="F174" i="1"/>
  <c r="J174" i="1"/>
  <c r="AE174" i="1"/>
  <c r="AE175" i="1"/>
  <c r="AE176" i="1"/>
  <c r="AE177" i="1"/>
  <c r="AE178" i="1"/>
  <c r="AE179" i="1"/>
  <c r="F180" i="1"/>
  <c r="J180" i="1"/>
  <c r="AE180" i="1"/>
  <c r="AE181" i="1"/>
  <c r="AE182" i="1"/>
  <c r="F183" i="1"/>
  <c r="J183" i="1"/>
  <c r="AE183" i="1"/>
  <c r="AE184" i="1"/>
  <c r="F185" i="1"/>
  <c r="J185" i="1"/>
  <c r="AE185" i="1"/>
  <c r="AE186" i="1"/>
  <c r="AE187" i="1"/>
  <c r="F188" i="1"/>
  <c r="J188" i="1"/>
  <c r="AE188" i="1"/>
  <c r="AE189" i="1"/>
  <c r="F190" i="1"/>
  <c r="J190" i="1"/>
  <c r="AE190" i="1"/>
  <c r="AE191" i="1"/>
  <c r="AE192" i="1"/>
  <c r="AE193" i="1"/>
  <c r="F194" i="1"/>
  <c r="J194" i="1"/>
  <c r="AE194" i="1"/>
  <c r="F195" i="1"/>
  <c r="J195" i="1"/>
  <c r="AE195" i="1"/>
  <c r="F196" i="1"/>
  <c r="J196" i="1"/>
  <c r="AE196" i="1"/>
  <c r="AE197" i="1"/>
  <c r="F198" i="1"/>
  <c r="J198" i="1"/>
  <c r="AE198" i="1"/>
  <c r="AE199" i="1"/>
  <c r="AE200" i="1"/>
  <c r="AE201" i="1"/>
  <c r="AE202" i="1"/>
  <c r="AE203" i="1"/>
  <c r="F204" i="1"/>
  <c r="J204" i="1"/>
  <c r="AE204" i="1"/>
  <c r="F205" i="1"/>
  <c r="J205" i="1"/>
  <c r="AE205" i="1"/>
  <c r="F206" i="1"/>
  <c r="J206" i="1"/>
  <c r="AE206" i="1"/>
  <c r="F207" i="1"/>
  <c r="J207" i="1"/>
  <c r="AE207" i="1"/>
  <c r="F208" i="1"/>
  <c r="J208" i="1"/>
  <c r="AE208" i="1"/>
  <c r="F209" i="1"/>
  <c r="J209" i="1"/>
  <c r="AE209" i="1"/>
  <c r="AE210" i="1"/>
  <c r="F211" i="1"/>
  <c r="J211" i="1"/>
  <c r="AE211" i="1"/>
  <c r="AE212" i="1"/>
  <c r="AE213" i="1"/>
  <c r="AE214" i="1"/>
  <c r="AE215" i="1"/>
  <c r="AE216" i="1"/>
  <c r="AE217" i="1"/>
  <c r="AE218" i="1"/>
  <c r="AE219" i="1"/>
  <c r="F220" i="1"/>
  <c r="J220" i="1"/>
  <c r="AE220" i="1"/>
  <c r="AE221" i="1"/>
  <c r="AE222" i="1"/>
  <c r="AE223" i="1"/>
  <c r="F224" i="1"/>
  <c r="J224" i="1"/>
  <c r="AE224" i="1"/>
  <c r="F225" i="1"/>
  <c r="J225" i="1"/>
  <c r="AE225" i="1"/>
  <c r="F226" i="1"/>
  <c r="J226" i="1"/>
  <c r="AE226" i="1"/>
  <c r="F227" i="1"/>
  <c r="J227" i="1"/>
  <c r="AE227" i="1"/>
  <c r="AE228" i="1"/>
  <c r="F229" i="1"/>
  <c r="J229" i="1"/>
  <c r="AE229" i="1"/>
  <c r="AE230" i="1"/>
  <c r="AE231" i="1"/>
  <c r="AE232" i="1"/>
  <c r="AE233" i="1"/>
  <c r="AE234" i="1"/>
  <c r="AE235" i="1"/>
  <c r="AE236" i="1"/>
  <c r="AE240" i="1"/>
  <c r="Q16" i="1"/>
  <c r="AI16" i="1"/>
  <c r="AI17" i="1"/>
  <c r="Q18" i="1"/>
  <c r="AI18" i="1"/>
  <c r="Q19" i="1"/>
  <c r="AI19" i="1"/>
  <c r="Q20" i="1"/>
  <c r="AI20" i="1"/>
  <c r="AI21" i="1"/>
  <c r="AI22" i="1"/>
  <c r="AI23" i="1"/>
  <c r="AI24" i="1"/>
  <c r="Q25" i="1"/>
  <c r="AI25" i="1"/>
  <c r="AI26" i="1"/>
  <c r="AI27" i="1"/>
  <c r="AI28" i="1"/>
  <c r="Q29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Q45" i="1"/>
  <c r="AI45" i="1"/>
  <c r="AI46" i="1"/>
  <c r="AI47" i="1"/>
  <c r="Q48" i="1"/>
  <c r="AI48" i="1"/>
  <c r="AI49" i="1"/>
  <c r="AI50" i="1"/>
  <c r="AI51" i="1"/>
  <c r="Q52" i="1"/>
  <c r="AI52" i="1"/>
  <c r="Q53" i="1"/>
  <c r="AI53" i="1"/>
  <c r="Q54" i="1"/>
  <c r="AI54" i="1"/>
  <c r="Q55" i="1"/>
  <c r="AI55" i="1"/>
  <c r="AI56" i="1"/>
  <c r="AI57" i="1"/>
  <c r="Q58" i="1"/>
  <c r="AI58" i="1"/>
  <c r="AI59" i="1"/>
  <c r="Q60" i="1"/>
  <c r="AI60" i="1"/>
  <c r="Q61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Q76" i="1"/>
  <c r="AI76" i="1"/>
  <c r="AI77" i="1"/>
  <c r="AI78" i="1"/>
  <c r="AI79" i="1"/>
  <c r="Q80" i="1"/>
  <c r="AI80" i="1"/>
  <c r="Q81" i="1"/>
  <c r="AI81" i="1"/>
  <c r="AI82" i="1"/>
  <c r="Q83" i="1"/>
  <c r="AI83" i="1"/>
  <c r="Q84" i="1"/>
  <c r="AI84" i="1"/>
  <c r="Q85" i="1"/>
  <c r="AI85" i="1"/>
  <c r="AI86" i="1"/>
  <c r="AI87" i="1"/>
  <c r="AI88" i="1"/>
  <c r="AI89" i="1"/>
  <c r="AI90" i="1"/>
  <c r="AI91" i="1"/>
  <c r="AI92" i="1"/>
  <c r="AI93" i="1"/>
  <c r="AI94" i="1"/>
  <c r="Q95" i="1"/>
  <c r="AI95" i="1"/>
  <c r="Q96" i="1"/>
  <c r="AI96" i="1"/>
  <c r="AI97" i="1"/>
  <c r="Q98" i="1"/>
  <c r="AI98" i="1"/>
  <c r="Q99" i="1"/>
  <c r="AI99" i="1"/>
  <c r="Q100" i="1"/>
  <c r="AI100" i="1"/>
  <c r="Q101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Q118" i="1"/>
  <c r="AI118" i="1"/>
  <c r="Q119" i="1"/>
  <c r="AI119" i="1"/>
  <c r="AI120" i="1"/>
  <c r="AI121" i="1"/>
  <c r="AI122" i="1"/>
  <c r="AI123" i="1"/>
  <c r="AI124" i="1"/>
  <c r="AI125" i="1"/>
  <c r="AI126" i="1"/>
  <c r="Q127" i="1"/>
  <c r="AI127" i="1"/>
  <c r="AI128" i="1"/>
  <c r="AI129" i="1"/>
  <c r="AI130" i="1"/>
  <c r="Q131" i="1"/>
  <c r="AI131" i="1"/>
  <c r="Q132" i="1"/>
  <c r="AI132" i="1"/>
  <c r="AI133" i="1"/>
  <c r="Q134" i="1"/>
  <c r="AI134" i="1"/>
  <c r="AI135" i="1"/>
  <c r="AI136" i="1"/>
  <c r="AI137" i="1"/>
  <c r="AI138" i="1"/>
  <c r="AI139" i="1"/>
  <c r="AI140" i="1"/>
  <c r="AI141" i="1"/>
  <c r="AI142" i="1"/>
  <c r="AI143" i="1"/>
  <c r="AI144" i="1"/>
  <c r="Q145" i="1"/>
  <c r="AI145" i="1"/>
  <c r="Q146" i="1"/>
  <c r="AI146" i="1"/>
  <c r="AI147" i="1"/>
  <c r="AI148" i="1"/>
  <c r="AI149" i="1"/>
  <c r="Q150" i="1"/>
  <c r="AI150" i="1"/>
  <c r="Q151" i="1"/>
  <c r="AI151" i="1"/>
  <c r="AI152" i="1"/>
  <c r="AI153" i="1"/>
  <c r="AI154" i="1"/>
  <c r="AI155" i="1"/>
  <c r="AI156" i="1"/>
  <c r="Q157" i="1"/>
  <c r="AI157" i="1"/>
  <c r="Q158" i="1"/>
  <c r="AI158" i="1"/>
  <c r="AI159" i="1"/>
  <c r="AI160" i="1"/>
  <c r="Q161" i="1"/>
  <c r="AI161" i="1"/>
  <c r="Q162" i="1"/>
  <c r="AI162" i="1"/>
  <c r="AI163" i="1"/>
  <c r="AI164" i="1"/>
  <c r="Q165" i="1"/>
  <c r="AI165" i="1"/>
  <c r="Q166" i="1"/>
  <c r="AI166" i="1"/>
  <c r="Q167" i="1"/>
  <c r="AI167" i="1"/>
  <c r="Q168" i="1"/>
  <c r="AI168" i="1"/>
  <c r="AI169" i="1"/>
  <c r="AI170" i="1"/>
  <c r="AI171" i="1"/>
  <c r="AI172" i="1"/>
  <c r="AI173" i="1"/>
  <c r="Q174" i="1"/>
  <c r="AI174" i="1"/>
  <c r="AI175" i="1"/>
  <c r="AI176" i="1"/>
  <c r="AI177" i="1"/>
  <c r="AI178" i="1"/>
  <c r="AI179" i="1"/>
  <c r="Q180" i="1"/>
  <c r="AI180" i="1"/>
  <c r="AI181" i="1"/>
  <c r="AI182" i="1"/>
  <c r="Q183" i="1"/>
  <c r="AI183" i="1"/>
  <c r="AI184" i="1"/>
  <c r="Q185" i="1"/>
  <c r="AI185" i="1"/>
  <c r="AI186" i="1"/>
  <c r="AI187" i="1"/>
  <c r="Q188" i="1"/>
  <c r="AI188" i="1"/>
  <c r="AI189" i="1"/>
  <c r="Q190" i="1"/>
  <c r="AI190" i="1"/>
  <c r="AI191" i="1"/>
  <c r="AI192" i="1"/>
  <c r="AI193" i="1"/>
  <c r="Q194" i="1"/>
  <c r="AI194" i="1"/>
  <c r="Q195" i="1"/>
  <c r="AI195" i="1"/>
  <c r="Q196" i="1"/>
  <c r="AI196" i="1"/>
  <c r="AI197" i="1"/>
  <c r="Q198" i="1"/>
  <c r="AI198" i="1"/>
  <c r="AI199" i="1"/>
  <c r="AI200" i="1"/>
  <c r="AI201" i="1"/>
  <c r="AI202" i="1"/>
  <c r="AI203" i="1"/>
  <c r="Q204" i="1"/>
  <c r="AI204" i="1"/>
  <c r="Q205" i="1"/>
  <c r="AI205" i="1"/>
  <c r="Q206" i="1"/>
  <c r="AI206" i="1"/>
  <c r="Q207" i="1"/>
  <c r="AI207" i="1"/>
  <c r="Q208" i="1"/>
  <c r="AI208" i="1"/>
  <c r="Q209" i="1"/>
  <c r="AI209" i="1"/>
  <c r="AI210" i="1"/>
  <c r="Q211" i="1"/>
  <c r="AI211" i="1"/>
  <c r="AI212" i="1"/>
  <c r="AI213" i="1"/>
  <c r="AI214" i="1"/>
  <c r="AI215" i="1"/>
  <c r="AI216" i="1"/>
  <c r="AI217" i="1"/>
  <c r="AI218" i="1"/>
  <c r="AI219" i="1"/>
  <c r="Q220" i="1"/>
  <c r="AI220" i="1"/>
  <c r="AI221" i="1"/>
  <c r="AI222" i="1"/>
  <c r="AI223" i="1"/>
  <c r="Q224" i="1"/>
  <c r="AI224" i="1"/>
  <c r="Q225" i="1"/>
  <c r="AI225" i="1"/>
  <c r="Q226" i="1"/>
  <c r="AI226" i="1"/>
  <c r="Q227" i="1"/>
  <c r="AI227" i="1"/>
  <c r="AI228" i="1"/>
  <c r="Q229" i="1"/>
  <c r="AI229" i="1"/>
  <c r="AI230" i="1"/>
  <c r="AI231" i="1"/>
  <c r="AI232" i="1"/>
  <c r="AI233" i="1"/>
  <c r="AI234" i="1"/>
  <c r="AI235" i="1"/>
  <c r="AI236" i="1"/>
  <c r="AI240" i="1"/>
  <c r="AI242" i="1"/>
  <c r="AD16" i="1"/>
  <c r="E17" i="1"/>
  <c r="F17" i="1"/>
  <c r="J17" i="1"/>
  <c r="AD17" i="1"/>
  <c r="AD18" i="1"/>
  <c r="AD19" i="1"/>
  <c r="AD20" i="1"/>
  <c r="F21" i="1"/>
  <c r="J21" i="1"/>
  <c r="AD21" i="1"/>
  <c r="F22" i="1"/>
  <c r="J22" i="1"/>
  <c r="AD22" i="1"/>
  <c r="F23" i="1"/>
  <c r="J23" i="1"/>
  <c r="AD23" i="1"/>
  <c r="F24" i="1"/>
  <c r="J24" i="1"/>
  <c r="AD24" i="1"/>
  <c r="AD25" i="1"/>
  <c r="F26" i="1"/>
  <c r="J26" i="1"/>
  <c r="AD26" i="1"/>
  <c r="F27" i="1"/>
  <c r="J27" i="1"/>
  <c r="AD27" i="1"/>
  <c r="F28" i="1"/>
  <c r="J28" i="1"/>
  <c r="AD28" i="1"/>
  <c r="AD29" i="1"/>
  <c r="F30" i="1"/>
  <c r="J30" i="1"/>
  <c r="AD30" i="1"/>
  <c r="F31" i="1"/>
  <c r="J31" i="1"/>
  <c r="AD31" i="1"/>
  <c r="F32" i="1"/>
  <c r="J32" i="1"/>
  <c r="AD32" i="1"/>
  <c r="F33" i="1"/>
  <c r="J33" i="1"/>
  <c r="AD33" i="1"/>
  <c r="F34" i="1"/>
  <c r="J34" i="1"/>
  <c r="AD34" i="1"/>
  <c r="F35" i="1"/>
  <c r="J35" i="1"/>
  <c r="AD35" i="1"/>
  <c r="F36" i="1"/>
  <c r="J36" i="1"/>
  <c r="AD36" i="1"/>
  <c r="F37" i="1"/>
  <c r="J37" i="1"/>
  <c r="AD37" i="1"/>
  <c r="F38" i="1"/>
  <c r="J38" i="1"/>
  <c r="AD38" i="1"/>
  <c r="F39" i="1"/>
  <c r="J39" i="1"/>
  <c r="AD39" i="1"/>
  <c r="F40" i="1"/>
  <c r="J40" i="1"/>
  <c r="AD40" i="1"/>
  <c r="AD41" i="1"/>
  <c r="AD42" i="1"/>
  <c r="F43" i="1"/>
  <c r="J43" i="1"/>
  <c r="AD43" i="1"/>
  <c r="F44" i="1"/>
  <c r="J44" i="1"/>
  <c r="AD44" i="1"/>
  <c r="AD45" i="1"/>
  <c r="F46" i="1"/>
  <c r="J46" i="1"/>
  <c r="AD46" i="1"/>
  <c r="F47" i="1"/>
  <c r="J47" i="1"/>
  <c r="AD47" i="1"/>
  <c r="AD48" i="1"/>
  <c r="F49" i="1"/>
  <c r="J49" i="1"/>
  <c r="AD49" i="1"/>
  <c r="F50" i="1"/>
  <c r="J50" i="1"/>
  <c r="AD50" i="1"/>
  <c r="F51" i="1"/>
  <c r="J51" i="1"/>
  <c r="AD51" i="1"/>
  <c r="AD52" i="1"/>
  <c r="AD53" i="1"/>
  <c r="AD54" i="1"/>
  <c r="AD55" i="1"/>
  <c r="F56" i="1"/>
  <c r="J56" i="1"/>
  <c r="AD56" i="1"/>
  <c r="F57" i="1"/>
  <c r="J57" i="1"/>
  <c r="AD57" i="1"/>
  <c r="AD58" i="1"/>
  <c r="F59" i="1"/>
  <c r="J59" i="1"/>
  <c r="AD59" i="1"/>
  <c r="AD60" i="1"/>
  <c r="AD61" i="1"/>
  <c r="AD62" i="1"/>
  <c r="F63" i="1"/>
  <c r="J63" i="1"/>
  <c r="AD63" i="1"/>
  <c r="F64" i="1"/>
  <c r="J64" i="1"/>
  <c r="AD64" i="1"/>
  <c r="F65" i="1"/>
  <c r="J65" i="1"/>
  <c r="AD65" i="1"/>
  <c r="F66" i="1"/>
  <c r="J66" i="1"/>
  <c r="AD66" i="1"/>
  <c r="F67" i="1"/>
  <c r="J67" i="1"/>
  <c r="AD67" i="1"/>
  <c r="F68" i="1"/>
  <c r="J68" i="1"/>
  <c r="AD68" i="1"/>
  <c r="F69" i="1"/>
  <c r="J69" i="1"/>
  <c r="AD69" i="1"/>
  <c r="F70" i="1"/>
  <c r="J70" i="1"/>
  <c r="AD70" i="1"/>
  <c r="F71" i="1"/>
  <c r="J71" i="1"/>
  <c r="AD71" i="1"/>
  <c r="F72" i="1"/>
  <c r="J72" i="1"/>
  <c r="AD72" i="1"/>
  <c r="F73" i="1"/>
  <c r="J73" i="1"/>
  <c r="AD73" i="1"/>
  <c r="F74" i="1"/>
  <c r="J74" i="1"/>
  <c r="AD74" i="1"/>
  <c r="F75" i="1"/>
  <c r="J75" i="1"/>
  <c r="AD75" i="1"/>
  <c r="AD76" i="1"/>
  <c r="F77" i="1"/>
  <c r="J77" i="1"/>
  <c r="AD77" i="1"/>
  <c r="F78" i="1"/>
  <c r="J78" i="1"/>
  <c r="AD78" i="1"/>
  <c r="F79" i="1"/>
  <c r="J79" i="1"/>
  <c r="AD79" i="1"/>
  <c r="AD80" i="1"/>
  <c r="AD81" i="1"/>
  <c r="F82" i="1"/>
  <c r="J82" i="1"/>
  <c r="AD82" i="1"/>
  <c r="AD83" i="1"/>
  <c r="AD84" i="1"/>
  <c r="AD85" i="1"/>
  <c r="F86" i="1"/>
  <c r="J86" i="1"/>
  <c r="AD86" i="1"/>
  <c r="F87" i="1"/>
  <c r="J87" i="1"/>
  <c r="AD87" i="1"/>
  <c r="F88" i="1"/>
  <c r="J88" i="1"/>
  <c r="AD88" i="1"/>
  <c r="F89" i="1"/>
  <c r="J89" i="1"/>
  <c r="AD89" i="1"/>
  <c r="F90" i="1"/>
  <c r="J90" i="1"/>
  <c r="AD90" i="1"/>
  <c r="F91" i="1"/>
  <c r="J91" i="1"/>
  <c r="AD91" i="1"/>
  <c r="F92" i="1"/>
  <c r="J92" i="1"/>
  <c r="AD92" i="1"/>
  <c r="AD93" i="1"/>
  <c r="AD94" i="1"/>
  <c r="AD95" i="1"/>
  <c r="AD96" i="1"/>
  <c r="F97" i="1"/>
  <c r="J97" i="1"/>
  <c r="AD97" i="1"/>
  <c r="AD98" i="1"/>
  <c r="AD99" i="1"/>
  <c r="AD100" i="1"/>
  <c r="AD101" i="1"/>
  <c r="F102" i="1"/>
  <c r="J102" i="1"/>
  <c r="AD102" i="1"/>
  <c r="AD103" i="1"/>
  <c r="F104" i="1"/>
  <c r="J104" i="1"/>
  <c r="AD104" i="1"/>
  <c r="F105" i="1"/>
  <c r="J105" i="1"/>
  <c r="AD105" i="1"/>
  <c r="F106" i="1"/>
  <c r="J106" i="1"/>
  <c r="AD106" i="1"/>
  <c r="F107" i="1"/>
  <c r="J107" i="1"/>
  <c r="AD107" i="1"/>
  <c r="F108" i="1"/>
  <c r="J108" i="1"/>
  <c r="AD108" i="1"/>
  <c r="F109" i="1"/>
  <c r="J109" i="1"/>
  <c r="AD109" i="1"/>
  <c r="F110" i="1"/>
  <c r="J110" i="1"/>
  <c r="AD110" i="1"/>
  <c r="F111" i="1"/>
  <c r="J111" i="1"/>
  <c r="AD111" i="1"/>
  <c r="F112" i="1"/>
  <c r="J112" i="1"/>
  <c r="AD112" i="1"/>
  <c r="F113" i="1"/>
  <c r="J113" i="1"/>
  <c r="AD113" i="1"/>
  <c r="F114" i="1"/>
  <c r="I114" i="1"/>
  <c r="J114" i="1"/>
  <c r="AD114" i="1"/>
  <c r="F115" i="1"/>
  <c r="J115" i="1"/>
  <c r="AD115" i="1"/>
  <c r="F116" i="1"/>
  <c r="J116" i="1"/>
  <c r="AD116" i="1"/>
  <c r="F117" i="1"/>
  <c r="J117" i="1"/>
  <c r="AD117" i="1"/>
  <c r="AD118" i="1"/>
  <c r="AD119" i="1"/>
  <c r="F120" i="1"/>
  <c r="J120" i="1"/>
  <c r="AD120" i="1"/>
  <c r="F121" i="1"/>
  <c r="J121" i="1"/>
  <c r="AD121" i="1"/>
  <c r="F122" i="1"/>
  <c r="J122" i="1"/>
  <c r="AD122" i="1"/>
  <c r="F123" i="1"/>
  <c r="J123" i="1"/>
  <c r="AD123" i="1"/>
  <c r="F124" i="1"/>
  <c r="J124" i="1"/>
  <c r="AD124" i="1"/>
  <c r="F125" i="1"/>
  <c r="J125" i="1"/>
  <c r="AD125" i="1"/>
  <c r="F126" i="1"/>
  <c r="J126" i="1"/>
  <c r="AD126" i="1"/>
  <c r="AD127" i="1"/>
  <c r="F128" i="1"/>
  <c r="J128" i="1"/>
  <c r="AD128" i="1"/>
  <c r="F129" i="1"/>
  <c r="J129" i="1"/>
  <c r="AD129" i="1"/>
  <c r="AD130" i="1"/>
  <c r="AD131" i="1"/>
  <c r="AD132" i="1"/>
  <c r="F133" i="1"/>
  <c r="J133" i="1"/>
  <c r="AD133" i="1"/>
  <c r="AD134" i="1"/>
  <c r="F135" i="1"/>
  <c r="J135" i="1"/>
  <c r="AD135" i="1"/>
  <c r="F136" i="1"/>
  <c r="J136" i="1"/>
  <c r="AD136" i="1"/>
  <c r="F137" i="1"/>
  <c r="J137" i="1"/>
  <c r="AD137" i="1"/>
  <c r="F138" i="1"/>
  <c r="J138" i="1"/>
  <c r="AD138" i="1"/>
  <c r="F139" i="1"/>
  <c r="J139" i="1"/>
  <c r="AD139" i="1"/>
  <c r="F140" i="1"/>
  <c r="J140" i="1"/>
  <c r="AD140" i="1"/>
  <c r="F141" i="1"/>
  <c r="J141" i="1"/>
  <c r="AD141" i="1"/>
  <c r="F142" i="1"/>
  <c r="J142" i="1"/>
  <c r="AD142" i="1"/>
  <c r="F143" i="1"/>
  <c r="J143" i="1"/>
  <c r="AD143" i="1"/>
  <c r="F144" i="1"/>
  <c r="J144" i="1"/>
  <c r="AD144" i="1"/>
  <c r="AD145" i="1"/>
  <c r="AD146" i="1"/>
  <c r="F147" i="1"/>
  <c r="J147" i="1"/>
  <c r="AD147" i="1"/>
  <c r="F148" i="1"/>
  <c r="J148" i="1"/>
  <c r="AD148" i="1"/>
  <c r="AD149" i="1"/>
  <c r="AD150" i="1"/>
  <c r="AD151" i="1"/>
  <c r="F152" i="1"/>
  <c r="J152" i="1"/>
  <c r="AD152" i="1"/>
  <c r="AD153" i="1"/>
  <c r="F154" i="1"/>
  <c r="J154" i="1"/>
  <c r="AD154" i="1"/>
  <c r="F155" i="1"/>
  <c r="J155" i="1"/>
  <c r="AD155" i="1"/>
  <c r="AD156" i="1"/>
  <c r="AD157" i="1"/>
  <c r="AD158" i="1"/>
  <c r="AD159" i="1"/>
  <c r="F160" i="1"/>
  <c r="J160" i="1"/>
  <c r="AD160" i="1"/>
  <c r="AD161" i="1"/>
  <c r="AD162" i="1"/>
  <c r="F163" i="1"/>
  <c r="J163" i="1"/>
  <c r="AD163" i="1"/>
  <c r="F164" i="1"/>
  <c r="J164" i="1"/>
  <c r="AD164" i="1"/>
  <c r="AD165" i="1"/>
  <c r="AD166" i="1"/>
  <c r="AD167" i="1"/>
  <c r="AD168" i="1"/>
  <c r="F169" i="1"/>
  <c r="J169" i="1"/>
  <c r="AD169" i="1"/>
  <c r="F170" i="1"/>
  <c r="J170" i="1"/>
  <c r="AD170" i="1"/>
  <c r="F171" i="1"/>
  <c r="J171" i="1"/>
  <c r="AD171" i="1"/>
  <c r="F172" i="1"/>
  <c r="J172" i="1"/>
  <c r="AD172" i="1"/>
  <c r="F173" i="1"/>
  <c r="J173" i="1"/>
  <c r="AD173" i="1"/>
  <c r="AD174" i="1"/>
  <c r="F175" i="1"/>
  <c r="J175" i="1"/>
  <c r="AD175" i="1"/>
  <c r="F176" i="1"/>
  <c r="J176" i="1"/>
  <c r="AD176" i="1"/>
  <c r="F177" i="1"/>
  <c r="J177" i="1"/>
  <c r="AD177" i="1"/>
  <c r="F178" i="1"/>
  <c r="J178" i="1"/>
  <c r="AD178" i="1"/>
  <c r="F179" i="1"/>
  <c r="J179" i="1"/>
  <c r="AD179" i="1"/>
  <c r="AD180" i="1"/>
  <c r="F181" i="1"/>
  <c r="J181" i="1"/>
  <c r="AD181" i="1"/>
  <c r="F182" i="1"/>
  <c r="J182" i="1"/>
  <c r="AD182" i="1"/>
  <c r="AD183" i="1"/>
  <c r="F184" i="1"/>
  <c r="J184" i="1"/>
  <c r="AD184" i="1"/>
  <c r="AD185" i="1"/>
  <c r="AD186" i="1"/>
  <c r="F187" i="1"/>
  <c r="I187" i="1"/>
  <c r="J187" i="1"/>
  <c r="AD187" i="1"/>
  <c r="AD188" i="1"/>
  <c r="F189" i="1"/>
  <c r="J189" i="1"/>
  <c r="AD189" i="1"/>
  <c r="AD190" i="1"/>
  <c r="F191" i="1"/>
  <c r="J191" i="1"/>
  <c r="AD191" i="1"/>
  <c r="F192" i="1"/>
  <c r="J192" i="1"/>
  <c r="AD192" i="1"/>
  <c r="F193" i="1"/>
  <c r="J193" i="1"/>
  <c r="AD193" i="1"/>
  <c r="AD194" i="1"/>
  <c r="AD195" i="1"/>
  <c r="AD196" i="1"/>
  <c r="F197" i="1"/>
  <c r="J197" i="1"/>
  <c r="AD197" i="1"/>
  <c r="AD198" i="1"/>
  <c r="F199" i="1"/>
  <c r="J199" i="1"/>
  <c r="AD199" i="1"/>
  <c r="F200" i="1"/>
  <c r="J200" i="1"/>
  <c r="AD200" i="1"/>
  <c r="E201" i="1"/>
  <c r="F201" i="1"/>
  <c r="J201" i="1"/>
  <c r="AD201" i="1"/>
  <c r="F202" i="1"/>
  <c r="J202" i="1"/>
  <c r="AD202" i="1"/>
  <c r="F203" i="1"/>
  <c r="J203" i="1"/>
  <c r="AD203" i="1"/>
  <c r="AD204" i="1"/>
  <c r="AD205" i="1"/>
  <c r="AD206" i="1"/>
  <c r="AD207" i="1"/>
  <c r="AD208" i="1"/>
  <c r="AD209" i="1"/>
  <c r="AD210" i="1"/>
  <c r="AD211" i="1"/>
  <c r="F212" i="1"/>
  <c r="J212" i="1"/>
  <c r="AD212" i="1"/>
  <c r="AD213" i="1"/>
  <c r="F214" i="1"/>
  <c r="J214" i="1"/>
  <c r="AD214" i="1"/>
  <c r="F215" i="1"/>
  <c r="J215" i="1"/>
  <c r="AD215" i="1"/>
  <c r="F216" i="1"/>
  <c r="J216" i="1"/>
  <c r="AD216" i="1"/>
  <c r="AD217" i="1"/>
  <c r="F218" i="1"/>
  <c r="J218" i="1"/>
  <c r="AD218" i="1"/>
  <c r="F219" i="1"/>
  <c r="J219" i="1"/>
  <c r="AD219" i="1"/>
  <c r="AD220" i="1"/>
  <c r="AD221" i="1"/>
  <c r="F222" i="1"/>
  <c r="J222" i="1"/>
  <c r="AD222" i="1"/>
  <c r="E223" i="1"/>
  <c r="F223" i="1"/>
  <c r="J223" i="1"/>
  <c r="AD223" i="1"/>
  <c r="AD224" i="1"/>
  <c r="AD225" i="1"/>
  <c r="AD226" i="1"/>
  <c r="AD227" i="1"/>
  <c r="F228" i="1"/>
  <c r="J228" i="1"/>
  <c r="AD228" i="1"/>
  <c r="AD229" i="1"/>
  <c r="F230" i="1"/>
  <c r="J230" i="1"/>
  <c r="AD230" i="1"/>
  <c r="F231" i="1"/>
  <c r="J231" i="1"/>
  <c r="AD231" i="1"/>
  <c r="F232" i="1"/>
  <c r="J232" i="1"/>
  <c r="AD232" i="1"/>
  <c r="AD233" i="1"/>
  <c r="AD234" i="1"/>
  <c r="F235" i="1"/>
  <c r="J235" i="1"/>
  <c r="AD235" i="1"/>
  <c r="AD236" i="1"/>
  <c r="AD240" i="1"/>
  <c r="AH16" i="1"/>
  <c r="Q17" i="1"/>
  <c r="AH17" i="1"/>
  <c r="AH18" i="1"/>
  <c r="AH19" i="1"/>
  <c r="AH20" i="1"/>
  <c r="Q21" i="1"/>
  <c r="AH21" i="1"/>
  <c r="Q22" i="1"/>
  <c r="AH22" i="1"/>
  <c r="Q23" i="1"/>
  <c r="AH23" i="1"/>
  <c r="Q24" i="1"/>
  <c r="AH24" i="1"/>
  <c r="AH25" i="1"/>
  <c r="Q26" i="1"/>
  <c r="AH26" i="1"/>
  <c r="Q27" i="1"/>
  <c r="AH27" i="1"/>
  <c r="Q28" i="1"/>
  <c r="AH28" i="1"/>
  <c r="AH29" i="1"/>
  <c r="Q30" i="1"/>
  <c r="AH30" i="1"/>
  <c r="Q31" i="1"/>
  <c r="AH31" i="1"/>
  <c r="Q32" i="1"/>
  <c r="AH32" i="1"/>
  <c r="Q33" i="1"/>
  <c r="AH33" i="1"/>
  <c r="Q34" i="1"/>
  <c r="AH34" i="1"/>
  <c r="Q35" i="1"/>
  <c r="AH35" i="1"/>
  <c r="Q36" i="1"/>
  <c r="AH36" i="1"/>
  <c r="Q37" i="1"/>
  <c r="AH37" i="1"/>
  <c r="Q38" i="1"/>
  <c r="AH38" i="1"/>
  <c r="Q39" i="1"/>
  <c r="AH39" i="1"/>
  <c r="Q40" i="1"/>
  <c r="AH40" i="1"/>
  <c r="AH41" i="1"/>
  <c r="AH42" i="1"/>
  <c r="Q43" i="1"/>
  <c r="AH43" i="1"/>
  <c r="Q44" i="1"/>
  <c r="AH44" i="1"/>
  <c r="AH45" i="1"/>
  <c r="Q46" i="1"/>
  <c r="AH46" i="1"/>
  <c r="Q47" i="1"/>
  <c r="AH47" i="1"/>
  <c r="AH48" i="1"/>
  <c r="Q49" i="1"/>
  <c r="AH49" i="1"/>
  <c r="Q50" i="1"/>
  <c r="AH50" i="1"/>
  <c r="Q51" i="1"/>
  <c r="AH51" i="1"/>
  <c r="AH52" i="1"/>
  <c r="AH53" i="1"/>
  <c r="AH54" i="1"/>
  <c r="AH55" i="1"/>
  <c r="Q56" i="1"/>
  <c r="AH56" i="1"/>
  <c r="Q57" i="1"/>
  <c r="AH57" i="1"/>
  <c r="AH58" i="1"/>
  <c r="Q59" i="1"/>
  <c r="AH59" i="1"/>
  <c r="AH60" i="1"/>
  <c r="AH61" i="1"/>
  <c r="AH62" i="1"/>
  <c r="Q63" i="1"/>
  <c r="AH63" i="1"/>
  <c r="Q64" i="1"/>
  <c r="AH64" i="1"/>
  <c r="Q65" i="1"/>
  <c r="AH65" i="1"/>
  <c r="Q66" i="1"/>
  <c r="AH66" i="1"/>
  <c r="Q67" i="1"/>
  <c r="AH67" i="1"/>
  <c r="Q68" i="1"/>
  <c r="AH68" i="1"/>
  <c r="Q69" i="1"/>
  <c r="AH69" i="1"/>
  <c r="Q70" i="1"/>
  <c r="AH70" i="1"/>
  <c r="Q71" i="1"/>
  <c r="AH71" i="1"/>
  <c r="Q72" i="1"/>
  <c r="AH72" i="1"/>
  <c r="Q73" i="1"/>
  <c r="AH73" i="1"/>
  <c r="Q74" i="1"/>
  <c r="AH74" i="1"/>
  <c r="Q75" i="1"/>
  <c r="AH75" i="1"/>
  <c r="AH76" i="1"/>
  <c r="Q77" i="1"/>
  <c r="AH77" i="1"/>
  <c r="Q78" i="1"/>
  <c r="AH78" i="1"/>
  <c r="Q79" i="1"/>
  <c r="AH79" i="1"/>
  <c r="AH80" i="1"/>
  <c r="AH81" i="1"/>
  <c r="Q82" i="1"/>
  <c r="AH82" i="1"/>
  <c r="AH83" i="1"/>
  <c r="AH84" i="1"/>
  <c r="AH85" i="1"/>
  <c r="Q86" i="1"/>
  <c r="AH86" i="1"/>
  <c r="Q87" i="1"/>
  <c r="AH87" i="1"/>
  <c r="Q88" i="1"/>
  <c r="AH88" i="1"/>
  <c r="Q89" i="1"/>
  <c r="AH89" i="1"/>
  <c r="Q90" i="1"/>
  <c r="AH90" i="1"/>
  <c r="Q91" i="1"/>
  <c r="AH91" i="1"/>
  <c r="Q92" i="1"/>
  <c r="AH92" i="1"/>
  <c r="AH93" i="1"/>
  <c r="AH94" i="1"/>
  <c r="AH95" i="1"/>
  <c r="AH96" i="1"/>
  <c r="Q97" i="1"/>
  <c r="AH97" i="1"/>
  <c r="AH98" i="1"/>
  <c r="AH99" i="1"/>
  <c r="AH100" i="1"/>
  <c r="AH101" i="1"/>
  <c r="Q102" i="1"/>
  <c r="AH102" i="1"/>
  <c r="AH103" i="1"/>
  <c r="Q104" i="1"/>
  <c r="AH104" i="1"/>
  <c r="Q105" i="1"/>
  <c r="AH105" i="1"/>
  <c r="Q106" i="1"/>
  <c r="AH106" i="1"/>
  <c r="Q107" i="1"/>
  <c r="AH107" i="1"/>
  <c r="Q108" i="1"/>
  <c r="AH108" i="1"/>
  <c r="Q109" i="1"/>
  <c r="AH109" i="1"/>
  <c r="Q110" i="1"/>
  <c r="AH110" i="1"/>
  <c r="Q111" i="1"/>
  <c r="AH111" i="1"/>
  <c r="Q112" i="1"/>
  <c r="AH112" i="1"/>
  <c r="Q113" i="1"/>
  <c r="AH113" i="1"/>
  <c r="Q114" i="1"/>
  <c r="AH114" i="1"/>
  <c r="Q115" i="1"/>
  <c r="AH115" i="1"/>
  <c r="Q116" i="1"/>
  <c r="AH116" i="1"/>
  <c r="Q117" i="1"/>
  <c r="AH117" i="1"/>
  <c r="AH118" i="1"/>
  <c r="AH119" i="1"/>
  <c r="Q120" i="1"/>
  <c r="AH120" i="1"/>
  <c r="Q121" i="1"/>
  <c r="AH121" i="1"/>
  <c r="Q122" i="1"/>
  <c r="AH122" i="1"/>
  <c r="Q123" i="1"/>
  <c r="AH123" i="1"/>
  <c r="Q124" i="1"/>
  <c r="AH124" i="1"/>
  <c r="Q125" i="1"/>
  <c r="AH125" i="1"/>
  <c r="Q126" i="1"/>
  <c r="AH126" i="1"/>
  <c r="AH127" i="1"/>
  <c r="Q128" i="1"/>
  <c r="AH128" i="1"/>
  <c r="Q129" i="1"/>
  <c r="AH129" i="1"/>
  <c r="AH130" i="1"/>
  <c r="AH131" i="1"/>
  <c r="AH132" i="1"/>
  <c r="Q133" i="1"/>
  <c r="AH133" i="1"/>
  <c r="AH134" i="1"/>
  <c r="Q135" i="1"/>
  <c r="AH135" i="1"/>
  <c r="Q136" i="1"/>
  <c r="AH136" i="1"/>
  <c r="Q137" i="1"/>
  <c r="AH137" i="1"/>
  <c r="Q138" i="1"/>
  <c r="AH138" i="1"/>
  <c r="Q139" i="1"/>
  <c r="AH139" i="1"/>
  <c r="Q140" i="1"/>
  <c r="AH140" i="1"/>
  <c r="Q141" i="1"/>
  <c r="AH141" i="1"/>
  <c r="Q142" i="1"/>
  <c r="AH142" i="1"/>
  <c r="Q143" i="1"/>
  <c r="AH143" i="1"/>
  <c r="Q144" i="1"/>
  <c r="AH144" i="1"/>
  <c r="AH145" i="1"/>
  <c r="AH146" i="1"/>
  <c r="Q147" i="1"/>
  <c r="AH147" i="1"/>
  <c r="Q148" i="1"/>
  <c r="AH148" i="1"/>
  <c r="AH149" i="1"/>
  <c r="AH150" i="1"/>
  <c r="AH151" i="1"/>
  <c r="Q152" i="1"/>
  <c r="AH152" i="1"/>
  <c r="AH153" i="1"/>
  <c r="Q154" i="1"/>
  <c r="AH154" i="1"/>
  <c r="Q155" i="1"/>
  <c r="AH155" i="1"/>
  <c r="AH156" i="1"/>
  <c r="AH157" i="1"/>
  <c r="AH158" i="1"/>
  <c r="AH159" i="1"/>
  <c r="Q160" i="1"/>
  <c r="AH160" i="1"/>
  <c r="AH161" i="1"/>
  <c r="AH162" i="1"/>
  <c r="Q163" i="1"/>
  <c r="AH163" i="1"/>
  <c r="Q164" i="1"/>
  <c r="AH164" i="1"/>
  <c r="AH165" i="1"/>
  <c r="AH166" i="1"/>
  <c r="AH167" i="1"/>
  <c r="AH168" i="1"/>
  <c r="Q169" i="1"/>
  <c r="AH169" i="1"/>
  <c r="Q170" i="1"/>
  <c r="AH170" i="1"/>
  <c r="Q171" i="1"/>
  <c r="AH171" i="1"/>
  <c r="Q172" i="1"/>
  <c r="AH172" i="1"/>
  <c r="Q173" i="1"/>
  <c r="AH173" i="1"/>
  <c r="AH174" i="1"/>
  <c r="Q175" i="1"/>
  <c r="AH175" i="1"/>
  <c r="Q176" i="1"/>
  <c r="AH176" i="1"/>
  <c r="Q177" i="1"/>
  <c r="AH177" i="1"/>
  <c r="Q178" i="1"/>
  <c r="AH178" i="1"/>
  <c r="Q179" i="1"/>
  <c r="AH179" i="1"/>
  <c r="AH180" i="1"/>
  <c r="Q181" i="1"/>
  <c r="AH181" i="1"/>
  <c r="Q182" i="1"/>
  <c r="AH182" i="1"/>
  <c r="AH183" i="1"/>
  <c r="Q184" i="1"/>
  <c r="AH184" i="1"/>
  <c r="AH185" i="1"/>
  <c r="AH186" i="1"/>
  <c r="Q187" i="1"/>
  <c r="AH187" i="1"/>
  <c r="AH188" i="1"/>
  <c r="Q189" i="1"/>
  <c r="AH189" i="1"/>
  <c r="AH190" i="1"/>
  <c r="Q191" i="1"/>
  <c r="AH191" i="1"/>
  <c r="Q192" i="1"/>
  <c r="AH192" i="1"/>
  <c r="Q193" i="1"/>
  <c r="AH193" i="1"/>
  <c r="AH194" i="1"/>
  <c r="AH195" i="1"/>
  <c r="AH196" i="1"/>
  <c r="Q197" i="1"/>
  <c r="AH197" i="1"/>
  <c r="AH198" i="1"/>
  <c r="Q199" i="1"/>
  <c r="AH199" i="1"/>
  <c r="Q200" i="1"/>
  <c r="AH200" i="1"/>
  <c r="Q201" i="1"/>
  <c r="AH201" i="1"/>
  <c r="Q202" i="1"/>
  <c r="AH202" i="1"/>
  <c r="Q203" i="1"/>
  <c r="AH203" i="1"/>
  <c r="AH204" i="1"/>
  <c r="AH205" i="1"/>
  <c r="AH206" i="1"/>
  <c r="AH207" i="1"/>
  <c r="AH208" i="1"/>
  <c r="AH209" i="1"/>
  <c r="AH210" i="1"/>
  <c r="AH211" i="1"/>
  <c r="Q212" i="1"/>
  <c r="AH212" i="1"/>
  <c r="AH213" i="1"/>
  <c r="Q214" i="1"/>
  <c r="AH214" i="1"/>
  <c r="Q215" i="1"/>
  <c r="AH215" i="1"/>
  <c r="Q216" i="1"/>
  <c r="AH216" i="1"/>
  <c r="AH217" i="1"/>
  <c r="Q218" i="1"/>
  <c r="AH218" i="1"/>
  <c r="Q219" i="1"/>
  <c r="AH219" i="1"/>
  <c r="AH220" i="1"/>
  <c r="AH221" i="1"/>
  <c r="Q222" i="1"/>
  <c r="AH222" i="1"/>
  <c r="Q223" i="1"/>
  <c r="AH223" i="1"/>
  <c r="AH224" i="1"/>
  <c r="AH225" i="1"/>
  <c r="AH226" i="1"/>
  <c r="AH227" i="1"/>
  <c r="Q228" i="1"/>
  <c r="AH228" i="1"/>
  <c r="AH229" i="1"/>
  <c r="Q230" i="1"/>
  <c r="AH230" i="1"/>
  <c r="Q231" i="1"/>
  <c r="AH231" i="1"/>
  <c r="Q232" i="1"/>
  <c r="AH232" i="1"/>
  <c r="AH233" i="1"/>
  <c r="AH234" i="1"/>
  <c r="Q235" i="1"/>
  <c r="AH235" i="1"/>
  <c r="AH236" i="1"/>
  <c r="AH240" i="1"/>
  <c r="AH242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F41" i="1"/>
  <c r="J41" i="1"/>
  <c r="AF41" i="1"/>
  <c r="F42" i="1"/>
  <c r="J42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F62" i="1"/>
  <c r="J62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F93" i="1"/>
  <c r="J93" i="1"/>
  <c r="AF93" i="1"/>
  <c r="F94" i="1"/>
  <c r="J94" i="1"/>
  <c r="AF94" i="1"/>
  <c r="AF95" i="1"/>
  <c r="AF96" i="1"/>
  <c r="AF97" i="1"/>
  <c r="AF98" i="1"/>
  <c r="AF99" i="1"/>
  <c r="AF100" i="1"/>
  <c r="AF101" i="1"/>
  <c r="AF102" i="1"/>
  <c r="F103" i="1"/>
  <c r="J103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F130" i="1"/>
  <c r="J130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F149" i="1"/>
  <c r="J149" i="1"/>
  <c r="AF149" i="1"/>
  <c r="AF150" i="1"/>
  <c r="AF151" i="1"/>
  <c r="AF152" i="1"/>
  <c r="F153" i="1"/>
  <c r="J153" i="1"/>
  <c r="AF153" i="1"/>
  <c r="AF154" i="1"/>
  <c r="AF155" i="1"/>
  <c r="F156" i="1"/>
  <c r="J156" i="1"/>
  <c r="AF156" i="1"/>
  <c r="AF157" i="1"/>
  <c r="AF158" i="1"/>
  <c r="F159" i="1"/>
  <c r="J159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F186" i="1"/>
  <c r="J186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F210" i="1"/>
  <c r="J210" i="1"/>
  <c r="AF210" i="1"/>
  <c r="AF211" i="1"/>
  <c r="AF212" i="1"/>
  <c r="F213" i="1"/>
  <c r="J213" i="1"/>
  <c r="AF213" i="1"/>
  <c r="AF214" i="1"/>
  <c r="AF215" i="1"/>
  <c r="AF216" i="1"/>
  <c r="F217" i="1"/>
  <c r="J217" i="1"/>
  <c r="AF217" i="1"/>
  <c r="AF218" i="1"/>
  <c r="AF219" i="1"/>
  <c r="AF220" i="1"/>
  <c r="F221" i="1"/>
  <c r="J221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F233" i="1"/>
  <c r="J233" i="1"/>
  <c r="AF233" i="1"/>
  <c r="F234" i="1"/>
  <c r="J234" i="1"/>
  <c r="AF234" i="1"/>
  <c r="AF235" i="1"/>
  <c r="AF236" i="1"/>
  <c r="AF240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Q41" i="1"/>
  <c r="AJ41" i="1"/>
  <c r="Q42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Q62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Q93" i="1"/>
  <c r="AJ93" i="1"/>
  <c r="Q94" i="1"/>
  <c r="AJ94" i="1"/>
  <c r="AJ95" i="1"/>
  <c r="AJ96" i="1"/>
  <c r="AJ97" i="1"/>
  <c r="AJ98" i="1"/>
  <c r="AJ99" i="1"/>
  <c r="AJ100" i="1"/>
  <c r="AJ101" i="1"/>
  <c r="AJ102" i="1"/>
  <c r="Q103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Q130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Q149" i="1"/>
  <c r="AJ149" i="1"/>
  <c r="AJ150" i="1"/>
  <c r="AJ151" i="1"/>
  <c r="AJ152" i="1"/>
  <c r="Q153" i="1"/>
  <c r="AJ153" i="1"/>
  <c r="AJ154" i="1"/>
  <c r="AJ155" i="1"/>
  <c r="Q156" i="1"/>
  <c r="AJ156" i="1"/>
  <c r="AJ157" i="1"/>
  <c r="AJ158" i="1"/>
  <c r="Q159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Q186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Q210" i="1"/>
  <c r="AJ210" i="1"/>
  <c r="AJ211" i="1"/>
  <c r="AJ212" i="1"/>
  <c r="Q213" i="1"/>
  <c r="AJ213" i="1"/>
  <c r="AJ214" i="1"/>
  <c r="AJ215" i="1"/>
  <c r="AJ216" i="1"/>
  <c r="Q217" i="1"/>
  <c r="AJ217" i="1"/>
  <c r="AJ218" i="1"/>
  <c r="AJ219" i="1"/>
  <c r="AJ220" i="1"/>
  <c r="Q221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Q233" i="1"/>
  <c r="AJ233" i="1"/>
  <c r="Q234" i="1"/>
  <c r="AJ234" i="1"/>
  <c r="AJ235" i="1"/>
  <c r="AJ236" i="1"/>
  <c r="AJ240" i="1"/>
  <c r="AJ242" i="1"/>
  <c r="AI244" i="1"/>
  <c r="AI246" i="1"/>
  <c r="AI250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AA243" i="1"/>
  <c r="AA236" i="1"/>
  <c r="AA244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AA246" i="1"/>
  <c r="AB236" i="1"/>
  <c r="AA247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AA249" i="1"/>
  <c r="AA250" i="1"/>
  <c r="Z241" i="1"/>
  <c r="Z250" i="1"/>
  <c r="J248" i="1"/>
  <c r="J236" i="1"/>
  <c r="J240" i="1"/>
  <c r="M236" i="1"/>
  <c r="L236" i="1"/>
  <c r="M237" i="1"/>
  <c r="J244" i="1"/>
  <c r="J246" i="1"/>
  <c r="J241" i="1"/>
  <c r="J242" i="1"/>
  <c r="J245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40" i="1"/>
  <c r="I236" i="1"/>
  <c r="H236" i="1"/>
  <c r="G236" i="1"/>
  <c r="I237" i="1"/>
  <c r="F236" i="1"/>
  <c r="E236" i="1"/>
  <c r="F237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1" i="1"/>
  <c r="V132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T236" i="1"/>
  <c r="Q236" i="1"/>
  <c r="P236" i="1"/>
  <c r="O236" i="1"/>
  <c r="N236" i="1"/>
  <c r="AC235" i="1"/>
  <c r="AC234" i="1"/>
  <c r="AC233" i="1"/>
  <c r="AC232" i="1"/>
  <c r="AC231" i="1"/>
  <c r="AC230" i="1"/>
  <c r="AC229" i="1"/>
  <c r="AC228" i="1"/>
  <c r="AC227" i="1"/>
  <c r="AC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C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C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C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C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C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</calcChain>
</file>

<file path=xl/comments1.xml><?xml version="1.0" encoding="utf-8"?>
<comments xmlns="http://schemas.openxmlformats.org/spreadsheetml/2006/main">
  <authors>
    <author>mbeauchamp</author>
    <author>Anastasia Lekkas</author>
  </authors>
  <commentList>
    <comment ref="E82" authorId="0">
      <text>
        <r>
          <rPr>
            <b/>
            <sz val="9"/>
            <color indexed="81"/>
            <rFont val="Tahoma"/>
            <family val="2"/>
          </rPr>
          <t>mbeauchamp:</t>
        </r>
        <r>
          <rPr>
            <sz val="9"/>
            <color indexed="81"/>
            <rFont val="Tahoma"/>
            <family val="2"/>
          </rPr>
          <t xml:space="preserve">
Reversing Journal Entry to recognize Dec trueup in Dec</t>
        </r>
      </text>
    </comment>
    <comment ref="D185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AM185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D186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AM186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AC238" authorId="1">
      <text>
        <r>
          <rPr>
            <b/>
            <sz val="8"/>
            <color indexed="81"/>
            <rFont val="Tahoma"/>
            <family val="2"/>
          </rPr>
          <t>Anastasia Lekkas:</t>
        </r>
        <r>
          <rPr>
            <sz val="8"/>
            <color indexed="81"/>
            <rFont val="Tahoma"/>
            <family val="2"/>
          </rPr>
          <t xml:space="preserve">
Reclass YouTube to Video
</t>
        </r>
      </text>
    </comment>
    <comment ref="AC239" authorId="1">
      <text>
        <r>
          <rPr>
            <b/>
            <sz val="8"/>
            <color indexed="81"/>
            <rFont val="Tahoma"/>
            <family val="2"/>
          </rPr>
          <t>Anastasia Lekkas:</t>
        </r>
        <r>
          <rPr>
            <sz val="8"/>
            <color indexed="81"/>
            <rFont val="Tahoma"/>
            <family val="2"/>
          </rPr>
          <t xml:space="preserve">
Reclass Itunes to Video
</t>
        </r>
      </text>
    </comment>
  </commentList>
</comments>
</file>

<file path=xl/comments2.xml><?xml version="1.0" encoding="utf-8"?>
<comments xmlns="http://schemas.openxmlformats.org/spreadsheetml/2006/main">
  <authors>
    <author>mbeauchamp</author>
    <author>Anastasia Lekkas</author>
  </authors>
  <commentList>
    <comment ref="E82" authorId="0">
      <text>
        <r>
          <rPr>
            <b/>
            <sz val="9"/>
            <color indexed="81"/>
            <rFont val="Tahoma"/>
            <family val="2"/>
          </rPr>
          <t>mbeauchamp:</t>
        </r>
        <r>
          <rPr>
            <sz val="9"/>
            <color indexed="81"/>
            <rFont val="Tahoma"/>
            <family val="2"/>
          </rPr>
          <t xml:space="preserve">
Reversing Journal Entry to recognize Dec trueup in Dec</t>
        </r>
      </text>
    </comment>
    <comment ref="D185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AM185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D186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AM186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AC238" authorId="1">
      <text>
        <r>
          <rPr>
            <b/>
            <sz val="8"/>
            <color indexed="81"/>
            <rFont val="Tahoma"/>
            <family val="2"/>
          </rPr>
          <t>Anastasia Lekkas:</t>
        </r>
        <r>
          <rPr>
            <sz val="8"/>
            <color indexed="81"/>
            <rFont val="Tahoma"/>
            <family val="2"/>
          </rPr>
          <t xml:space="preserve">
Reclass YouTube to Video
</t>
        </r>
      </text>
    </comment>
    <comment ref="AC239" authorId="1">
      <text>
        <r>
          <rPr>
            <b/>
            <sz val="8"/>
            <color indexed="81"/>
            <rFont val="Tahoma"/>
            <family val="2"/>
          </rPr>
          <t>Anastasia Lekkas:</t>
        </r>
        <r>
          <rPr>
            <sz val="8"/>
            <color indexed="81"/>
            <rFont val="Tahoma"/>
            <family val="2"/>
          </rPr>
          <t xml:space="preserve">
Reclass Itunes to Video
</t>
        </r>
      </text>
    </comment>
  </commentList>
</comments>
</file>

<file path=xl/comments3.xml><?xml version="1.0" encoding="utf-8"?>
<comments xmlns="http://schemas.openxmlformats.org/spreadsheetml/2006/main">
  <authors>
    <author>mbeauchamp</author>
    <author>Anastasia Lekkas</author>
  </authors>
  <commentList>
    <comment ref="D172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D173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AA221" authorId="1">
      <text>
        <r>
          <rPr>
            <b/>
            <sz val="8"/>
            <color indexed="81"/>
            <rFont val="Tahoma"/>
            <family val="2"/>
          </rPr>
          <t>Anastasia Lekkas:</t>
        </r>
        <r>
          <rPr>
            <sz val="8"/>
            <color indexed="81"/>
            <rFont val="Tahoma"/>
            <family val="2"/>
          </rPr>
          <t xml:space="preserve">
Reclass YouTube to Video
</t>
        </r>
      </text>
    </comment>
    <comment ref="AA222" authorId="1">
      <text>
        <r>
          <rPr>
            <b/>
            <sz val="8"/>
            <color indexed="81"/>
            <rFont val="Tahoma"/>
            <family val="2"/>
          </rPr>
          <t>Anastasia Lekkas:</t>
        </r>
        <r>
          <rPr>
            <sz val="8"/>
            <color indexed="81"/>
            <rFont val="Tahoma"/>
            <family val="2"/>
          </rPr>
          <t xml:space="preserve">
Reclass Itunes to Video
</t>
        </r>
      </text>
    </comment>
  </commentList>
</comments>
</file>

<file path=xl/comments4.xml><?xml version="1.0" encoding="utf-8"?>
<comments xmlns="http://schemas.openxmlformats.org/spreadsheetml/2006/main">
  <authors>
    <author>mbeauchamp</author>
    <author>Anastasia Lekkas</author>
  </authors>
  <commentList>
    <comment ref="D179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D180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AA228" authorId="1">
      <text>
        <r>
          <rPr>
            <b/>
            <sz val="8"/>
            <color indexed="81"/>
            <rFont val="Tahoma"/>
            <family val="2"/>
          </rPr>
          <t>Anastasia Lekkas:</t>
        </r>
        <r>
          <rPr>
            <sz val="8"/>
            <color indexed="81"/>
            <rFont val="Tahoma"/>
            <family val="2"/>
          </rPr>
          <t xml:space="preserve">
Reclass YouTube to Video
</t>
        </r>
      </text>
    </comment>
    <comment ref="AA229" authorId="1">
      <text>
        <r>
          <rPr>
            <b/>
            <sz val="8"/>
            <color indexed="81"/>
            <rFont val="Tahoma"/>
            <family val="2"/>
          </rPr>
          <t>Anastasia Lekkas:</t>
        </r>
        <r>
          <rPr>
            <sz val="8"/>
            <color indexed="81"/>
            <rFont val="Tahoma"/>
            <family val="2"/>
          </rPr>
          <t xml:space="preserve">
Reclass Itunes to Video
</t>
        </r>
      </text>
    </comment>
  </commentList>
</comments>
</file>

<file path=xl/comments5.xml><?xml version="1.0" encoding="utf-8"?>
<comments xmlns="http://schemas.openxmlformats.org/spreadsheetml/2006/main">
  <authors>
    <author>mbeauchamp</author>
    <author>Anastasia Lekkas</author>
  </authors>
  <commentList>
    <comment ref="D181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D182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AC231" authorId="1">
      <text>
        <r>
          <rPr>
            <b/>
            <sz val="8"/>
            <color indexed="81"/>
            <rFont val="Tahoma"/>
            <family val="2"/>
          </rPr>
          <t>Anastasia Lekkas:</t>
        </r>
        <r>
          <rPr>
            <sz val="8"/>
            <color indexed="81"/>
            <rFont val="Tahoma"/>
            <family val="2"/>
          </rPr>
          <t xml:space="preserve">
Reclass YouTube to Video
</t>
        </r>
      </text>
    </comment>
    <comment ref="AC232" authorId="1">
      <text>
        <r>
          <rPr>
            <b/>
            <sz val="8"/>
            <color indexed="81"/>
            <rFont val="Tahoma"/>
            <family val="2"/>
          </rPr>
          <t>Anastasia Lekkas:</t>
        </r>
        <r>
          <rPr>
            <sz val="8"/>
            <color indexed="81"/>
            <rFont val="Tahoma"/>
            <family val="2"/>
          </rPr>
          <t xml:space="preserve">
Reclass Itunes to Video
</t>
        </r>
      </text>
    </comment>
  </commentList>
</comments>
</file>

<file path=xl/comments6.xml><?xml version="1.0" encoding="utf-8"?>
<comments xmlns="http://schemas.openxmlformats.org/spreadsheetml/2006/main">
  <authors>
    <author>mbeauchamp</author>
    <author>Anastasia Lekkas</author>
  </authors>
  <commentList>
    <comment ref="D175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D176" authorId="0">
      <text>
        <r>
          <rPr>
            <b/>
            <sz val="8"/>
            <color indexed="81"/>
            <rFont val="Tahoma"/>
            <family val="2"/>
          </rPr>
          <t>mbeauchamp:</t>
        </r>
        <r>
          <rPr>
            <sz val="8"/>
            <color indexed="81"/>
            <rFont val="Tahoma"/>
            <family val="2"/>
          </rPr>
          <t xml:space="preserve">
now owns fmr. Thumbplay Tones
</t>
        </r>
      </text>
    </comment>
    <comment ref="AA224" authorId="1">
      <text>
        <r>
          <rPr>
            <b/>
            <sz val="8"/>
            <color indexed="81"/>
            <rFont val="Tahoma"/>
            <family val="2"/>
          </rPr>
          <t>Anastasia Lekkas:</t>
        </r>
        <r>
          <rPr>
            <sz val="8"/>
            <color indexed="81"/>
            <rFont val="Tahoma"/>
            <family val="2"/>
          </rPr>
          <t xml:space="preserve">
Reclass YouTube to Video
</t>
        </r>
      </text>
    </comment>
    <comment ref="AA225" authorId="1">
      <text>
        <r>
          <rPr>
            <b/>
            <sz val="8"/>
            <color indexed="81"/>
            <rFont val="Tahoma"/>
            <family val="2"/>
          </rPr>
          <t>Anastasia Lekkas:</t>
        </r>
        <r>
          <rPr>
            <sz val="8"/>
            <color indexed="81"/>
            <rFont val="Tahoma"/>
            <family val="2"/>
          </rPr>
          <t xml:space="preserve">
Reclass Itunes to Video
</t>
        </r>
      </text>
    </comment>
  </commentList>
</comments>
</file>

<file path=xl/sharedStrings.xml><?xml version="1.0" encoding="utf-8"?>
<sst xmlns="http://schemas.openxmlformats.org/spreadsheetml/2006/main" count="4414" uniqueCount="455">
  <si>
    <t>The Orchard, Inc.</t>
  </si>
  <si>
    <t>Monthly Royalty Statement and Invoicing Log</t>
  </si>
  <si>
    <t>Period: March 1, 2014 through March 31, 2014</t>
  </si>
  <si>
    <t>Color</t>
  </si>
  <si>
    <t>Legend</t>
  </si>
  <si>
    <t>Statement not due and not yet received - Invoice not yet generated</t>
  </si>
  <si>
    <t>Blue</t>
  </si>
  <si>
    <t>Statement Received - Invoice not yet generated</t>
  </si>
  <si>
    <t>Dk. Blue</t>
  </si>
  <si>
    <t>Statement Received - Invoice generated and sent</t>
  </si>
  <si>
    <t>White</t>
  </si>
  <si>
    <t>Contract Terminated</t>
  </si>
  <si>
    <t>Black</t>
  </si>
  <si>
    <t>Estimate based on prior qtr</t>
  </si>
  <si>
    <t>Pink</t>
  </si>
  <si>
    <t>Estimate from Customer</t>
  </si>
  <si>
    <t>Orange</t>
  </si>
  <si>
    <t>&lt;Feb 14 Catch Up</t>
  </si>
  <si>
    <t>Feb</t>
  </si>
  <si>
    <t>March</t>
  </si>
  <si>
    <t>Invoiced</t>
  </si>
  <si>
    <t>Accrual</t>
  </si>
  <si>
    <t>Reporting</t>
  </si>
  <si>
    <t>Dig/Mob</t>
  </si>
  <si>
    <t>Customer ID</t>
  </si>
  <si>
    <t>LABEL</t>
  </si>
  <si>
    <t>Actuals</t>
  </si>
  <si>
    <t>TrueUp</t>
  </si>
  <si>
    <t>April</t>
  </si>
  <si>
    <t>May</t>
  </si>
  <si>
    <t>Actual Invoiced</t>
  </si>
  <si>
    <t>Cust Prelim</t>
  </si>
  <si>
    <t>Estimate</t>
  </si>
  <si>
    <t>GP Inv</t>
  </si>
  <si>
    <t>IODA Accrual</t>
  </si>
  <si>
    <t>IRIS Accrual</t>
  </si>
  <si>
    <t xml:space="preserve">Feb 14 -Orchard Actual </t>
  </si>
  <si>
    <t>No Accr.VS.Actual</t>
  </si>
  <si>
    <t>Digital Accrual</t>
  </si>
  <si>
    <t>Mobile Accrual</t>
  </si>
  <si>
    <t>Video Accrual</t>
  </si>
  <si>
    <t>TVT Dig. Accrual</t>
  </si>
  <si>
    <t>TVT Mob. Accrual</t>
  </si>
  <si>
    <t>Digital</t>
  </si>
  <si>
    <t>Mobile</t>
  </si>
  <si>
    <t>Video</t>
  </si>
  <si>
    <t>M</t>
  </si>
  <si>
    <t>2Muse</t>
  </si>
  <si>
    <t>AVEX</t>
  </si>
  <si>
    <t>D</t>
  </si>
  <si>
    <t>247E0001</t>
  </si>
  <si>
    <t>24/7 PPD</t>
  </si>
  <si>
    <r>
      <rPr>
        <b/>
        <sz val="8"/>
        <color theme="1"/>
        <rFont val="Calibri"/>
        <family val="2"/>
      </rPr>
      <t>24/7</t>
    </r>
    <r>
      <rPr>
        <sz val="8"/>
        <color theme="1"/>
        <rFont val="Calibri"/>
        <family val="2"/>
      </rPr>
      <t xml:space="preserve"> TDC Play  (Mobile)</t>
    </r>
  </si>
  <si>
    <r>
      <rPr>
        <b/>
        <sz val="8"/>
        <color theme="1"/>
        <rFont val="Calibri"/>
        <family val="2"/>
      </rPr>
      <t>24/7</t>
    </r>
    <r>
      <rPr>
        <sz val="8"/>
        <color theme="1"/>
        <rFont val="Calibri"/>
        <family val="2"/>
      </rPr>
      <t xml:space="preserve"> 3AT</t>
    </r>
  </si>
  <si>
    <r>
      <rPr>
        <b/>
        <sz val="8"/>
        <color theme="1"/>
        <rFont val="Calibri"/>
        <family val="2"/>
      </rPr>
      <t>24/7</t>
    </r>
    <r>
      <rPr>
        <sz val="8"/>
        <color theme="1"/>
        <rFont val="Calibri"/>
        <family val="2"/>
      </rPr>
      <t xml:space="preserve"> Juke</t>
    </r>
  </si>
  <si>
    <t>7DIG0001</t>
  </si>
  <si>
    <r>
      <t>7 Digital -</t>
    </r>
    <r>
      <rPr>
        <sz val="8"/>
        <color theme="1"/>
        <rFont val="Calibri"/>
        <family val="2"/>
      </rPr>
      <t xml:space="preserve"> EU</t>
    </r>
  </si>
  <si>
    <r>
      <t xml:space="preserve">7 Digital - </t>
    </r>
    <r>
      <rPr>
        <sz val="8"/>
        <color theme="1"/>
        <rFont val="Calibri"/>
        <family val="2"/>
      </rPr>
      <t>UK</t>
    </r>
  </si>
  <si>
    <r>
      <t xml:space="preserve">7 Digital - </t>
    </r>
    <r>
      <rPr>
        <sz val="8"/>
        <color theme="1"/>
        <rFont val="Calibri"/>
        <family val="2"/>
      </rPr>
      <t>US</t>
    </r>
  </si>
  <si>
    <t>88TC88</t>
  </si>
  <si>
    <t>Q</t>
  </si>
  <si>
    <t>9SQU0001</t>
  </si>
  <si>
    <r>
      <rPr>
        <b/>
        <sz val="8"/>
        <color theme="1"/>
        <rFont val="Calibri"/>
        <family val="2"/>
      </rPr>
      <t>9-Squared / Zed - Orchard</t>
    </r>
  </si>
  <si>
    <t>AppliedSB (Vervelife))</t>
  </si>
  <si>
    <t>Alexander Street Press</t>
  </si>
  <si>
    <t>Altacom</t>
  </si>
  <si>
    <t>MUSI00011</t>
  </si>
  <si>
    <t>Apach Network S.A</t>
  </si>
  <si>
    <t>AMAZ0001</t>
  </si>
  <si>
    <r>
      <rPr>
        <b/>
        <sz val="8"/>
        <color theme="1"/>
        <rFont val="Calibri"/>
        <family val="2"/>
      </rPr>
      <t>Amazon - US</t>
    </r>
  </si>
  <si>
    <t>AMAZ0005</t>
  </si>
  <si>
    <r>
      <rPr>
        <b/>
        <sz val="8"/>
        <color theme="1"/>
        <rFont val="Calibri"/>
        <family val="2"/>
      </rPr>
      <t>Amazon - UK</t>
    </r>
  </si>
  <si>
    <r>
      <rPr>
        <b/>
        <sz val="8"/>
        <color theme="1"/>
        <rFont val="Calibri"/>
        <family val="2"/>
      </rPr>
      <t>Amazon - Germany</t>
    </r>
  </si>
  <si>
    <r>
      <rPr>
        <b/>
        <sz val="8"/>
        <color theme="1"/>
        <rFont val="Calibri"/>
        <family val="2"/>
      </rPr>
      <t>Amazon - France</t>
    </r>
  </si>
  <si>
    <t>Amazon - Austria</t>
  </si>
  <si>
    <t>Amazon - Switzerland</t>
  </si>
  <si>
    <t>Amazon - Italy</t>
  </si>
  <si>
    <t>Amazon - Spain</t>
  </si>
  <si>
    <t>Amazon - Japan</t>
  </si>
  <si>
    <t>Amazon On Demand (DOD)</t>
  </si>
  <si>
    <t>Amazon On Demand (DOD Europe)</t>
  </si>
  <si>
    <t>V</t>
  </si>
  <si>
    <t>Amazon Prime</t>
  </si>
  <si>
    <t>Amazon On Demand (US Video)</t>
  </si>
  <si>
    <t>AMAZ0003</t>
  </si>
  <si>
    <t>Amazon (Cloud)</t>
  </si>
  <si>
    <t>AMI - Entertainment</t>
  </si>
  <si>
    <t>Arvato (Mondia)</t>
  </si>
  <si>
    <t>Aspiro</t>
  </si>
  <si>
    <t>Aspiro (WiMP)</t>
  </si>
  <si>
    <t>AT&amp;T (Qpass)</t>
  </si>
  <si>
    <t>BASE0001</t>
  </si>
  <si>
    <t>Basepoint Media</t>
  </si>
  <si>
    <t>BEEZ0001</t>
  </si>
  <si>
    <t>Beezik Sarl.</t>
  </si>
  <si>
    <t>BEAT0002</t>
  </si>
  <si>
    <t>Beatport Digital Download Network</t>
  </si>
  <si>
    <t>Beats Music</t>
  </si>
  <si>
    <r>
      <rPr>
        <sz val="8"/>
        <color theme="1"/>
        <rFont val="Calibri"/>
        <family val="2"/>
      </rPr>
      <t>BELL MOBILITY INC - OTA</t>
    </r>
  </si>
  <si>
    <t>BELL0001</t>
  </si>
  <si>
    <r>
      <rPr>
        <b/>
        <sz val="8"/>
        <color theme="1"/>
        <rFont val="Calibri"/>
        <family val="2"/>
      </rPr>
      <t>BELL MOBILITY INC - Subscriptions</t>
    </r>
  </si>
  <si>
    <r>
      <rPr>
        <b/>
        <sz val="8"/>
        <color theme="1"/>
        <rFont val="Calibri"/>
        <family val="2"/>
      </rPr>
      <t>BELL MOBILITY INC - Ringtone</t>
    </r>
  </si>
  <si>
    <r>
      <rPr>
        <b/>
        <sz val="8"/>
        <color theme="1"/>
        <rFont val="Calibri"/>
        <family val="2"/>
      </rPr>
      <t>BELL MOBILITY INC - Ringbacks</t>
    </r>
  </si>
  <si>
    <t>Bleep</t>
  </si>
  <si>
    <t>BOOM0001</t>
  </si>
  <si>
    <t>Boomkat</t>
  </si>
  <si>
    <t>BUON0001</t>
  </si>
  <si>
    <t>Buongiorno Vtimanic SPA</t>
  </si>
  <si>
    <t>Classical Archives</t>
  </si>
  <si>
    <t>Compass Records</t>
  </si>
  <si>
    <t>CRIC0001</t>
  </si>
  <si>
    <t>Cricket</t>
  </si>
  <si>
    <t>Dada Italy</t>
  </si>
  <si>
    <t>DailyMotion</t>
  </si>
  <si>
    <t>BLOG0001</t>
  </si>
  <si>
    <r>
      <rPr>
        <b/>
        <sz val="8"/>
        <color theme="1"/>
        <rFont val="Calibri"/>
        <family val="2"/>
      </rPr>
      <t>deezer - EU</t>
    </r>
  </si>
  <si>
    <t>DESC0001</t>
  </si>
  <si>
    <t>Descarga (elWatusi)</t>
  </si>
  <si>
    <t>Digital Distribution Networks</t>
  </si>
  <si>
    <t>DIGL0001</t>
  </si>
  <si>
    <t>Digital Life (Traxsource)</t>
  </si>
  <si>
    <t>DJ Tunes</t>
  </si>
  <si>
    <t>DMX</t>
  </si>
  <si>
    <t>eirCom</t>
  </si>
  <si>
    <t>EMUS0001</t>
  </si>
  <si>
    <t>eMusic US</t>
  </si>
  <si>
    <t>eMusic US - TVT</t>
  </si>
  <si>
    <t>emusic EU/UK</t>
  </si>
  <si>
    <t>emusic EU/UK - TVT</t>
  </si>
  <si>
    <t>eMusic CA</t>
  </si>
  <si>
    <t>eMusic CA - TVT</t>
  </si>
  <si>
    <t>Flycell</t>
  </si>
  <si>
    <t>FNAC Direct</t>
  </si>
  <si>
    <t>Ganxy</t>
  </si>
  <si>
    <t>GEEB001</t>
  </si>
  <si>
    <t>Gee Beyond Holdings</t>
  </si>
  <si>
    <t>GENE0002</t>
  </si>
  <si>
    <t>Genexies Mobile</t>
  </si>
  <si>
    <t>Gigigo, S.L.</t>
  </si>
  <si>
    <t>Google</t>
  </si>
  <si>
    <t>GROO0001</t>
  </si>
  <si>
    <t>Groove Mobile (Livewire) - Orchard</t>
  </si>
  <si>
    <t>Groove Mobile (Livewire) - Sprint/Metro PCS</t>
  </si>
  <si>
    <t>Groove/Livewire (Canada)</t>
  </si>
  <si>
    <t>GUVE0001</t>
  </si>
  <si>
    <t>Guerva (US)</t>
  </si>
  <si>
    <t>Guerva (AU)</t>
  </si>
  <si>
    <t>HDTR0001</t>
  </si>
  <si>
    <t>HD Tracks</t>
  </si>
  <si>
    <t>HIPD0001</t>
  </si>
  <si>
    <t>Hip Digital - CA</t>
  </si>
  <si>
    <t>Hip Digital - US</t>
  </si>
  <si>
    <t>Hip Digital - UK</t>
  </si>
  <si>
    <t>HMV</t>
  </si>
  <si>
    <t>Monthly</t>
  </si>
  <si>
    <t>Hulu LLC</t>
  </si>
  <si>
    <t>I-Mobilize</t>
  </si>
  <si>
    <t>ICAC0001</t>
  </si>
  <si>
    <t>I.C. Agency Co. Ltd</t>
  </si>
  <si>
    <t>IMUS0002</t>
  </si>
  <si>
    <t>Imusica</t>
  </si>
  <si>
    <t>Imusica (Digital)</t>
  </si>
  <si>
    <t>FUNM0001</t>
  </si>
  <si>
    <r>
      <rPr>
        <b/>
        <sz val="8"/>
        <color theme="1"/>
        <rFont val="Calibri"/>
        <family val="2"/>
      </rPr>
      <t>FunMobility</t>
    </r>
    <r>
      <rPr>
        <sz val="8"/>
        <color theme="1"/>
        <rFont val="Calibri"/>
        <family val="2"/>
      </rPr>
      <t xml:space="preserve"> - Orchard</t>
    </r>
  </si>
  <si>
    <r>
      <rPr>
        <b/>
        <sz val="8"/>
        <color theme="1"/>
        <rFont val="Calibri"/>
        <family val="2"/>
      </rPr>
      <t>FunMobility</t>
    </r>
    <r>
      <rPr>
        <sz val="8"/>
        <color theme="1"/>
        <rFont val="Calibri"/>
        <family val="2"/>
      </rPr>
      <t xml:space="preserve"> - DRA</t>
    </r>
  </si>
  <si>
    <t>IC Agency</t>
  </si>
  <si>
    <t>Inform-Mobil</t>
  </si>
  <si>
    <t>Insound, LLC</t>
  </si>
  <si>
    <t>In Demand</t>
  </si>
  <si>
    <t>InProdicon - PD</t>
  </si>
  <si>
    <t>INPR0001</t>
  </si>
  <si>
    <t>InProdicon - Streams</t>
  </si>
  <si>
    <t>IBSI0001</t>
  </si>
  <si>
    <t>Internet Bookshop Italia</t>
  </si>
  <si>
    <t>Internet Q</t>
  </si>
  <si>
    <r>
      <t>iTunes -</t>
    </r>
    <r>
      <rPr>
        <b/>
        <sz val="9"/>
        <color theme="1"/>
        <rFont val="Calibri"/>
        <family val="2"/>
      </rPr>
      <t xml:space="preserve"> Orchard</t>
    </r>
  </si>
  <si>
    <r>
      <t>iTunes -</t>
    </r>
    <r>
      <rPr>
        <b/>
        <sz val="9"/>
        <color theme="1"/>
        <rFont val="Calibri"/>
        <family val="2"/>
      </rPr>
      <t xml:space="preserve"> IODA</t>
    </r>
  </si>
  <si>
    <r>
      <t>iTunes -</t>
    </r>
    <r>
      <rPr>
        <b/>
        <sz val="9"/>
        <color theme="1"/>
        <rFont val="Calibri"/>
        <family val="2"/>
      </rPr>
      <t xml:space="preserve"> IRIS</t>
    </r>
  </si>
  <si>
    <r>
      <t>iTunes -</t>
    </r>
    <r>
      <rPr>
        <b/>
        <sz val="9"/>
        <color theme="1"/>
        <rFont val="Calibri"/>
        <family val="2"/>
      </rPr>
      <t xml:space="preserve"> TVT</t>
    </r>
  </si>
  <si>
    <r>
      <t>iTunes -</t>
    </r>
    <r>
      <rPr>
        <b/>
        <sz val="9"/>
        <color theme="1"/>
        <rFont val="Calibri"/>
        <family val="2"/>
      </rPr>
      <t xml:space="preserve"> Priddis</t>
    </r>
  </si>
  <si>
    <r>
      <t>iTunes -</t>
    </r>
    <r>
      <rPr>
        <b/>
        <sz val="9"/>
        <color theme="1"/>
        <rFont val="Calibri"/>
        <family val="2"/>
      </rPr>
      <t xml:space="preserve"> Relapse</t>
    </r>
  </si>
  <si>
    <r>
      <t>iTunes -</t>
    </r>
    <r>
      <rPr>
        <b/>
        <sz val="9"/>
        <color theme="1"/>
        <rFont val="Calibri"/>
        <family val="2"/>
      </rPr>
      <t xml:space="preserve"> Rotana</t>
    </r>
  </si>
  <si>
    <r>
      <t>iTunes -</t>
    </r>
    <r>
      <rPr>
        <b/>
        <sz val="9"/>
        <color theme="1"/>
        <rFont val="Calibri"/>
        <family val="2"/>
      </rPr>
      <t xml:space="preserve"> Readers Digest</t>
    </r>
  </si>
  <si>
    <r>
      <t>iTunes -</t>
    </r>
    <r>
      <rPr>
        <b/>
        <sz val="9"/>
        <color theme="1"/>
        <rFont val="Calibri"/>
        <family val="2"/>
      </rPr>
      <t xml:space="preserve"> Other</t>
    </r>
  </si>
  <si>
    <t>Ibaizabal Denda</t>
  </si>
  <si>
    <t>JB HiFi</t>
  </si>
  <si>
    <t>JAMS0001</t>
  </si>
  <si>
    <t>Jamba (Jesta -Jan2011)</t>
  </si>
  <si>
    <t>JETM0001</t>
  </si>
  <si>
    <t>Jet Multimedia</t>
  </si>
  <si>
    <t>Juno Records</t>
  </si>
  <si>
    <t>Last.fm</t>
  </si>
  <si>
    <t>LeapFrog</t>
  </si>
  <si>
    <t>Library Ideas</t>
  </si>
  <si>
    <t>Liberator Music Pty Ltd.</t>
  </si>
  <si>
    <t>Linn Records</t>
  </si>
  <si>
    <t>MUSI0009</t>
  </si>
  <si>
    <t>MediaNet / MusicNet</t>
  </si>
  <si>
    <t>MNET0001</t>
  </si>
  <si>
    <t>Mercury Mobility (Mnet)</t>
  </si>
  <si>
    <t>Midwest Tape (Hoopla)</t>
  </si>
  <si>
    <t>Mix&amp;Burn</t>
  </si>
  <si>
    <t>MOBI0004</t>
  </si>
  <si>
    <t>MobiTV</t>
  </si>
  <si>
    <t>MOBI0005</t>
  </si>
  <si>
    <t>Mobizone</t>
  </si>
  <si>
    <t>MODE0001</t>
  </si>
  <si>
    <t>Moderati Inc. (now Skyrocktit)</t>
  </si>
  <si>
    <t>MOG (Digital)</t>
  </si>
  <si>
    <t>MOG (Mobile)</t>
  </si>
  <si>
    <t>NOKI0001</t>
  </si>
  <si>
    <t>Monstar Labs FM Japan</t>
  </si>
  <si>
    <t>Moontoast (D2C - Kina)</t>
  </si>
  <si>
    <t>MUSI0008</t>
  </si>
  <si>
    <t>MusicLoad DE ALC</t>
  </si>
  <si>
    <t>MusicLoad DE Subs</t>
  </si>
  <si>
    <t>MusicLoad AT ALC</t>
  </si>
  <si>
    <t>MusicLoad AT Subs</t>
  </si>
  <si>
    <t>MusicLoad CH ALC</t>
  </si>
  <si>
    <t>MusicLoad CH Subs</t>
  </si>
  <si>
    <t>Musicload ALC_Other</t>
  </si>
  <si>
    <t>Musicload UK</t>
  </si>
  <si>
    <t>Musicload Mobile DE Ota</t>
  </si>
  <si>
    <t>Next Music PTY Limited</t>
  </si>
  <si>
    <t>MICR0001</t>
  </si>
  <si>
    <t>Zune</t>
  </si>
  <si>
    <t>Zune - Unredeemed</t>
  </si>
  <si>
    <t>MICROVOD</t>
  </si>
  <si>
    <t>Microsoft (VOD) (X-Box)</t>
  </si>
  <si>
    <t>MTI, Ltd.  (music.jp)</t>
  </si>
  <si>
    <t>MUZI0001</t>
  </si>
  <si>
    <t>Muzicall</t>
  </si>
  <si>
    <t>MUZ.RU</t>
  </si>
  <si>
    <t>Muzu</t>
  </si>
  <si>
    <t>Muzzia</t>
  </si>
  <si>
    <t>MYSP0001</t>
  </si>
  <si>
    <t>MySpace</t>
  </si>
  <si>
    <t>MySpace (Video)</t>
  </si>
  <si>
    <t>MYXE0001</t>
  </si>
  <si>
    <t>Myxer</t>
  </si>
  <si>
    <t>MUSI0012</t>
  </si>
  <si>
    <t>Music Airport</t>
  </si>
  <si>
    <t>Netflix</t>
  </si>
  <si>
    <t>Neurotic Media</t>
  </si>
  <si>
    <t>Netville</t>
  </si>
  <si>
    <t>NMUS0001</t>
  </si>
  <si>
    <t>Nmusic</t>
  </si>
  <si>
    <r>
      <rPr>
        <b/>
        <sz val="9"/>
        <color theme="1"/>
        <rFont val="Calibri"/>
        <family val="2"/>
      </rPr>
      <t>Nokia Orchard</t>
    </r>
  </si>
  <si>
    <t>Nokia - Digital</t>
  </si>
  <si>
    <t>OOB</t>
  </si>
  <si>
    <t>Neowizbugs</t>
  </si>
  <si>
    <t>OMNI0001</t>
  </si>
  <si>
    <t>Omnifone - RIM</t>
  </si>
  <si>
    <t>Omnifone - PNP</t>
  </si>
  <si>
    <t>OMNI000Q</t>
  </si>
  <si>
    <t>Omnifone - Qriocity</t>
  </si>
  <si>
    <t>One Italia</t>
  </si>
  <si>
    <t>Pulselocker</t>
  </si>
  <si>
    <t>Pasaj (Turkey)</t>
  </si>
  <si>
    <t>Pure Tracks US</t>
  </si>
  <si>
    <t>Pure Tracks CA</t>
  </si>
  <si>
    <t>Pure Tracks CA (Streams)</t>
  </si>
  <si>
    <t>QOBU0001</t>
  </si>
  <si>
    <t>Qobuz</t>
  </si>
  <si>
    <t>Rara</t>
  </si>
  <si>
    <t>PULS0001</t>
  </si>
  <si>
    <t>rDio (Pulser)</t>
  </si>
  <si>
    <t>REAL0002</t>
  </si>
  <si>
    <t>Real  GmbH / Sony Net Services</t>
  </si>
  <si>
    <t>Real RED Streams</t>
  </si>
  <si>
    <t>REAL0001</t>
  </si>
  <si>
    <t>Real Networks/ Rhapsody - Orchard</t>
  </si>
  <si>
    <t>Real/Rhapsody-EU</t>
  </si>
  <si>
    <t>REAL0003</t>
  </si>
  <si>
    <t>Real (New) - Metro PCS/Boost</t>
  </si>
  <si>
    <t>RIGH0003</t>
  </si>
  <si>
    <t>Rightscorp</t>
  </si>
  <si>
    <t>REDT0001</t>
  </si>
  <si>
    <t>Red Touch Media</t>
  </si>
  <si>
    <t>ROGE0001</t>
  </si>
  <si>
    <t>Rogers Wireless Partnership - FIDO</t>
  </si>
  <si>
    <t>Sainsburys</t>
  </si>
  <si>
    <t>SEND0001</t>
  </si>
  <si>
    <t>Send Me Mobile</t>
  </si>
  <si>
    <t>SIMF0001</t>
  </si>
  <si>
    <t>Simfy</t>
  </si>
  <si>
    <t>SIQME</t>
  </si>
  <si>
    <t>Slacker</t>
  </si>
  <si>
    <t>Space Shower Networks</t>
  </si>
  <si>
    <t>SPOT0001</t>
  </si>
  <si>
    <t>Spotify</t>
  </si>
  <si>
    <t>Spotify (Breakage)</t>
  </si>
  <si>
    <t>Spotify (Downloads)</t>
  </si>
  <si>
    <t>Starzik SARL</t>
  </si>
  <si>
    <t>Telecom Italia S.p.A</t>
  </si>
  <si>
    <t xml:space="preserve">Telefonica </t>
  </si>
  <si>
    <t>Thumbplay, Inc. - Clear Channel</t>
  </si>
  <si>
    <t>Telstra</t>
  </si>
  <si>
    <t>TOTA0001</t>
  </si>
  <si>
    <t>TOTAL TIM, Lda</t>
  </si>
  <si>
    <t>TOPS0001</t>
  </si>
  <si>
    <t xml:space="preserve">TopSpin </t>
  </si>
  <si>
    <t>Trackitdown.net</t>
  </si>
  <si>
    <t>Turkcell</t>
  </si>
  <si>
    <t>TURN0003</t>
  </si>
  <si>
    <t>Turntable.fm</t>
  </si>
  <si>
    <t>Universal - Australia</t>
  </si>
  <si>
    <t>VERI0003</t>
  </si>
  <si>
    <r>
      <rPr>
        <b/>
        <sz val="8"/>
        <color theme="1"/>
        <rFont val="Calibri"/>
        <family val="2"/>
      </rPr>
      <t>Verizon</t>
    </r>
    <r>
      <rPr>
        <sz val="8"/>
        <color theme="1"/>
        <rFont val="Calibri"/>
        <family val="2"/>
      </rPr>
      <t xml:space="preserve"> Ringtones</t>
    </r>
  </si>
  <si>
    <r>
      <rPr>
        <b/>
        <sz val="8"/>
        <color theme="1"/>
        <rFont val="Calibri"/>
        <family val="2"/>
      </rPr>
      <t>Verizon</t>
    </r>
    <r>
      <rPr>
        <sz val="8"/>
        <color theme="1"/>
        <rFont val="Calibri"/>
        <family val="2"/>
      </rPr>
      <t xml:space="preserve"> Ringbacks</t>
    </r>
  </si>
  <si>
    <r>
      <rPr>
        <b/>
        <sz val="8"/>
        <color theme="1"/>
        <rFont val="Calibri"/>
        <family val="2"/>
      </rPr>
      <t>Verizon</t>
    </r>
    <r>
      <rPr>
        <sz val="8"/>
        <color theme="1"/>
        <rFont val="Calibri"/>
        <family val="2"/>
      </rPr>
      <t xml:space="preserve"> OTA ( Over the air) - Orchard</t>
    </r>
  </si>
  <si>
    <r>
      <rPr>
        <b/>
        <sz val="8"/>
        <color theme="1"/>
        <rFont val="Calibri"/>
        <family val="2"/>
      </rPr>
      <t>Verizon</t>
    </r>
    <r>
      <rPr>
        <sz val="8"/>
        <color theme="1"/>
        <rFont val="Calibri"/>
        <family val="2"/>
      </rPr>
      <t xml:space="preserve"> OTA ( Over the air) - DRA</t>
    </r>
  </si>
  <si>
    <r>
      <rPr>
        <b/>
        <sz val="8"/>
        <color theme="1"/>
        <rFont val="Calibri"/>
        <family val="2"/>
      </rPr>
      <t xml:space="preserve">Virgin FR </t>
    </r>
    <r>
      <rPr>
        <sz val="8"/>
        <color theme="1"/>
        <rFont val="Calibri"/>
        <family val="2"/>
      </rPr>
      <t>- Orchard</t>
    </r>
  </si>
  <si>
    <r>
      <rPr>
        <b/>
        <sz val="8"/>
        <color theme="1"/>
        <rFont val="Calibri"/>
        <family val="2"/>
      </rPr>
      <t>Virgin FR</t>
    </r>
    <r>
      <rPr>
        <sz val="8"/>
        <color theme="1"/>
        <rFont val="Calibri"/>
        <family val="2"/>
      </rPr>
      <t xml:space="preserve"> - DRA</t>
    </r>
  </si>
  <si>
    <t>VEVO0001</t>
  </si>
  <si>
    <t>VEVO</t>
  </si>
  <si>
    <t>Vitality</t>
  </si>
  <si>
    <t>vTech</t>
  </si>
  <si>
    <t>VUDU0001</t>
  </si>
  <si>
    <t>VUDU</t>
  </si>
  <si>
    <t>WayMedia</t>
  </si>
  <si>
    <t>Yandex</t>
  </si>
  <si>
    <t>YOUT0001</t>
  </si>
  <si>
    <t>YouTube (Adsense)</t>
  </si>
  <si>
    <t>YouTube (Standard - DMGI Video)</t>
  </si>
  <si>
    <t>YouTube (DRA Audio)</t>
  </si>
  <si>
    <t>YouTube (Music - Video &amp; Audio)</t>
  </si>
  <si>
    <t>PocketGroup (Wireless Information Network)</t>
  </si>
  <si>
    <t>PocketGroup Video Downloads</t>
  </si>
  <si>
    <t>Ziggo</t>
  </si>
  <si>
    <t>Audible</t>
  </si>
  <si>
    <t>ORAN0002</t>
  </si>
  <si>
    <r>
      <t>Orange France -</t>
    </r>
    <r>
      <rPr>
        <sz val="8"/>
        <color theme="1"/>
        <rFont val="Calibri"/>
        <family val="2"/>
      </rPr>
      <t xml:space="preserve"> Digital</t>
    </r>
  </si>
  <si>
    <r>
      <t>Orange France -</t>
    </r>
    <r>
      <rPr>
        <sz val="8"/>
        <color theme="1"/>
        <rFont val="Calibri"/>
        <family val="2"/>
      </rPr>
      <t xml:space="preserve"> Mobile</t>
    </r>
  </si>
  <si>
    <t>Orange Portugal Optimus - Sonaecom</t>
  </si>
  <si>
    <t>Orange Portugal Optimus - Sonaecom (Mobiles)</t>
  </si>
  <si>
    <t>Orange Romania</t>
  </si>
  <si>
    <r>
      <rPr>
        <b/>
        <sz val="8"/>
        <color theme="1"/>
        <rFont val="Calibri"/>
        <family val="2"/>
      </rPr>
      <t xml:space="preserve">Orange Suisse - </t>
    </r>
    <r>
      <rPr>
        <sz val="8"/>
        <color theme="1"/>
        <rFont val="Calibri"/>
        <family val="2"/>
      </rPr>
      <t>Digital</t>
    </r>
  </si>
  <si>
    <t>ORAN0003</t>
  </si>
  <si>
    <r>
      <rPr>
        <b/>
        <sz val="8"/>
        <color theme="1"/>
        <rFont val="Calibri"/>
        <family val="2"/>
      </rPr>
      <t xml:space="preserve">Orange Suisse - </t>
    </r>
    <r>
      <rPr>
        <sz val="8"/>
        <color theme="1"/>
        <rFont val="Calibri"/>
        <family val="2"/>
      </rPr>
      <t>Mobile</t>
    </r>
  </si>
  <si>
    <t>Quarterly</t>
  </si>
  <si>
    <t>Touchtunes</t>
  </si>
  <si>
    <t>WE7L0001</t>
  </si>
  <si>
    <t>We7</t>
  </si>
  <si>
    <t>Shamrock</t>
  </si>
  <si>
    <t>Sony Network (Video)</t>
  </si>
  <si>
    <t>One Screen</t>
  </si>
  <si>
    <t>J/E Adjustments</t>
  </si>
  <si>
    <t>Satellite Records</t>
  </si>
  <si>
    <t>Totals</t>
  </si>
  <si>
    <t>*Total</t>
  </si>
  <si>
    <t>**Total</t>
  </si>
  <si>
    <t>***Total</t>
  </si>
  <si>
    <t>Accrual Entry</t>
  </si>
  <si>
    <t xml:space="preserve">YouTube </t>
  </si>
  <si>
    <t xml:space="preserve">iTunes </t>
  </si>
  <si>
    <t>Mar 14 Actual Inv.</t>
  </si>
  <si>
    <t>DR</t>
  </si>
  <si>
    <t>CR</t>
  </si>
  <si>
    <t>Total GL</t>
  </si>
  <si>
    <t>GL Balance</t>
  </si>
  <si>
    <t>1100-00-000-00000</t>
  </si>
  <si>
    <t>Accounts Receivable</t>
  </si>
  <si>
    <t>.</t>
  </si>
  <si>
    <t>VARIANCE</t>
  </si>
  <si>
    <t>4000-01-000-00000</t>
  </si>
  <si>
    <t>Digital Revenue</t>
  </si>
  <si>
    <t>estimate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</si>
  <si>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</si>
  <si>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 14 Accrual </t>
  </si>
  <si>
    <t>Digital Revenue - TVT</t>
  </si>
  <si>
    <t>Total</t>
  </si>
  <si>
    <t>Total Mar 14</t>
  </si>
  <si>
    <t>4000-02-000-00000</t>
  </si>
  <si>
    <t xml:space="preserve">Mobile Revenue </t>
  </si>
  <si>
    <t>D&amp;M</t>
  </si>
  <si>
    <t>Mobile Revenue - TVT</t>
  </si>
  <si>
    <t>Total (AA-AG)</t>
  </si>
  <si>
    <t>4000-06-000-00000</t>
  </si>
  <si>
    <t>Video Revenue</t>
  </si>
  <si>
    <t>Calculation Discr.</t>
  </si>
  <si>
    <t>Period: February 1, 2014 through February 28, 2014</t>
  </si>
  <si>
    <t>&lt;Jan 14 Catch Up</t>
  </si>
  <si>
    <t>January</t>
  </si>
  <si>
    <t>February</t>
  </si>
  <si>
    <t>GEEB0001</t>
  </si>
  <si>
    <t>Feb 14 Actual Inv.</t>
  </si>
  <si>
    <t xml:space="preserve">Feb 14 Accrual </t>
  </si>
  <si>
    <t>Total Feb 14</t>
  </si>
  <si>
    <t>Period: September 1, 2013 through September 30, 2013</t>
  </si>
  <si>
    <t>&lt;Aug 13 Catch Up</t>
  </si>
  <si>
    <t>August</t>
  </si>
  <si>
    <t>September</t>
  </si>
  <si>
    <t>September 13 - Accrual</t>
  </si>
  <si>
    <t xml:space="preserve">July 13 -Orchard Actual </t>
  </si>
  <si>
    <r>
      <rPr>
        <b/>
        <sz val="8"/>
        <color theme="1"/>
        <rFont val="Calibri"/>
        <family val="2"/>
      </rPr>
      <t>BELL MOBILITY INC - OTA</t>
    </r>
  </si>
  <si>
    <t>Sept 13 Actual Inv.</t>
  </si>
  <si>
    <t xml:space="preserve">Sept 13 Accrual </t>
  </si>
  <si>
    <t>Total Sept 13</t>
  </si>
  <si>
    <t>Period: September 1, 2012 through September 30, 2012</t>
  </si>
  <si>
    <t>&lt;Aug 12 Catch Up</t>
  </si>
  <si>
    <t>Sept 12 - Accrual</t>
  </si>
  <si>
    <t xml:space="preserve">Sep 12-Orchard Actual </t>
  </si>
  <si>
    <t>Sep Accr.VS.Actual</t>
  </si>
  <si>
    <t>9-Squared / Zed - TVT</t>
  </si>
  <si>
    <t>9-Squared / Zed - DRA</t>
  </si>
  <si>
    <t>AppliedSB (Groupietunes)</t>
  </si>
  <si>
    <t>deezer - HQ Subs (Premium INF)</t>
  </si>
  <si>
    <t>deezer - Premium Plus</t>
  </si>
  <si>
    <t>deezer - orange standalone (Aug 2010)</t>
  </si>
  <si>
    <t>deezer - orange bundle (Aug 2010)</t>
  </si>
  <si>
    <t>deezer - mix (Oct 2010)</t>
  </si>
  <si>
    <t>deezer - UK (Sept 2011)</t>
  </si>
  <si>
    <t>ECAS0001</t>
  </si>
  <si>
    <t>Ecast</t>
  </si>
  <si>
    <t>Groove Mobile (Livewire) - Telecom NZ Orchard</t>
  </si>
  <si>
    <r>
      <t>iTunes -</t>
    </r>
    <r>
      <rPr>
        <b/>
        <sz val="9"/>
        <color theme="1"/>
        <rFont val="Calibri"/>
        <family val="2"/>
      </rPr>
      <t xml:space="preserve"> US (+ Apps)</t>
    </r>
  </si>
  <si>
    <r>
      <t>iTunes -</t>
    </r>
    <r>
      <rPr>
        <b/>
        <sz val="9"/>
        <color theme="1"/>
        <rFont val="Calibri"/>
        <family val="2"/>
      </rPr>
      <t xml:space="preserve"> US TVT</t>
    </r>
  </si>
  <si>
    <r>
      <t xml:space="preserve">iTunes - </t>
    </r>
    <r>
      <rPr>
        <b/>
        <sz val="9"/>
        <color theme="1"/>
        <rFont val="Calibri"/>
        <family val="2"/>
      </rPr>
      <t>EU</t>
    </r>
  </si>
  <si>
    <r>
      <t>iTunes</t>
    </r>
    <r>
      <rPr>
        <b/>
        <sz val="9"/>
        <color theme="1"/>
        <rFont val="Calibri"/>
        <family val="2"/>
      </rPr>
      <t xml:space="preserve"> - EU TVT</t>
    </r>
  </si>
  <si>
    <r>
      <t>iTunes -</t>
    </r>
    <r>
      <rPr>
        <b/>
        <sz val="9"/>
        <color theme="1"/>
        <rFont val="Calibri"/>
        <family val="2"/>
      </rPr>
      <t xml:space="preserve"> CA</t>
    </r>
  </si>
  <si>
    <r>
      <t>iTunes</t>
    </r>
    <r>
      <rPr>
        <b/>
        <sz val="9"/>
        <color theme="1"/>
        <rFont val="Calibri"/>
        <family val="2"/>
      </rPr>
      <t xml:space="preserve"> - CA TVT</t>
    </r>
  </si>
  <si>
    <r>
      <t>iTunes -</t>
    </r>
    <r>
      <rPr>
        <b/>
        <sz val="9"/>
        <color theme="1"/>
        <rFont val="Calibri"/>
        <family val="2"/>
      </rPr>
      <t xml:space="preserve"> AU</t>
    </r>
  </si>
  <si>
    <r>
      <t xml:space="preserve">iTunes </t>
    </r>
    <r>
      <rPr>
        <b/>
        <sz val="9"/>
        <color theme="1"/>
        <rFont val="Calibri"/>
        <family val="2"/>
      </rPr>
      <t>- AU TVT</t>
    </r>
  </si>
  <si>
    <r>
      <t>iTunes</t>
    </r>
    <r>
      <rPr>
        <b/>
        <sz val="9"/>
        <color theme="1"/>
        <rFont val="Calibri"/>
        <family val="2"/>
      </rPr>
      <t xml:space="preserve"> - JP</t>
    </r>
  </si>
  <si>
    <r>
      <t>iTunes</t>
    </r>
    <r>
      <rPr>
        <b/>
        <sz val="9"/>
        <color theme="1"/>
        <rFont val="Calibri"/>
        <family val="2"/>
      </rPr>
      <t xml:space="preserve"> - MX</t>
    </r>
  </si>
  <si>
    <r>
      <t>iTunes</t>
    </r>
    <r>
      <rPr>
        <b/>
        <sz val="9"/>
        <color theme="1"/>
        <rFont val="Calibri"/>
        <family val="2"/>
      </rPr>
      <t xml:space="preserve"> - MX TVT</t>
    </r>
  </si>
  <si>
    <r>
      <t xml:space="preserve">iTunes </t>
    </r>
    <r>
      <rPr>
        <b/>
        <sz val="9"/>
        <color theme="1"/>
        <rFont val="Calibri"/>
        <family val="2"/>
      </rPr>
      <t>- NZ</t>
    </r>
  </si>
  <si>
    <r>
      <t>iTunes</t>
    </r>
    <r>
      <rPr>
        <b/>
        <sz val="9"/>
        <color theme="1"/>
        <rFont val="Calibri"/>
        <family val="2"/>
      </rPr>
      <t xml:space="preserve"> - SE (Nov 2011)</t>
    </r>
  </si>
  <si>
    <t>iTunes - Priddis</t>
  </si>
  <si>
    <t>Real  GmbH (AYCE)</t>
  </si>
  <si>
    <t>Rogers Wireless Partnership</t>
  </si>
  <si>
    <t>Secury Cast</t>
  </si>
  <si>
    <t>SpaFax</t>
  </si>
  <si>
    <t>Sony Network Entertainment</t>
  </si>
  <si>
    <t>September 12 Actual Inv.</t>
  </si>
  <si>
    <t xml:space="preserve">September 12 Accrual </t>
  </si>
  <si>
    <t>Total September 12</t>
  </si>
  <si>
    <t>Total December 12</t>
  </si>
  <si>
    <t xml:space="preserve">December 12 Accrual </t>
  </si>
  <si>
    <t>December 12 Actual Inv.</t>
  </si>
  <si>
    <t>m</t>
  </si>
  <si>
    <t xml:space="preserve">Dec 12-Orchard Actual </t>
  </si>
  <si>
    <t>Dec 12 - Accrual</t>
  </si>
  <si>
    <t>December</t>
  </si>
  <si>
    <t>November</t>
  </si>
  <si>
    <t>&lt;Nov 12 Catch Up</t>
  </si>
  <si>
    <t>Period: December 1, 2012 through December 31, 2012</t>
  </si>
  <si>
    <t>Period: January 1, 2013 through January 31, 2013</t>
  </si>
  <si>
    <t>&lt;Dec 12 Catch Up</t>
  </si>
  <si>
    <t>Jan 13 - Accrual</t>
  </si>
  <si>
    <t xml:space="preserve">Jan 13 -Orchard Actual </t>
  </si>
  <si>
    <t>January 13 Actual Inv.</t>
  </si>
  <si>
    <t xml:space="preserve">January 13 Accrual </t>
  </si>
  <si>
    <t>Total January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</si>
</sst>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59" x14ac:knownFonts="1">
    <font>
      <sz val="9"/>
      <color theme="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Calibri"/>
      <family val="2"/>
    </font>
    <font>
      <sz val="9"/>
      <name val="Calibri"/>
      <family val="2"/>
    </font>
    <font>
      <u val="singleAccounting"/>
      <sz val="9"/>
      <color theme="1"/>
      <name val="Calibri"/>
      <family val="2"/>
    </font>
    <font>
      <b/>
      <sz val="10"/>
      <color theme="1"/>
      <name val="Calibri"/>
      <family val="2"/>
    </font>
    <font>
      <sz val="9"/>
      <color theme="0"/>
      <name val="Calibri"/>
      <family val="2"/>
    </font>
    <font>
      <sz val="10"/>
      <color theme="1"/>
      <name val="Calibri"/>
      <family val="2"/>
    </font>
    <font>
      <b/>
      <sz val="9"/>
      <name val="Calibri"/>
      <family val="2"/>
    </font>
    <font>
      <u val="double"/>
      <sz val="9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</font>
    <font>
      <sz val="11"/>
      <color rgb="FFFA7D00"/>
      <name val="Calibri"/>
      <family val="2"/>
      <scheme val="minor"/>
    </font>
    <font>
      <sz val="11"/>
      <color indexed="52"/>
      <name val="Calibri"/>
      <family val="2"/>
    </font>
    <font>
      <sz val="11"/>
      <color rgb="FF9C6500"/>
      <name val="Calibri"/>
      <family val="2"/>
      <scheme val="minor"/>
    </font>
    <font>
      <sz val="11"/>
      <color indexed="60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u/>
      <sz val="9"/>
      <color theme="10"/>
      <name val="Calibri"/>
      <family val="2"/>
    </font>
    <font>
      <u/>
      <sz val="9"/>
      <color theme="11"/>
      <name val="Calibri"/>
      <family val="2"/>
    </font>
  </fonts>
  <fills count="6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51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45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46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7" fillId="47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7" fillId="48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7" fillId="49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5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7" fillId="5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52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53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7" fillId="48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7" fillId="51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54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8" fillId="12" borderId="0" applyNumberFormat="0" applyBorder="0" applyAlignment="0" applyProtection="0"/>
    <xf numFmtId="0" fontId="29" fillId="55" borderId="0" applyNumberFormat="0" applyBorder="0" applyAlignment="0" applyProtection="0"/>
    <xf numFmtId="0" fontId="28" fillId="16" borderId="0" applyNumberFormat="0" applyBorder="0" applyAlignment="0" applyProtection="0"/>
    <xf numFmtId="0" fontId="29" fillId="52" borderId="0" applyNumberFormat="0" applyBorder="0" applyAlignment="0" applyProtection="0"/>
    <xf numFmtId="0" fontId="28" fillId="20" borderId="0" applyNumberFormat="0" applyBorder="0" applyAlignment="0" applyProtection="0"/>
    <xf numFmtId="0" fontId="29" fillId="53" borderId="0" applyNumberFormat="0" applyBorder="0" applyAlignment="0" applyProtection="0"/>
    <xf numFmtId="0" fontId="28" fillId="24" borderId="0" applyNumberFormat="0" applyBorder="0" applyAlignment="0" applyProtection="0"/>
    <xf numFmtId="0" fontId="29" fillId="56" borderId="0" applyNumberFormat="0" applyBorder="0" applyAlignment="0" applyProtection="0"/>
    <xf numFmtId="0" fontId="28" fillId="28" borderId="0" applyNumberFormat="0" applyBorder="0" applyAlignment="0" applyProtection="0"/>
    <xf numFmtId="0" fontId="29" fillId="57" borderId="0" applyNumberFormat="0" applyBorder="0" applyAlignment="0" applyProtection="0"/>
    <xf numFmtId="0" fontId="28" fillId="32" borderId="0" applyNumberFormat="0" applyBorder="0" applyAlignment="0" applyProtection="0"/>
    <xf numFmtId="0" fontId="29" fillId="58" borderId="0" applyNumberFormat="0" applyBorder="0" applyAlignment="0" applyProtection="0"/>
    <xf numFmtId="0" fontId="30" fillId="0" borderId="0"/>
    <xf numFmtId="0" fontId="28" fillId="9" borderId="0" applyNumberFormat="0" applyBorder="0" applyAlignment="0" applyProtection="0"/>
    <xf numFmtId="0" fontId="29" fillId="59" borderId="0" applyNumberFormat="0" applyBorder="0" applyAlignment="0" applyProtection="0"/>
    <xf numFmtId="0" fontId="28" fillId="13" borderId="0" applyNumberFormat="0" applyBorder="0" applyAlignment="0" applyProtection="0"/>
    <xf numFmtId="0" fontId="29" fillId="60" borderId="0" applyNumberFormat="0" applyBorder="0" applyAlignment="0" applyProtection="0"/>
    <xf numFmtId="0" fontId="28" fillId="17" borderId="0" applyNumberFormat="0" applyBorder="0" applyAlignment="0" applyProtection="0"/>
    <xf numFmtId="0" fontId="29" fillId="61" borderId="0" applyNumberFormat="0" applyBorder="0" applyAlignment="0" applyProtection="0"/>
    <xf numFmtId="0" fontId="28" fillId="21" borderId="0" applyNumberFormat="0" applyBorder="0" applyAlignment="0" applyProtection="0"/>
    <xf numFmtId="0" fontId="29" fillId="56" borderId="0" applyNumberFormat="0" applyBorder="0" applyAlignment="0" applyProtection="0"/>
    <xf numFmtId="0" fontId="28" fillId="25" borderId="0" applyNumberFormat="0" applyBorder="0" applyAlignment="0" applyProtection="0"/>
    <xf numFmtId="0" fontId="29" fillId="57" borderId="0" applyNumberFormat="0" applyBorder="0" applyAlignment="0" applyProtection="0"/>
    <xf numFmtId="0" fontId="28" fillId="29" borderId="0" applyNumberFormat="0" applyBorder="0" applyAlignment="0" applyProtection="0"/>
    <xf numFmtId="0" fontId="29" fillId="62" borderId="0" applyNumberFormat="0" applyBorder="0" applyAlignment="0" applyProtection="0"/>
    <xf numFmtId="0" fontId="31" fillId="3" borderId="0" applyNumberFormat="0" applyBorder="0" applyAlignment="0" applyProtection="0"/>
    <xf numFmtId="0" fontId="32" fillId="46" borderId="0" applyNumberFormat="0" applyBorder="0" applyAlignment="0" applyProtection="0"/>
    <xf numFmtId="0" fontId="33" fillId="6" borderId="4" applyNumberFormat="0" applyAlignment="0" applyProtection="0"/>
    <xf numFmtId="0" fontId="34" fillId="63" borderId="52" applyNumberFormat="0" applyAlignment="0" applyProtection="0"/>
    <xf numFmtId="0" fontId="35" fillId="7" borderId="7" applyNumberFormat="0" applyAlignment="0" applyProtection="0"/>
    <xf numFmtId="0" fontId="36" fillId="64" borderId="53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47" borderId="0" applyNumberFormat="0" applyBorder="0" applyAlignment="0" applyProtection="0"/>
    <xf numFmtId="0" fontId="1" fillId="0" borderId="1" applyNumberFormat="0" applyFill="0" applyAlignment="0" applyProtection="0"/>
    <xf numFmtId="0" fontId="41" fillId="0" borderId="54" applyNumberFormat="0" applyFill="0" applyAlignment="0" applyProtection="0"/>
    <xf numFmtId="0" fontId="2" fillId="0" borderId="2" applyNumberFormat="0" applyFill="0" applyAlignment="0" applyProtection="0"/>
    <xf numFmtId="0" fontId="42" fillId="0" borderId="55" applyNumberFormat="0" applyFill="0" applyAlignment="0" applyProtection="0"/>
    <xf numFmtId="0" fontId="3" fillId="0" borderId="3" applyNumberFormat="0" applyFill="0" applyAlignment="0" applyProtection="0"/>
    <xf numFmtId="0" fontId="43" fillId="0" borderId="56" applyNumberFormat="0" applyFill="0" applyAlignment="0" applyProtection="0"/>
    <xf numFmtId="0" fontId="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5" borderId="4" applyNumberFormat="0" applyAlignment="0" applyProtection="0"/>
    <xf numFmtId="0" fontId="45" fillId="50" borderId="52" applyNumberFormat="0" applyAlignment="0" applyProtection="0"/>
    <xf numFmtId="0" fontId="46" fillId="0" borderId="6" applyNumberFormat="0" applyFill="0" applyAlignment="0" applyProtection="0"/>
    <xf numFmtId="0" fontId="47" fillId="0" borderId="57" applyNumberFormat="0" applyFill="0" applyAlignment="0" applyProtection="0"/>
    <xf numFmtId="0" fontId="48" fillId="4" borderId="0" applyNumberFormat="0" applyBorder="0" applyAlignment="0" applyProtection="0"/>
    <xf numFmtId="0" fontId="49" fillId="65" borderId="0" applyNumberFormat="0" applyBorder="0" applyAlignment="0" applyProtection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0" fillId="66" borderId="5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0" fillId="66" borderId="5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50" fillId="6" borderId="5" applyNumberFormat="0" applyAlignment="0" applyProtection="0"/>
    <xf numFmtId="0" fontId="51" fillId="63" borderId="59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54" fillId="0" borderId="60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44" fontId="0" fillId="0" borderId="0" xfId="2" applyFont="1"/>
    <xf numFmtId="0" fontId="0" fillId="0" borderId="0" xfId="0" applyFill="1" applyBorder="1" applyAlignment="1">
      <alignment horizontal="center"/>
    </xf>
    <xf numFmtId="43" fontId="4" fillId="0" borderId="0" xfId="1" applyFont="1" applyAlignment="1">
      <alignment horizontal="center"/>
    </xf>
    <xf numFmtId="43" fontId="0" fillId="0" borderId="0" xfId="1" applyFont="1" applyAlignment="1">
      <alignment horizontal="center"/>
    </xf>
    <xf numFmtId="44" fontId="0" fillId="0" borderId="0" xfId="0" applyNumberFormat="1" applyFont="1"/>
    <xf numFmtId="0" fontId="0" fillId="0" borderId="0" xfId="0" applyFill="1"/>
    <xf numFmtId="0" fontId="0" fillId="0" borderId="0" xfId="0" applyFont="1" applyAlignment="1">
      <alignment horizontal="center" vertical="top"/>
    </xf>
    <xf numFmtId="44" fontId="0" fillId="0" borderId="0" xfId="0" applyNumberFormat="1"/>
    <xf numFmtId="164" fontId="0" fillId="0" borderId="0" xfId="0" applyNumberFormat="1"/>
    <xf numFmtId="8" fontId="0" fillId="0" borderId="0" xfId="0" applyNumberForma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0" applyNumberFormat="1" applyAlignment="1">
      <alignment horizontal="left"/>
    </xf>
    <xf numFmtId="44" fontId="0" fillId="0" borderId="0" xfId="0" applyNumberFormat="1" applyFont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6" fillId="0" borderId="12" xfId="0" applyNumberFormat="1" applyFont="1" applyFill="1" applyBorder="1" applyAlignment="1" applyProtection="1">
      <alignment horizontal="right"/>
    </xf>
    <xf numFmtId="0" fontId="6" fillId="0" borderId="13" xfId="0" applyNumberFormat="1" applyFont="1" applyFill="1" applyBorder="1" applyAlignment="1" applyProtection="1"/>
    <xf numFmtId="0" fontId="0" fillId="0" borderId="14" xfId="0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right"/>
    </xf>
    <xf numFmtId="43" fontId="6" fillId="33" borderId="17" xfId="1" applyFont="1" applyFill="1" applyBorder="1" applyAlignment="1">
      <alignment horizontal="center"/>
    </xf>
    <xf numFmtId="43" fontId="0" fillId="0" borderId="0" xfId="0" applyNumberFormat="1" applyBorder="1"/>
    <xf numFmtId="0" fontId="0" fillId="0" borderId="0" xfId="0" applyNumberFormat="1" applyFont="1"/>
    <xf numFmtId="43" fontId="0" fillId="0" borderId="0" xfId="0" applyNumberFormat="1" applyFont="1"/>
    <xf numFmtId="0" fontId="0" fillId="0" borderId="18" xfId="0" applyFont="1" applyBorder="1" applyAlignment="1">
      <alignment horizontal="center"/>
    </xf>
    <xf numFmtId="0" fontId="0" fillId="0" borderId="19" xfId="0" applyBorder="1" applyAlignment="1">
      <alignment horizontal="right"/>
    </xf>
    <xf numFmtId="43" fontId="6" fillId="34" borderId="20" xfId="1" applyFont="1" applyFill="1" applyBorder="1" applyAlignment="1">
      <alignment horizontal="center"/>
    </xf>
    <xf numFmtId="43" fontId="0" fillId="0" borderId="0" xfId="0" applyNumberFormat="1" applyFont="1" applyBorder="1" applyAlignment="1">
      <alignment horizontal="center"/>
    </xf>
    <xf numFmtId="43" fontId="6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6" fillId="0" borderId="17" xfId="0" applyFont="1" applyBorder="1" applyAlignment="1">
      <alignment horizontal="center"/>
    </xf>
    <xf numFmtId="43" fontId="0" fillId="0" borderId="0" xfId="1" applyFont="1" applyAlignment="1">
      <alignment horizontal="right"/>
    </xf>
    <xf numFmtId="0" fontId="6" fillId="0" borderId="0" xfId="0" applyFont="1" applyBorder="1" applyAlignment="1">
      <alignment horizontal="center"/>
    </xf>
    <xf numFmtId="44" fontId="0" fillId="0" borderId="0" xfId="0" applyNumberFormat="1" applyFont="1" applyBorder="1" applyAlignment="1">
      <alignment horizontal="center"/>
    </xf>
    <xf numFmtId="0" fontId="7" fillId="35" borderId="17" xfId="0" applyFont="1" applyFill="1" applyBorder="1" applyAlignment="1">
      <alignment horizontal="center"/>
    </xf>
    <xf numFmtId="43" fontId="0" fillId="0" borderId="0" xfId="1" applyFont="1"/>
    <xf numFmtId="0" fontId="0" fillId="0" borderId="0" xfId="0" applyFont="1" applyBorder="1"/>
    <xf numFmtId="44" fontId="6" fillId="0" borderId="0" xfId="0" applyNumberFormat="1" applyFont="1" applyBorder="1"/>
    <xf numFmtId="43" fontId="6" fillId="36" borderId="17" xfId="1" applyFont="1" applyFill="1" applyBorder="1" applyAlignment="1">
      <alignment horizontal="center"/>
    </xf>
    <xf numFmtId="43" fontId="4" fillId="0" borderId="0" xfId="1" applyFont="1" applyBorder="1" applyAlignment="1">
      <alignment horizontal="center"/>
    </xf>
    <xf numFmtId="8" fontId="6" fillId="0" borderId="0" xfId="1" applyNumberFormat="1" applyFont="1" applyBorder="1" applyAlignment="1">
      <alignment horizontal="right"/>
    </xf>
    <xf numFmtId="44" fontId="0" fillId="0" borderId="0" xfId="0" applyNumberFormat="1" applyFont="1" applyBorder="1"/>
    <xf numFmtId="0" fontId="0" fillId="0" borderId="21" xfId="0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Border="1" applyAlignment="1">
      <alignment horizontal="right"/>
    </xf>
    <xf numFmtId="43" fontId="6" fillId="37" borderId="24" xfId="1" applyFont="1" applyFill="1" applyBorder="1" applyAlignment="1">
      <alignment horizontal="center"/>
    </xf>
    <xf numFmtId="43" fontId="0" fillId="0" borderId="0" xfId="1" applyFont="1" applyBorder="1"/>
    <xf numFmtId="0" fontId="0" fillId="0" borderId="0" xfId="0" applyFont="1" applyFill="1" applyAlignment="1">
      <alignment horizontal="center"/>
    </xf>
    <xf numFmtId="0" fontId="0" fillId="0" borderId="0" xfId="0" applyFill="1" applyBorder="1" applyAlignment="1">
      <alignment horizontal="right"/>
    </xf>
    <xf numFmtId="44" fontId="0" fillId="0" borderId="0" xfId="2" applyFont="1" applyFill="1"/>
    <xf numFmtId="43" fontId="4" fillId="0" borderId="0" xfId="1" applyFont="1" applyFill="1" applyBorder="1" applyAlignment="1">
      <alignment horizontal="center"/>
    </xf>
    <xf numFmtId="43" fontId="0" fillId="0" borderId="0" xfId="1" applyFont="1" applyFill="1"/>
    <xf numFmtId="0" fontId="0" fillId="0" borderId="0" xfId="0" applyFont="1" applyFill="1"/>
    <xf numFmtId="0" fontId="6" fillId="0" borderId="0" xfId="0" applyFont="1" applyFill="1" applyAlignment="1">
      <alignment horizontal="center"/>
    </xf>
    <xf numFmtId="44" fontId="0" fillId="0" borderId="0" xfId="0" applyNumberFormat="1" applyFill="1"/>
    <xf numFmtId="0" fontId="0" fillId="0" borderId="0" xfId="0" applyBorder="1" applyAlignment="1">
      <alignment horizontal="right"/>
    </xf>
    <xf numFmtId="44" fontId="6" fillId="0" borderId="25" xfId="2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43" fontId="6" fillId="0" borderId="27" xfId="1" applyFont="1" applyFill="1" applyBorder="1" applyAlignment="1">
      <alignment horizontal="center"/>
    </xf>
    <xf numFmtId="43" fontId="6" fillId="35" borderId="28" xfId="1" applyFont="1" applyFill="1" applyBorder="1" applyAlignment="1">
      <alignment horizontal="center"/>
    </xf>
    <xf numFmtId="43" fontId="6" fillId="35" borderId="29" xfId="1" applyFont="1" applyFill="1" applyBorder="1" applyAlignment="1">
      <alignment horizontal="center"/>
    </xf>
    <xf numFmtId="43" fontId="6" fillId="0" borderId="29" xfId="1" applyFont="1" applyFill="1" applyBorder="1" applyAlignment="1">
      <alignment horizontal="center"/>
    </xf>
    <xf numFmtId="43" fontId="6" fillId="0" borderId="30" xfId="0" applyNumberFormat="1" applyFont="1" applyBorder="1" applyAlignment="1">
      <alignment horizontal="center"/>
    </xf>
    <xf numFmtId="43" fontId="6" fillId="0" borderId="31" xfId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38" borderId="16" xfId="0" applyFont="1" applyFill="1" applyBorder="1" applyAlignment="1">
      <alignment horizontal="center"/>
    </xf>
    <xf numFmtId="0" fontId="6" fillId="38" borderId="19" xfId="0" applyFont="1" applyFill="1" applyBorder="1" applyAlignment="1">
      <alignment horizontal="center"/>
    </xf>
    <xf numFmtId="0" fontId="6" fillId="38" borderId="20" xfId="0" applyFont="1" applyFill="1" applyBorder="1" applyAlignment="1">
      <alignment horizontal="center"/>
    </xf>
    <xf numFmtId="43" fontId="6" fillId="38" borderId="0" xfId="1" applyFont="1" applyFill="1" applyBorder="1" applyAlignment="1">
      <alignment horizontal="center"/>
    </xf>
    <xf numFmtId="43" fontId="6" fillId="38" borderId="32" xfId="1" applyFont="1" applyFill="1" applyBorder="1" applyAlignment="1">
      <alignment horizontal="center"/>
    </xf>
    <xf numFmtId="43" fontId="6" fillId="38" borderId="33" xfId="1" applyFont="1" applyFill="1" applyBorder="1" applyAlignment="1">
      <alignment horizontal="center"/>
    </xf>
    <xf numFmtId="43" fontId="6" fillId="38" borderId="12" xfId="1" applyFont="1" applyFill="1" applyBorder="1" applyAlignment="1">
      <alignment horizontal="center"/>
    </xf>
    <xf numFmtId="43" fontId="6" fillId="38" borderId="34" xfId="1" applyFont="1" applyFill="1" applyBorder="1" applyAlignment="1">
      <alignment horizontal="center"/>
    </xf>
    <xf numFmtId="43" fontId="6" fillId="38" borderId="35" xfId="1" applyFont="1" applyFill="1" applyBorder="1" applyAlignment="1">
      <alignment horizontal="center"/>
    </xf>
    <xf numFmtId="43" fontId="6" fillId="38" borderId="36" xfId="1" applyFont="1" applyFill="1" applyBorder="1" applyAlignment="1">
      <alignment horizontal="center"/>
    </xf>
    <xf numFmtId="43" fontId="6" fillId="35" borderId="37" xfId="1" applyFont="1" applyFill="1" applyBorder="1" applyAlignment="1">
      <alignment horizontal="center"/>
    </xf>
    <xf numFmtId="43" fontId="6" fillId="0" borderId="38" xfId="1" applyFont="1" applyFill="1" applyBorder="1" applyAlignment="1">
      <alignment horizontal="center"/>
    </xf>
    <xf numFmtId="43" fontId="6" fillId="39" borderId="39" xfId="1" applyFont="1" applyFill="1" applyBorder="1" applyAlignment="1">
      <alignment horizontal="center"/>
    </xf>
    <xf numFmtId="43" fontId="6" fillId="35" borderId="16" xfId="1" applyFont="1" applyFill="1" applyBorder="1" applyAlignment="1">
      <alignment horizontal="center"/>
    </xf>
    <xf numFmtId="43" fontId="6" fillId="40" borderId="19" xfId="1" applyFont="1" applyFill="1" applyBorder="1" applyAlignment="1">
      <alignment horizontal="center"/>
    </xf>
    <xf numFmtId="44" fontId="6" fillId="38" borderId="38" xfId="0" applyNumberFormat="1" applyFont="1" applyFill="1" applyBorder="1" applyAlignment="1">
      <alignment horizontal="center"/>
    </xf>
    <xf numFmtId="44" fontId="6" fillId="38" borderId="13" xfId="0" applyNumberFormat="1" applyFont="1" applyFill="1" applyBorder="1" applyAlignment="1">
      <alignment horizontal="center"/>
    </xf>
    <xf numFmtId="44" fontId="6" fillId="38" borderId="38" xfId="0" applyNumberFormat="1" applyFont="1" applyFill="1" applyBorder="1" applyAlignment="1">
      <alignment horizontal="center" vertical="top"/>
    </xf>
    <xf numFmtId="164" fontId="6" fillId="38" borderId="33" xfId="0" applyNumberFormat="1" applyFont="1" applyFill="1" applyBorder="1" applyAlignment="1">
      <alignment horizontal="center"/>
    </xf>
    <xf numFmtId="164" fontId="6" fillId="38" borderId="0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8" fillId="0" borderId="19" xfId="0" applyFont="1" applyFill="1" applyBorder="1" applyAlignment="1"/>
    <xf numFmtId="44" fontId="0" fillId="0" borderId="20" xfId="2" applyNumberFormat="1" applyFont="1" applyFill="1" applyBorder="1"/>
    <xf numFmtId="44" fontId="0" fillId="0" borderId="18" xfId="1" applyNumberFormat="1" applyFont="1" applyFill="1" applyBorder="1" applyAlignment="1"/>
    <xf numFmtId="44" fontId="4" fillId="33" borderId="40" xfId="1" applyNumberFormat="1" applyFont="1" applyFill="1" applyBorder="1" applyAlignment="1">
      <alignment horizontal="center"/>
    </xf>
    <xf numFmtId="44" fontId="4" fillId="33" borderId="14" xfId="1" applyNumberFormat="1" applyFont="1" applyFill="1" applyBorder="1" applyAlignment="1">
      <alignment horizontal="center"/>
    </xf>
    <xf numFmtId="44" fontId="0" fillId="0" borderId="34" xfId="1" applyNumberFormat="1" applyFont="1" applyFill="1" applyBorder="1" applyAlignment="1"/>
    <xf numFmtId="44" fontId="6" fillId="35" borderId="0" xfId="1" applyNumberFormat="1" applyFont="1" applyFill="1" applyBorder="1"/>
    <xf numFmtId="44" fontId="0" fillId="37" borderId="15" xfId="1" applyNumberFormat="1" applyFont="1" applyFill="1" applyBorder="1"/>
    <xf numFmtId="44" fontId="0" fillId="36" borderId="17" xfId="1" applyNumberFormat="1" applyFont="1" applyFill="1" applyBorder="1"/>
    <xf numFmtId="44" fontId="6" fillId="0" borderId="41" xfId="1" applyNumberFormat="1" applyFont="1" applyFill="1" applyBorder="1"/>
    <xf numFmtId="44" fontId="6" fillId="0" borderId="15" xfId="1" applyNumberFormat="1" applyFont="1" applyFill="1" applyBorder="1" applyAlignment="1"/>
    <xf numFmtId="44" fontId="4" fillId="0" borderId="16" xfId="1" applyNumberFormat="1" applyFont="1" applyFill="1" applyBorder="1"/>
    <xf numFmtId="44" fontId="6" fillId="35" borderId="16" xfId="1" applyNumberFormat="1" applyFont="1" applyFill="1" applyBorder="1" applyAlignment="1"/>
    <xf numFmtId="44" fontId="6" fillId="0" borderId="19" xfId="1" applyNumberFormat="1" applyFont="1" applyFill="1" applyBorder="1" applyAlignment="1"/>
    <xf numFmtId="44" fontId="6" fillId="35" borderId="0" xfId="1" applyNumberFormat="1" applyFont="1" applyFill="1" applyBorder="1" applyAlignment="1"/>
    <xf numFmtId="44" fontId="0" fillId="0" borderId="32" xfId="0" applyNumberFormat="1" applyFont="1" applyFill="1" applyBorder="1" applyAlignment="1"/>
    <xf numFmtId="44" fontId="0" fillId="0" borderId="41" xfId="0" applyNumberFormat="1" applyFont="1" applyFill="1" applyBorder="1" applyAlignment="1"/>
    <xf numFmtId="44" fontId="0" fillId="0" borderId="41" xfId="0" applyNumberFormat="1" applyFont="1" applyFill="1" applyBorder="1" applyAlignment="1">
      <alignment vertical="top"/>
    </xf>
    <xf numFmtId="44" fontId="0" fillId="0" borderId="0" xfId="0" applyNumberFormat="1" applyFont="1" applyFill="1" applyBorder="1" applyAlignment="1"/>
    <xf numFmtId="0" fontId="0" fillId="0" borderId="16" xfId="0" applyBorder="1" applyAlignment="1">
      <alignment horizontal="center"/>
    </xf>
    <xf numFmtId="11" fontId="0" fillId="0" borderId="19" xfId="0" quotePrefix="1" applyNumberFormat="1" applyFont="1" applyBorder="1" applyAlignment="1">
      <alignment horizontal="center"/>
    </xf>
    <xf numFmtId="0" fontId="9" fillId="0" borderId="19" xfId="0" applyFont="1" applyFill="1" applyBorder="1" applyAlignment="1"/>
    <xf numFmtId="44" fontId="6" fillId="35" borderId="16" xfId="1" applyNumberFormat="1" applyFont="1" applyFill="1" applyBorder="1"/>
    <xf numFmtId="0" fontId="10" fillId="0" borderId="19" xfId="0" applyFont="1" applyFill="1" applyBorder="1" applyAlignment="1"/>
    <xf numFmtId="0" fontId="11" fillId="0" borderId="19" xfId="0" applyFont="1" applyFill="1" applyBorder="1" applyAlignment="1"/>
    <xf numFmtId="0" fontId="0" fillId="0" borderId="1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0" xfId="0" applyFont="1"/>
    <xf numFmtId="44" fontId="4" fillId="0" borderId="14" xfId="1" applyNumberFormat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44" fontId="4" fillId="0" borderId="20" xfId="2" applyNumberFormat="1" applyFont="1" applyFill="1" applyBorder="1"/>
    <xf numFmtId="44" fontId="4" fillId="0" borderId="34" xfId="1" applyNumberFormat="1" applyFont="1" applyFill="1" applyBorder="1" applyAlignment="1"/>
    <xf numFmtId="44" fontId="4" fillId="35" borderId="0" xfId="1" applyNumberFormat="1" applyFont="1" applyFill="1" applyBorder="1"/>
    <xf numFmtId="44" fontId="4" fillId="37" borderId="15" xfId="1" applyNumberFormat="1" applyFont="1" applyFill="1" applyBorder="1"/>
    <xf numFmtId="44" fontId="4" fillId="36" borderId="17" xfId="1" applyNumberFormat="1" applyFont="1" applyFill="1" applyBorder="1"/>
    <xf numFmtId="44" fontId="4" fillId="0" borderId="41" xfId="1" applyNumberFormat="1" applyFont="1" applyFill="1" applyBorder="1"/>
    <xf numFmtId="44" fontId="4" fillId="0" borderId="15" xfId="1" applyNumberFormat="1" applyFont="1" applyFill="1" applyBorder="1" applyAlignment="1"/>
    <xf numFmtId="44" fontId="4" fillId="35" borderId="16" xfId="1" applyNumberFormat="1" applyFont="1" applyFill="1" applyBorder="1"/>
    <xf numFmtId="44" fontId="4" fillId="0" borderId="19" xfId="1" applyNumberFormat="1" applyFont="1" applyFill="1" applyBorder="1" applyAlignment="1"/>
    <xf numFmtId="0" fontId="6" fillId="0" borderId="19" xfId="0" applyFont="1" applyBorder="1" applyAlignment="1">
      <alignment horizontal="center"/>
    </xf>
    <xf numFmtId="0" fontId="0" fillId="41" borderId="0" xfId="0" applyFill="1"/>
    <xf numFmtId="0" fontId="0" fillId="0" borderId="19" xfId="0" applyFill="1" applyBorder="1"/>
    <xf numFmtId="0" fontId="9" fillId="42" borderId="19" xfId="0" applyFont="1" applyFill="1" applyBorder="1" applyAlignment="1"/>
    <xf numFmtId="0" fontId="10" fillId="42" borderId="19" xfId="0" applyFont="1" applyFill="1" applyBorder="1" applyAlignment="1"/>
    <xf numFmtId="0" fontId="12" fillId="42" borderId="19" xfId="0" applyFont="1" applyFill="1" applyBorder="1" applyAlignment="1"/>
    <xf numFmtId="0" fontId="9" fillId="43" borderId="19" xfId="0" applyFont="1" applyFill="1" applyBorder="1" applyAlignment="1"/>
    <xf numFmtId="44" fontId="0" fillId="39" borderId="17" xfId="1" applyNumberFormat="1" applyFont="1" applyFill="1" applyBorder="1"/>
    <xf numFmtId="0" fontId="11" fillId="0" borderId="19" xfId="0" applyFont="1" applyFill="1" applyBorder="1"/>
    <xf numFmtId="0" fontId="6" fillId="0" borderId="19" xfId="0" applyFont="1" applyFill="1" applyBorder="1" applyAlignment="1"/>
    <xf numFmtId="0" fontId="13" fillId="0" borderId="19" xfId="0" applyFont="1" applyFill="1" applyBorder="1" applyAlignment="1"/>
    <xf numFmtId="0" fontId="0" fillId="0" borderId="42" xfId="0" applyFont="1" applyFill="1" applyBorder="1" applyAlignment="1">
      <alignment horizontal="center"/>
    </xf>
    <xf numFmtId="0" fontId="10" fillId="0" borderId="42" xfId="0" applyFont="1" applyFill="1" applyBorder="1" applyAlignment="1"/>
    <xf numFmtId="0" fontId="6" fillId="38" borderId="43" xfId="0" applyFont="1" applyFill="1" applyBorder="1" applyAlignment="1">
      <alignment horizontal="center"/>
    </xf>
    <xf numFmtId="0" fontId="6" fillId="38" borderId="44" xfId="0" applyFont="1" applyFill="1" applyBorder="1" applyAlignment="1">
      <alignment horizontal="center"/>
    </xf>
    <xf numFmtId="0" fontId="0" fillId="38" borderId="28" xfId="0" applyFont="1" applyFill="1" applyBorder="1" applyAlignment="1">
      <alignment horizontal="center"/>
    </xf>
    <xf numFmtId="0" fontId="6" fillId="38" borderId="27" xfId="0" applyFont="1" applyFill="1" applyBorder="1" applyAlignment="1">
      <alignment horizontal="center"/>
    </xf>
    <xf numFmtId="44" fontId="6" fillId="38" borderId="44" xfId="0" applyNumberFormat="1" applyFont="1" applyFill="1" applyBorder="1" applyAlignment="1">
      <alignment horizontal="center"/>
    </xf>
    <xf numFmtId="44" fontId="6" fillId="0" borderId="31" xfId="0" applyNumberFormat="1" applyFont="1" applyFill="1" applyBorder="1" applyAlignment="1">
      <alignment horizontal="center"/>
    </xf>
    <xf numFmtId="44" fontId="6" fillId="38" borderId="43" xfId="0" applyNumberFormat="1" applyFont="1" applyFill="1" applyBorder="1" applyAlignment="1">
      <alignment horizontal="center"/>
    </xf>
    <xf numFmtId="44" fontId="6" fillId="35" borderId="45" xfId="1" applyNumberFormat="1" applyFont="1" applyFill="1" applyBorder="1"/>
    <xf numFmtId="44" fontId="6" fillId="38" borderId="28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44" fontId="6" fillId="0" borderId="0" xfId="0" applyNumberFormat="1" applyFont="1" applyFill="1" applyBorder="1" applyAlignment="1">
      <alignment horizontal="left" wrapText="1"/>
    </xf>
    <xf numFmtId="44" fontId="6" fillId="0" borderId="0" xfId="2" applyNumberFormat="1" applyFont="1" applyFill="1" applyBorder="1" applyAlignment="1">
      <alignment horizontal="right"/>
    </xf>
    <xf numFmtId="44" fontId="14" fillId="0" borderId="31" xfId="0" applyNumberFormat="1" applyFont="1" applyBorder="1"/>
    <xf numFmtId="44" fontId="6" fillId="0" borderId="0" xfId="0" applyNumberFormat="1" applyFont="1" applyFill="1" applyBorder="1" applyAlignment="1">
      <alignment horizontal="center"/>
    </xf>
    <xf numFmtId="44" fontId="14" fillId="0" borderId="0" xfId="0" applyNumberFormat="1" applyFont="1" applyBorder="1"/>
    <xf numFmtId="44" fontId="14" fillId="0" borderId="0" xfId="0" applyNumberFormat="1" applyFont="1" applyFill="1" applyBorder="1" applyAlignment="1">
      <alignment horizontal="center"/>
    </xf>
    <xf numFmtId="44" fontId="0" fillId="0" borderId="0" xfId="0" applyNumberFormat="1" applyFill="1" applyBorder="1"/>
    <xf numFmtId="44" fontId="0" fillId="0" borderId="0" xfId="0" applyNumberFormat="1" applyBorder="1"/>
    <xf numFmtId="44" fontId="0" fillId="0" borderId="46" xfId="0" applyNumberFormat="1" applyBorder="1"/>
    <xf numFmtId="44" fontId="6" fillId="0" borderId="0" xfId="0" applyNumberFormat="1" applyFont="1" applyAlignment="1">
      <alignment horizontal="center"/>
    </xf>
    <xf numFmtId="44" fontId="0" fillId="0" borderId="0" xfId="0" applyNumberFormat="1" applyFont="1" applyFill="1" applyAlignment="1">
      <alignment horizontal="center"/>
    </xf>
    <xf numFmtId="44" fontId="6" fillId="0" borderId="0" xfId="0" applyNumberFormat="1" applyFont="1" applyBorder="1" applyAlignment="1"/>
    <xf numFmtId="44" fontId="15" fillId="0" borderId="0" xfId="0" applyNumberFormat="1" applyFont="1" applyFill="1" applyBorder="1"/>
    <xf numFmtId="44" fontId="0" fillId="0" borderId="0" xfId="2" applyNumberFormat="1" applyFont="1"/>
    <xf numFmtId="44" fontId="0" fillId="0" borderId="0" xfId="0" applyNumberFormat="1" applyFill="1" applyAlignment="1">
      <alignment horizontal="center"/>
    </xf>
    <xf numFmtId="44" fontId="0" fillId="0" borderId="0" xfId="1" applyNumberFormat="1" applyFont="1"/>
    <xf numFmtId="44" fontId="6" fillId="0" borderId="0" xfId="1" applyNumberFormat="1" applyFont="1"/>
    <xf numFmtId="44" fontId="6" fillId="0" borderId="0" xfId="0" applyNumberFormat="1" applyFont="1"/>
    <xf numFmtId="44" fontId="6" fillId="0" borderId="0" xfId="0" applyNumberFormat="1" applyFont="1" applyBorder="1" applyAlignment="1">
      <alignment horizontal="center"/>
    </xf>
    <xf numFmtId="44" fontId="0" fillId="0" borderId="47" xfId="0" applyNumberFormat="1" applyBorder="1" applyProtection="1">
      <protection locked="0"/>
    </xf>
    <xf numFmtId="44" fontId="0" fillId="0" borderId="30" xfId="0" applyNumberFormat="1" applyBorder="1" applyProtection="1">
      <protection locked="0"/>
    </xf>
    <xf numFmtId="44" fontId="16" fillId="0" borderId="30" xfId="0" applyNumberFormat="1" applyFont="1" applyBorder="1" applyProtection="1">
      <protection locked="0"/>
    </xf>
    <xf numFmtId="44" fontId="0" fillId="0" borderId="48" xfId="0" applyNumberFormat="1" applyBorder="1" applyProtection="1">
      <protection locked="0"/>
    </xf>
    <xf numFmtId="44" fontId="15" fillId="0" borderId="0" xfId="0" applyNumberFormat="1" applyFont="1" applyFill="1"/>
    <xf numFmtId="44" fontId="17" fillId="0" borderId="0" xfId="0" applyNumberFormat="1" applyFont="1" applyAlignment="1">
      <alignment horizontal="center"/>
    </xf>
    <xf numFmtId="44" fontId="0" fillId="0" borderId="32" xfId="0" applyNumberFormat="1" applyBorder="1" applyProtection="1">
      <protection locked="0"/>
    </xf>
    <xf numFmtId="44" fontId="0" fillId="0" borderId="0" xfId="0" applyNumberFormat="1" applyBorder="1" applyProtection="1">
      <protection locked="0"/>
    </xf>
    <xf numFmtId="44" fontId="16" fillId="0" borderId="0" xfId="0" applyNumberFormat="1" applyFont="1" applyBorder="1" applyAlignment="1" applyProtection="1">
      <alignment horizontal="center"/>
      <protection locked="0"/>
    </xf>
    <xf numFmtId="44" fontId="6" fillId="0" borderId="27" xfId="0" applyNumberFormat="1" applyFont="1" applyBorder="1" applyAlignment="1">
      <alignment horizontal="center"/>
    </xf>
    <xf numFmtId="44" fontId="6" fillId="0" borderId="28" xfId="0" applyNumberFormat="1" applyFont="1" applyBorder="1"/>
    <xf numFmtId="44" fontId="6" fillId="0" borderId="49" xfId="0" applyNumberFormat="1" applyFont="1" applyBorder="1"/>
    <xf numFmtId="0" fontId="6" fillId="0" borderId="0" xfId="0" applyFont="1" applyFill="1" applyBorder="1" applyAlignment="1">
      <alignment horizontal="left"/>
    </xf>
    <xf numFmtId="44" fontId="0" fillId="0" borderId="0" xfId="2" applyNumberFormat="1" applyFont="1" applyAlignment="1">
      <alignment horizontal="right"/>
    </xf>
    <xf numFmtId="44" fontId="6" fillId="0" borderId="0" xfId="1" applyNumberFormat="1" applyFont="1" applyAlignment="1">
      <alignment horizontal="center"/>
    </xf>
    <xf numFmtId="8" fontId="0" fillId="0" borderId="46" xfId="0" applyNumberFormat="1" applyFont="1" applyBorder="1" applyAlignment="1">
      <alignment horizontal="center"/>
    </xf>
    <xf numFmtId="44" fontId="6" fillId="0" borderId="0" xfId="1" applyNumberFormat="1" applyFont="1" applyAlignment="1">
      <alignment horizontal="left"/>
    </xf>
    <xf numFmtId="44" fontId="17" fillId="0" borderId="0" xfId="1" applyNumberFormat="1" applyFont="1" applyBorder="1" applyAlignment="1">
      <alignment horizontal="center"/>
    </xf>
    <xf numFmtId="44" fontId="0" fillId="0" borderId="32" xfId="0" applyNumberFormat="1" applyBorder="1"/>
    <xf numFmtId="44" fontId="0" fillId="0" borderId="50" xfId="0" applyNumberFormat="1" applyBorder="1"/>
    <xf numFmtId="44" fontId="0" fillId="0" borderId="0" xfId="0" applyNumberFormat="1" applyAlignment="1">
      <alignment horizontal="right"/>
    </xf>
    <xf numFmtId="8" fontId="0" fillId="0" borderId="0" xfId="0" applyNumberFormat="1" applyFont="1" applyBorder="1"/>
    <xf numFmtId="8" fontId="0" fillId="0" borderId="0" xfId="0" applyNumberFormat="1" applyFill="1" applyBorder="1"/>
    <xf numFmtId="44" fontId="18" fillId="44" borderId="0" xfId="0" applyNumberFormat="1" applyFont="1" applyFill="1"/>
    <xf numFmtId="44" fontId="6" fillId="0" borderId="46" xfId="0" applyNumberFormat="1" applyFont="1" applyBorder="1"/>
    <xf numFmtId="44" fontId="19" fillId="0" borderId="0" xfId="0" applyNumberFormat="1" applyFont="1" applyBorder="1"/>
    <xf numFmtId="44" fontId="0" fillId="0" borderId="0" xfId="0" applyNumberFormat="1" applyFill="1" applyBorder="1" applyAlignment="1">
      <alignment horizontal="right"/>
    </xf>
    <xf numFmtId="44" fontId="0" fillId="0" borderId="0" xfId="0" applyNumberFormat="1" applyFill="1" applyBorder="1" applyAlignment="1">
      <alignment horizontal="left"/>
    </xf>
    <xf numFmtId="164" fontId="6" fillId="0" borderId="19" xfId="0" applyNumberFormat="1" applyFont="1" applyBorder="1" applyAlignment="1">
      <alignment horizontal="right"/>
    </xf>
    <xf numFmtId="44" fontId="6" fillId="0" borderId="18" xfId="0" applyNumberFormat="1" applyFont="1" applyBorder="1"/>
    <xf numFmtId="44" fontId="6" fillId="0" borderId="15" xfId="0" applyNumberFormat="1" applyFont="1" applyBorder="1"/>
    <xf numFmtId="44" fontId="20" fillId="33" borderId="49" xfId="0" applyNumberFormat="1" applyFont="1" applyFill="1" applyBorder="1"/>
    <xf numFmtId="44" fontId="0" fillId="0" borderId="0" xfId="0" applyNumberFormat="1" applyFont="1" applyAlignment="1">
      <alignment horizontal="right"/>
    </xf>
    <xf numFmtId="44" fontId="6" fillId="0" borderId="0" xfId="0" applyNumberFormat="1" applyFont="1" applyFill="1" applyBorder="1"/>
    <xf numFmtId="44" fontId="21" fillId="0" borderId="0" xfId="0" applyNumberFormat="1" applyFont="1" applyBorder="1"/>
    <xf numFmtId="44" fontId="0" fillId="0" borderId="32" xfId="0" applyNumberFormat="1" applyFont="1" applyBorder="1" applyAlignment="1"/>
    <xf numFmtId="44" fontId="0" fillId="0" borderId="0" xfId="0" applyNumberFormat="1" applyFont="1" applyFill="1" applyBorder="1"/>
    <xf numFmtId="44" fontId="0" fillId="0" borderId="0" xfId="0" applyNumberFormat="1" applyFont="1" applyFill="1" applyBorder="1" applyAlignment="1">
      <alignment horizontal="right" vertical="top"/>
    </xf>
    <xf numFmtId="44" fontId="0" fillId="0" borderId="0" xfId="0" applyNumberFormat="1" applyFont="1" applyAlignment="1">
      <alignment horizontal="right" vertical="top"/>
    </xf>
    <xf numFmtId="44" fontId="4" fillId="0" borderId="0" xfId="0" applyNumberFormat="1" applyFont="1"/>
    <xf numFmtId="44" fontId="0" fillId="0" borderId="50" xfId="0" applyNumberFormat="1" applyBorder="1" applyProtection="1">
      <protection locked="0"/>
    </xf>
    <xf numFmtId="44" fontId="17" fillId="41" borderId="49" xfId="0" applyNumberFormat="1" applyFont="1" applyFill="1" applyBorder="1"/>
    <xf numFmtId="44" fontId="0" fillId="0" borderId="32" xfId="0" applyNumberFormat="1" applyFont="1" applyBorder="1"/>
    <xf numFmtId="10" fontId="0" fillId="0" borderId="0" xfId="3" applyNumberFormat="1" applyFont="1"/>
    <xf numFmtId="44" fontId="0" fillId="0" borderId="45" xfId="0" applyNumberFormat="1" applyBorder="1"/>
    <xf numFmtId="44" fontId="0" fillId="0" borderId="29" xfId="0" applyNumberFormat="1" applyBorder="1"/>
    <xf numFmtId="44" fontId="0" fillId="0" borderId="51" xfId="0" applyNumberFormat="1" applyBorder="1"/>
    <xf numFmtId="44" fontId="4" fillId="0" borderId="18" xfId="1" applyNumberFormat="1" applyFont="1" applyFill="1" applyBorder="1" applyAlignment="1"/>
    <xf numFmtId="0" fontId="0" fillId="0" borderId="61" xfId="0" applyBorder="1" applyAlignment="1">
      <alignment horizontal="center"/>
    </xf>
    <xf numFmtId="0" fontId="0" fillId="0" borderId="42" xfId="0" applyFont="1" applyBorder="1" applyAlignment="1">
      <alignment horizontal="center"/>
    </xf>
    <xf numFmtId="44" fontId="0" fillId="0" borderId="62" xfId="2" applyNumberFormat="1" applyFont="1" applyFill="1" applyBorder="1"/>
    <xf numFmtId="44" fontId="0" fillId="0" borderId="63" xfId="1" applyNumberFormat="1" applyFont="1" applyFill="1" applyBorder="1" applyAlignment="1"/>
    <xf numFmtId="44" fontId="4" fillId="33" borderId="64" xfId="1" applyNumberFormat="1" applyFont="1" applyFill="1" applyBorder="1" applyAlignment="1">
      <alignment horizontal="center"/>
    </xf>
    <xf numFmtId="44" fontId="4" fillId="0" borderId="65" xfId="1" applyNumberFormat="1" applyFont="1" applyFill="1" applyBorder="1" applyAlignment="1">
      <alignment horizontal="center"/>
    </xf>
    <xf numFmtId="44" fontId="0" fillId="0" borderId="50" xfId="1" applyNumberFormat="1" applyFont="1" applyFill="1" applyBorder="1" applyAlignment="1"/>
    <xf numFmtId="44" fontId="0" fillId="37" borderId="66" xfId="1" applyNumberFormat="1" applyFont="1" applyFill="1" applyBorder="1"/>
    <xf numFmtId="44" fontId="0" fillId="36" borderId="67" xfId="1" applyNumberFormat="1" applyFont="1" applyFill="1" applyBorder="1"/>
    <xf numFmtId="44" fontId="6" fillId="0" borderId="66" xfId="1" applyNumberFormat="1" applyFont="1" applyFill="1" applyBorder="1" applyAlignment="1"/>
    <xf numFmtId="44" fontId="4" fillId="0" borderId="61" xfId="1" applyNumberFormat="1" applyFont="1" applyFill="1" applyBorder="1"/>
    <xf numFmtId="44" fontId="6" fillId="35" borderId="61" xfId="1" applyNumberFormat="1" applyFont="1" applyFill="1" applyBorder="1"/>
    <xf numFmtId="44" fontId="6" fillId="0" borderId="42" xfId="1" applyNumberFormat="1" applyFont="1" applyFill="1" applyBorder="1" applyAlignment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10" fillId="0" borderId="43" xfId="0" applyFont="1" applyFill="1" applyBorder="1" applyAlignment="1"/>
    <xf numFmtId="44" fontId="0" fillId="0" borderId="31" xfId="2" applyNumberFormat="1" applyFont="1" applyFill="1" applyBorder="1"/>
    <xf numFmtId="44" fontId="0" fillId="0" borderId="28" xfId="1" applyNumberFormat="1" applyFont="1" applyFill="1" applyBorder="1" applyAlignment="1"/>
    <xf numFmtId="44" fontId="4" fillId="33" borderId="27" xfId="1" applyNumberFormat="1" applyFont="1" applyFill="1" applyBorder="1" applyAlignment="1">
      <alignment horizontal="center"/>
    </xf>
    <xf numFmtId="44" fontId="4" fillId="33" borderId="25" xfId="1" applyNumberFormat="1" applyFont="1" applyFill="1" applyBorder="1" applyAlignment="1">
      <alignment horizontal="center"/>
    </xf>
    <xf numFmtId="44" fontId="0" fillId="0" borderId="49" xfId="1" applyNumberFormat="1" applyFont="1" applyFill="1" applyBorder="1" applyAlignment="1"/>
    <xf numFmtId="44" fontId="6" fillId="35" borderId="28" xfId="1" applyNumberFormat="1" applyFont="1" applyFill="1" applyBorder="1"/>
    <xf numFmtId="44" fontId="0" fillId="37" borderId="68" xfId="1" applyNumberFormat="1" applyFont="1" applyFill="1" applyBorder="1"/>
    <xf numFmtId="44" fontId="0" fillId="36" borderId="44" xfId="1" applyNumberFormat="1" applyFont="1" applyFill="1" applyBorder="1"/>
    <xf numFmtId="44" fontId="6" fillId="0" borderId="31" xfId="1" applyNumberFormat="1" applyFont="1" applyFill="1" applyBorder="1"/>
    <xf numFmtId="44" fontId="6" fillId="0" borderId="68" xfId="1" applyNumberFormat="1" applyFont="1" applyFill="1" applyBorder="1" applyAlignment="1"/>
    <xf numFmtId="44" fontId="4" fillId="0" borderId="26" xfId="1" applyNumberFormat="1" applyFont="1" applyFill="1" applyBorder="1"/>
    <xf numFmtId="44" fontId="6" fillId="35" borderId="26" xfId="1" applyNumberFormat="1" applyFont="1" applyFill="1" applyBorder="1"/>
    <xf numFmtId="44" fontId="6" fillId="0" borderId="43" xfId="1" applyNumberFormat="1" applyFont="1" applyFill="1" applyBorder="1" applyAlignment="1"/>
    <xf numFmtId="44" fontId="0" fillId="0" borderId="27" xfId="0" applyNumberFormat="1" applyFont="1" applyFill="1" applyBorder="1" applyAlignment="1"/>
    <xf numFmtId="44" fontId="0" fillId="0" borderId="31" xfId="0" applyNumberFormat="1" applyFont="1" applyFill="1" applyBorder="1" applyAlignment="1"/>
    <xf numFmtId="44" fontId="0" fillId="0" borderId="31" xfId="0" applyNumberFormat="1" applyFont="1" applyFill="1" applyBorder="1" applyAlignment="1">
      <alignment vertical="top"/>
    </xf>
    <xf numFmtId="44" fontId="0" fillId="0" borderId="28" xfId="0" applyNumberFormat="1" applyBorder="1"/>
    <xf numFmtId="44" fontId="0" fillId="0" borderId="28" xfId="0" applyNumberFormat="1" applyFont="1" applyFill="1" applyBorder="1" applyAlignment="1"/>
    <xf numFmtId="0" fontId="0" fillId="0" borderId="28" xfId="0" applyBorder="1"/>
    <xf numFmtId="0" fontId="0" fillId="0" borderId="69" xfId="0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10" fillId="0" borderId="37" xfId="0" applyFont="1" applyFill="1" applyBorder="1" applyAlignment="1"/>
    <xf numFmtId="44" fontId="0" fillId="0" borderId="70" xfId="2" applyNumberFormat="1" applyFont="1" applyFill="1" applyBorder="1"/>
    <xf numFmtId="44" fontId="0" fillId="0" borderId="71" xfId="1" applyNumberFormat="1" applyFont="1" applyFill="1" applyBorder="1" applyAlignment="1"/>
    <xf numFmtId="44" fontId="4" fillId="33" borderId="72" xfId="1" applyNumberFormat="1" applyFont="1" applyFill="1" applyBorder="1" applyAlignment="1">
      <alignment horizontal="center"/>
    </xf>
    <xf numFmtId="44" fontId="4" fillId="33" borderId="73" xfId="1" applyNumberFormat="1" applyFont="1" applyFill="1" applyBorder="1" applyAlignment="1">
      <alignment horizontal="center"/>
    </xf>
    <xf numFmtId="44" fontId="0" fillId="37" borderId="35" xfId="1" applyNumberFormat="1" applyFont="1" applyFill="1" applyBorder="1"/>
    <xf numFmtId="44" fontId="0" fillId="36" borderId="36" xfId="1" applyNumberFormat="1" applyFont="1" applyFill="1" applyBorder="1"/>
    <xf numFmtId="44" fontId="6" fillId="0" borderId="35" xfId="1" applyNumberFormat="1" applyFont="1" applyFill="1" applyBorder="1" applyAlignment="1"/>
    <xf numFmtId="44" fontId="4" fillId="0" borderId="69" xfId="1" applyNumberFormat="1" applyFont="1" applyFill="1" applyBorder="1"/>
    <xf numFmtId="44" fontId="6" fillId="35" borderId="69" xfId="1" applyNumberFormat="1" applyFont="1" applyFill="1" applyBorder="1"/>
    <xf numFmtId="44" fontId="6" fillId="0" borderId="37" xfId="1" applyNumberFormat="1" applyFont="1" applyFill="1" applyBorder="1" applyAlignment="1"/>
    <xf numFmtId="43" fontId="6" fillId="0" borderId="39" xfId="1" applyFont="1" applyFill="1" applyBorder="1" applyAlignment="1">
      <alignment horizontal="center"/>
    </xf>
    <xf numFmtId="0" fontId="0" fillId="0" borderId="19" xfId="0" applyFont="1" applyFill="1" applyBorder="1"/>
    <xf numFmtId="44" fontId="0" fillId="43" borderId="34" xfId="1" applyNumberFormat="1" applyFont="1" applyFill="1" applyBorder="1" applyAlignment="1"/>
    <xf numFmtId="44" fontId="0" fillId="43" borderId="17" xfId="1" applyNumberFormat="1" applyFont="1" applyFill="1" applyBorder="1"/>
    <xf numFmtId="44" fontId="0" fillId="67" borderId="20" xfId="2" applyNumberFormat="1" applyFont="1" applyFill="1" applyBorder="1"/>
    <xf numFmtId="0" fontId="8" fillId="0" borderId="19" xfId="0" applyFont="1" applyFill="1" applyBorder="1"/>
    <xf numFmtId="44" fontId="0" fillId="68" borderId="0" xfId="0" applyNumberFormat="1" applyFill="1"/>
    <xf numFmtId="0" fontId="0" fillId="0" borderId="15" xfId="0" applyFill="1" applyBorder="1" applyAlignment="1">
      <alignment horizontal="center"/>
    </xf>
  </cellXfs>
  <cellStyles count="351">
    <cellStyle name="20% - Accent1 2" xfId="4"/>
    <cellStyle name="20% - Accent1 2 2" xfId="5"/>
    <cellStyle name="20% - Accent1 2 2 2" xfId="6"/>
    <cellStyle name="20% - Accent1 2 3" xfId="7"/>
    <cellStyle name="20% - Accent1 2 3 2" xfId="8"/>
    <cellStyle name="20% - Accent1 2 4" xfId="9"/>
    <cellStyle name="20% - Accent1 2 4 2" xfId="10"/>
    <cellStyle name="20% - Accent1 2 5" xfId="11"/>
    <cellStyle name="20% - Accent1 2 6" xfId="12"/>
    <cellStyle name="20% - Accent1 3" xfId="13"/>
    <cellStyle name="20% - Accent2 2" xfId="14"/>
    <cellStyle name="20% - Accent2 2 2" xfId="15"/>
    <cellStyle name="20% - Accent2 2 2 2" xfId="16"/>
    <cellStyle name="20% - Accent2 2 3" xfId="17"/>
    <cellStyle name="20% - Accent2 2 3 2" xfId="18"/>
    <cellStyle name="20% - Accent2 2 4" xfId="19"/>
    <cellStyle name="20% - Accent2 2 4 2" xfId="20"/>
    <cellStyle name="20% - Accent2 2 5" xfId="21"/>
    <cellStyle name="20% - Accent2 2 6" xfId="22"/>
    <cellStyle name="20% - Accent2 3" xfId="23"/>
    <cellStyle name="20% - Accent3 2" xfId="24"/>
    <cellStyle name="20% - Accent3 2 2" xfId="25"/>
    <cellStyle name="20% - Accent3 2 2 2" xfId="26"/>
    <cellStyle name="20% - Accent3 2 3" xfId="27"/>
    <cellStyle name="20% - Accent3 2 3 2" xfId="28"/>
    <cellStyle name="20% - Accent3 2 4" xfId="29"/>
    <cellStyle name="20% - Accent3 2 4 2" xfId="30"/>
    <cellStyle name="20% - Accent3 2 5" xfId="31"/>
    <cellStyle name="20% - Accent3 2 6" xfId="32"/>
    <cellStyle name="20% - Accent3 3" xfId="33"/>
    <cellStyle name="20% - Accent4 2" xfId="34"/>
    <cellStyle name="20% - Accent4 2 2" xfId="35"/>
    <cellStyle name="20% - Accent4 2 2 2" xfId="36"/>
    <cellStyle name="20% - Accent4 2 3" xfId="37"/>
    <cellStyle name="20% - Accent4 2 3 2" xfId="38"/>
    <cellStyle name="20% - Accent4 2 4" xfId="39"/>
    <cellStyle name="20% - Accent4 2 4 2" xfId="40"/>
    <cellStyle name="20% - Accent4 2 5" xfId="41"/>
    <cellStyle name="20% - Accent4 2 6" xfId="42"/>
    <cellStyle name="20% - Accent4 3" xfId="43"/>
    <cellStyle name="20% - Accent5 2" xfId="44"/>
    <cellStyle name="20% - Accent5 2 2" xfId="45"/>
    <cellStyle name="20% - Accent5 2 2 2" xfId="46"/>
    <cellStyle name="20% - Accent5 2 3" xfId="47"/>
    <cellStyle name="20% - Accent5 2 3 2" xfId="48"/>
    <cellStyle name="20% - Accent5 2 4" xfId="49"/>
    <cellStyle name="20% - Accent5 2 4 2" xfId="50"/>
    <cellStyle name="20% - Accent5 2 5" xfId="51"/>
    <cellStyle name="20% - Accent5 2 6" xfId="52"/>
    <cellStyle name="20% - Accent5 3" xfId="53"/>
    <cellStyle name="20% - Accent6 2" xfId="54"/>
    <cellStyle name="20% - Accent6 2 2" xfId="55"/>
    <cellStyle name="20% - Accent6 2 2 2" xfId="56"/>
    <cellStyle name="20% - Accent6 2 3" xfId="57"/>
    <cellStyle name="20% - Accent6 2 3 2" xfId="58"/>
    <cellStyle name="20% - Accent6 2 4" xfId="59"/>
    <cellStyle name="20% - Accent6 2 4 2" xfId="60"/>
    <cellStyle name="20% - Accent6 2 5" xfId="61"/>
    <cellStyle name="20% - Accent6 2 6" xfId="62"/>
    <cellStyle name="20% - Accent6 3" xfId="63"/>
    <cellStyle name="40% - Accent1 2" xfId="64"/>
    <cellStyle name="40% - Accent1 2 2" xfId="65"/>
    <cellStyle name="40% - Accent1 2 2 2" xfId="66"/>
    <cellStyle name="40% - Accent1 2 3" xfId="67"/>
    <cellStyle name="40% - Accent1 2 3 2" xfId="68"/>
    <cellStyle name="40% - Accent1 2 4" xfId="69"/>
    <cellStyle name="40% - Accent1 2 4 2" xfId="70"/>
    <cellStyle name="40% - Accent1 2 5" xfId="71"/>
    <cellStyle name="40% - Accent1 2 6" xfId="72"/>
    <cellStyle name="40% - Accent1 3" xfId="73"/>
    <cellStyle name="40% - Accent2 2" xfId="74"/>
    <cellStyle name="40% - Accent2 2 2" xfId="75"/>
    <cellStyle name="40% - Accent2 2 2 2" xfId="76"/>
    <cellStyle name="40% - Accent2 2 3" xfId="77"/>
    <cellStyle name="40% - Accent2 2 3 2" xfId="78"/>
    <cellStyle name="40% - Accent2 2 4" xfId="79"/>
    <cellStyle name="40% - Accent2 2 4 2" xfId="80"/>
    <cellStyle name="40% - Accent2 2 5" xfId="81"/>
    <cellStyle name="40% - Accent2 2 6" xfId="82"/>
    <cellStyle name="40% - Accent2 3" xfId="83"/>
    <cellStyle name="40% - Accent3 2" xfId="84"/>
    <cellStyle name="40% - Accent3 2 2" xfId="85"/>
    <cellStyle name="40% - Accent3 2 2 2" xfId="86"/>
    <cellStyle name="40% - Accent3 2 3" xfId="87"/>
    <cellStyle name="40% - Accent3 2 3 2" xfId="88"/>
    <cellStyle name="40% - Accent3 2 4" xfId="89"/>
    <cellStyle name="40% - Accent3 2 4 2" xfId="90"/>
    <cellStyle name="40% - Accent3 2 5" xfId="91"/>
    <cellStyle name="40% - Accent3 2 6" xfId="92"/>
    <cellStyle name="40% - Accent3 3" xfId="93"/>
    <cellStyle name="40% - Accent4 2" xfId="94"/>
    <cellStyle name="40% - Accent4 2 2" xfId="95"/>
    <cellStyle name="40% - Accent4 2 2 2" xfId="96"/>
    <cellStyle name="40% - Accent4 2 3" xfId="97"/>
    <cellStyle name="40% - Accent4 2 3 2" xfId="98"/>
    <cellStyle name="40% - Accent4 2 4" xfId="99"/>
    <cellStyle name="40% - Accent4 2 4 2" xfId="100"/>
    <cellStyle name="40% - Accent4 2 5" xfId="101"/>
    <cellStyle name="40% - Accent4 2 6" xfId="102"/>
    <cellStyle name="40% - Accent4 3" xfId="103"/>
    <cellStyle name="40% - Accent5 2" xfId="104"/>
    <cellStyle name="40% - Accent5 2 2" xfId="105"/>
    <cellStyle name="40% - Accent5 2 2 2" xfId="106"/>
    <cellStyle name="40% - Accent5 2 3" xfId="107"/>
    <cellStyle name="40% - Accent5 2 3 2" xfId="108"/>
    <cellStyle name="40% - Accent5 2 4" xfId="109"/>
    <cellStyle name="40% - Accent5 2 4 2" xfId="110"/>
    <cellStyle name="40% - Accent5 2 5" xfId="111"/>
    <cellStyle name="40% - Accent5 2 6" xfId="112"/>
    <cellStyle name="40% - Accent5 3" xfId="113"/>
    <cellStyle name="40% - Accent6 2" xfId="114"/>
    <cellStyle name="40% - Accent6 2 2" xfId="115"/>
    <cellStyle name="40% - Accent6 2 2 2" xfId="116"/>
    <cellStyle name="40% - Accent6 2 3" xfId="117"/>
    <cellStyle name="40% - Accent6 2 3 2" xfId="118"/>
    <cellStyle name="40% - Accent6 2 4" xfId="119"/>
    <cellStyle name="40% - Accent6 2 4 2" xfId="120"/>
    <cellStyle name="40% - Accent6 2 5" xfId="121"/>
    <cellStyle name="40% - Accent6 2 6" xfId="122"/>
    <cellStyle name="40% - Accent6 3" xfId="123"/>
    <cellStyle name="60% - Accent1 2" xfId="124"/>
    <cellStyle name="60% - Accent1 2 2" xfId="125"/>
    <cellStyle name="60% - Accent2 2" xfId="126"/>
    <cellStyle name="60% - Accent2 2 2" xfId="127"/>
    <cellStyle name="60% - Accent3 2" xfId="128"/>
    <cellStyle name="60% - Accent3 2 2" xfId="129"/>
    <cellStyle name="60% - Accent4 2" xfId="130"/>
    <cellStyle name="60% - Accent4 2 2" xfId="131"/>
    <cellStyle name="60% - Accent5 2" xfId="132"/>
    <cellStyle name="60% - Accent5 2 2" xfId="133"/>
    <cellStyle name="60% - Accent6 2" xfId="134"/>
    <cellStyle name="60% - Accent6 2 2" xfId="135"/>
    <cellStyle name="A3 297 x 420 mm" xfId="136"/>
    <cellStyle name="Accent1 2" xfId="137"/>
    <cellStyle name="Accent1 2 2" xfId="138"/>
    <cellStyle name="Accent2 2" xfId="139"/>
    <cellStyle name="Accent2 2 2" xfId="140"/>
    <cellStyle name="Accent3 2" xfId="141"/>
    <cellStyle name="Accent3 2 2" xfId="142"/>
    <cellStyle name="Accent4 2" xfId="143"/>
    <cellStyle name="Accent4 2 2" xfId="144"/>
    <cellStyle name="Accent5 2" xfId="145"/>
    <cellStyle name="Accent5 2 2" xfId="146"/>
    <cellStyle name="Accent6 2" xfId="147"/>
    <cellStyle name="Accent6 2 2" xfId="148"/>
    <cellStyle name="Bad 2" xfId="149"/>
    <cellStyle name="Bad 2 2" xfId="150"/>
    <cellStyle name="Calculation 2" xfId="151"/>
    <cellStyle name="Calculation 2 2" xfId="152"/>
    <cellStyle name="Check Cell 2" xfId="153"/>
    <cellStyle name="Check Cell 2 2" xfId="154"/>
    <cellStyle name="Comma" xfId="1" builtinId="3"/>
    <cellStyle name="Comma 2" xfId="155"/>
    <cellStyle name="Comma 2 2" xfId="156"/>
    <cellStyle name="Currency" xfId="2" builtinId="4"/>
    <cellStyle name="Currency 2" xfId="157"/>
    <cellStyle name="Currency 2 2" xfId="158"/>
    <cellStyle name="Currency 3" xfId="159"/>
    <cellStyle name="Currency 4" xfId="160"/>
    <cellStyle name="Currency 4 2" xfId="161"/>
    <cellStyle name="Currency 5" xfId="162"/>
    <cellStyle name="Currency 6" xfId="163"/>
    <cellStyle name="Explanatory Text 2" xfId="164"/>
    <cellStyle name="Explanatory Text 2 2" xfId="165"/>
    <cellStyle name="Followed Hyperlink" xfId="346" builtinId="9" hidden="1"/>
    <cellStyle name="Followed Hyperlink" xfId="348" builtinId="9" hidden="1"/>
    <cellStyle name="Followed Hyperlink" xfId="350" builtinId="9" hidden="1"/>
    <cellStyle name="Good 2" xfId="166"/>
    <cellStyle name="Good 2 2" xfId="167"/>
    <cellStyle name="Heading 1 2" xfId="168"/>
    <cellStyle name="Heading 1 2 2" xfId="169"/>
    <cellStyle name="Heading 2 2" xfId="170"/>
    <cellStyle name="Heading 2 2 2" xfId="171"/>
    <cellStyle name="Heading 3 2" xfId="172"/>
    <cellStyle name="Heading 3 2 2" xfId="173"/>
    <cellStyle name="Heading 4 2" xfId="174"/>
    <cellStyle name="Heading 4 2 2" xfId="175"/>
    <cellStyle name="Hyperlink" xfId="345" builtinId="8" hidden="1"/>
    <cellStyle name="Hyperlink" xfId="347" builtinId="8" hidden="1"/>
    <cellStyle name="Hyperlink" xfId="349" builtinId="8" hidden="1"/>
    <cellStyle name="Input 2" xfId="176"/>
    <cellStyle name="Input 2 2" xfId="177"/>
    <cellStyle name="Linked Cell 2" xfId="178"/>
    <cellStyle name="Linked Cell 2 2" xfId="179"/>
    <cellStyle name="Neutral 2" xfId="180"/>
    <cellStyle name="Neutral 2 2" xfId="181"/>
    <cellStyle name="Normal" xfId="0" builtinId="0"/>
    <cellStyle name="Normal 10" xfId="182"/>
    <cellStyle name="Normal 100" xfId="183"/>
    <cellStyle name="Normal 101" xfId="184"/>
    <cellStyle name="Normal 102" xfId="185"/>
    <cellStyle name="Normal 103" xfId="186"/>
    <cellStyle name="Normal 104" xfId="187"/>
    <cellStyle name="Normal 105" xfId="188"/>
    <cellStyle name="Normal 106" xfId="189"/>
    <cellStyle name="Normal 107" xfId="190"/>
    <cellStyle name="Normal 108" xfId="191"/>
    <cellStyle name="Normal 109" xfId="192"/>
    <cellStyle name="Normal 11" xfId="193"/>
    <cellStyle name="Normal 110" xfId="194"/>
    <cellStyle name="Normal 111" xfId="195"/>
    <cellStyle name="Normal 112" xfId="196"/>
    <cellStyle name="Normal 113" xfId="197"/>
    <cellStyle name="Normal 114" xfId="198"/>
    <cellStyle name="Normal 115" xfId="199"/>
    <cellStyle name="Normal 116" xfId="200"/>
    <cellStyle name="Normal 117" xfId="201"/>
    <cellStyle name="Normal 118" xfId="202"/>
    <cellStyle name="Normal 119" xfId="203"/>
    <cellStyle name="Normal 12" xfId="204"/>
    <cellStyle name="Normal 120" xfId="205"/>
    <cellStyle name="Normal 121" xfId="206"/>
    <cellStyle name="Normal 122" xfId="207"/>
    <cellStyle name="Normal 13" xfId="208"/>
    <cellStyle name="Normal 14" xfId="209"/>
    <cellStyle name="Normal 15" xfId="210"/>
    <cellStyle name="Normal 16" xfId="211"/>
    <cellStyle name="Normal 17" xfId="212"/>
    <cellStyle name="Normal 18" xfId="213"/>
    <cellStyle name="Normal 19" xfId="214"/>
    <cellStyle name="Normal 2" xfId="215"/>
    <cellStyle name="Normal 2 2" xfId="216"/>
    <cellStyle name="Normal 2 2 2" xfId="217"/>
    <cellStyle name="Normal 2 2 3" xfId="218"/>
    <cellStyle name="Normal 2 3" xfId="219"/>
    <cellStyle name="Normal 2 3 2" xfId="220"/>
    <cellStyle name="Normal 2 4" xfId="221"/>
    <cellStyle name="Normal 2 4 2" xfId="222"/>
    <cellStyle name="Normal 2 5" xfId="223"/>
    <cellStyle name="Normal 2 6" xfId="224"/>
    <cellStyle name="Normal 20" xfId="225"/>
    <cellStyle name="Normal 21" xfId="226"/>
    <cellStyle name="Normal 22" xfId="227"/>
    <cellStyle name="Normal 23" xfId="228"/>
    <cellStyle name="Normal 23 2" xfId="229"/>
    <cellStyle name="Normal 24" xfId="230"/>
    <cellStyle name="Normal 25" xfId="231"/>
    <cellStyle name="Normal 26" xfId="232"/>
    <cellStyle name="Normal 27" xfId="233"/>
    <cellStyle name="Normal 28" xfId="234"/>
    <cellStyle name="Normal 29" xfId="235"/>
    <cellStyle name="Normal 3" xfId="236"/>
    <cellStyle name="Normal 3 2" xfId="237"/>
    <cellStyle name="Normal 3 2 2" xfId="238"/>
    <cellStyle name="Normal 3 3" xfId="239"/>
    <cellStyle name="Normal 3 3 2" xfId="240"/>
    <cellStyle name="Normal 3 4" xfId="241"/>
    <cellStyle name="Normal 3 4 2" xfId="242"/>
    <cellStyle name="Normal 3 5" xfId="243"/>
    <cellStyle name="Normal 3 6" xfId="244"/>
    <cellStyle name="Normal 30" xfId="245"/>
    <cellStyle name="Normal 31" xfId="246"/>
    <cellStyle name="Normal 32" xfId="247"/>
    <cellStyle name="Normal 33" xfId="248"/>
    <cellStyle name="Normal 34" xfId="249"/>
    <cellStyle name="Normal 35" xfId="250"/>
    <cellStyle name="Normal 36" xfId="251"/>
    <cellStyle name="Normal 37" xfId="252"/>
    <cellStyle name="Normal 38" xfId="253"/>
    <cellStyle name="Normal 39" xfId="254"/>
    <cellStyle name="Normal 4" xfId="255"/>
    <cellStyle name="Normal 4 2" xfId="256"/>
    <cellStyle name="Normal 40" xfId="257"/>
    <cellStyle name="Normal 41" xfId="258"/>
    <cellStyle name="Normal 42" xfId="259"/>
    <cellStyle name="Normal 43" xfId="260"/>
    <cellStyle name="Normal 44" xfId="261"/>
    <cellStyle name="Normal 45" xfId="262"/>
    <cellStyle name="Normal 46" xfId="263"/>
    <cellStyle name="Normal 47" xfId="264"/>
    <cellStyle name="Normal 48" xfId="265"/>
    <cellStyle name="Normal 49" xfId="266"/>
    <cellStyle name="Normal 5" xfId="267"/>
    <cellStyle name="Normal 5 2" xfId="268"/>
    <cellStyle name="Normal 50" xfId="269"/>
    <cellStyle name="Normal 51" xfId="270"/>
    <cellStyle name="Normal 52" xfId="271"/>
    <cellStyle name="Normal 53" xfId="272"/>
    <cellStyle name="Normal 54" xfId="273"/>
    <cellStyle name="Normal 55" xfId="274"/>
    <cellStyle name="Normal 56" xfId="275"/>
    <cellStyle name="Normal 57" xfId="276"/>
    <cellStyle name="Normal 58" xfId="277"/>
    <cellStyle name="Normal 59" xfId="278"/>
    <cellStyle name="Normal 6" xfId="279"/>
    <cellStyle name="Normal 6 2" xfId="280"/>
    <cellStyle name="Normal 60" xfId="281"/>
    <cellStyle name="Normal 61" xfId="282"/>
    <cellStyle name="Normal 62" xfId="283"/>
    <cellStyle name="Normal 63" xfId="284"/>
    <cellStyle name="Normal 64" xfId="285"/>
    <cellStyle name="Normal 65" xfId="286"/>
    <cellStyle name="Normal 66" xfId="287"/>
    <cellStyle name="Normal 67" xfId="288"/>
    <cellStyle name="Normal 68" xfId="289"/>
    <cellStyle name="Normal 69" xfId="290"/>
    <cellStyle name="Normal 7" xfId="291"/>
    <cellStyle name="Normal 70" xfId="292"/>
    <cellStyle name="Normal 71" xfId="293"/>
    <cellStyle name="Normal 72" xfId="294"/>
    <cellStyle name="Normal 73" xfId="295"/>
    <cellStyle name="Normal 74" xfId="296"/>
    <cellStyle name="Normal 75" xfId="297"/>
    <cellStyle name="Normal 76" xfId="298"/>
    <cellStyle name="Normal 77" xfId="299"/>
    <cellStyle name="Normal 78" xfId="300"/>
    <cellStyle name="Normal 79" xfId="301"/>
    <cellStyle name="Normal 8" xfId="302"/>
    <cellStyle name="Normal 80" xfId="303"/>
    <cellStyle name="Normal 81" xfId="304"/>
    <cellStyle name="Normal 82" xfId="305"/>
    <cellStyle name="Normal 83" xfId="306"/>
    <cellStyle name="Normal 84" xfId="307"/>
    <cellStyle name="Normal 85" xfId="308"/>
    <cellStyle name="Normal 86" xfId="309"/>
    <cellStyle name="Normal 87" xfId="310"/>
    <cellStyle name="Normal 88" xfId="311"/>
    <cellStyle name="Normal 89" xfId="312"/>
    <cellStyle name="Normal 9" xfId="313"/>
    <cellStyle name="Normal 90" xfId="314"/>
    <cellStyle name="Normal 91" xfId="315"/>
    <cellStyle name="Normal 92" xfId="316"/>
    <cellStyle name="Normal 93" xfId="317"/>
    <cellStyle name="Normal 94" xfId="318"/>
    <cellStyle name="Normal 95" xfId="319"/>
    <cellStyle name="Normal 96" xfId="320"/>
    <cellStyle name="Normal 97" xfId="321"/>
    <cellStyle name="Normal 98" xfId="322"/>
    <cellStyle name="Normal 99" xfId="323"/>
    <cellStyle name="Note 2" xfId="324"/>
    <cellStyle name="Note 2 2" xfId="325"/>
    <cellStyle name="Note 2 2 2" xfId="326"/>
    <cellStyle name="Note 2 2 3" xfId="327"/>
    <cellStyle name="Note 2 3" xfId="328"/>
    <cellStyle name="Note 2 3 2" xfId="329"/>
    <cellStyle name="Note 2 4" xfId="330"/>
    <cellStyle name="Note 2 4 2" xfId="331"/>
    <cellStyle name="Note 2 5" xfId="332"/>
    <cellStyle name="Note 2 6" xfId="333"/>
    <cellStyle name="Note 3" xfId="334"/>
    <cellStyle name="Note 3 2" xfId="335"/>
    <cellStyle name="Output 2" xfId="336"/>
    <cellStyle name="Output 2 2" xfId="337"/>
    <cellStyle name="Percent" xfId="3" builtinId="5"/>
    <cellStyle name="Percent 2" xfId="338"/>
    <cellStyle name="Percent 2 2" xfId="339"/>
    <cellStyle name="Title 2" xfId="340"/>
    <cellStyle name="Total 2" xfId="341"/>
    <cellStyle name="Total 2 2" xfId="342"/>
    <cellStyle name="Warning Text 2" xfId="343"/>
    <cellStyle name="Warning Text 2 2" xfId="34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Relationship Id="rId2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259"/>
  <sheetViews>
    <sheetView topLeftCell="A13" workbookViewId="0">
      <pane xSplit="4" ySplit="3" topLeftCell="E16" activePane="bottomRight" state="frozen"/>
      <selection activeCell="A13" sqref="A13"/>
      <selection pane="topRight" activeCell="E13" sqref="E13"/>
      <selection pane="bottomLeft" activeCell="A16" sqref="A16"/>
      <selection pane="bottomRight" activeCell="A14" sqref="A14:XFD15"/>
    </sheetView>
  </sheetViews>
  <sheetFormatPr baseColWidth="10" defaultColWidth="9.19921875" defaultRowHeight="12" outlineLevelCol="1" x14ac:dyDescent="0"/>
  <cols>
    <col min="1" max="1" width="9" style="1" bestFit="1" customWidth="1" outlineLevel="1"/>
    <col min="2" max="2" width="8.3984375" style="1" bestFit="1" customWidth="1" outlineLevel="1"/>
    <col min="3" max="3" width="11.19921875" style="2" bestFit="1" customWidth="1" outlineLevel="1"/>
    <col min="4" max="4" width="32.19921875" style="3" customWidth="1"/>
    <col min="5" max="5" width="17.19921875" style="4" bestFit="1" customWidth="1"/>
    <col min="6" max="6" width="17" style="16" bestFit="1" customWidth="1"/>
    <col min="7" max="8" width="15.3984375" style="43" hidden="1" customWidth="1"/>
    <col min="9" max="9" width="15.3984375" style="43" customWidth="1"/>
    <col min="10" max="10" width="17" style="14" bestFit="1" customWidth="1"/>
    <col min="11" max="11" width="3" style="14" customWidth="1"/>
    <col min="12" max="12" width="15.19921875" style="14" customWidth="1"/>
    <col min="13" max="13" width="16.3984375" style="14" bestFit="1" customWidth="1"/>
    <col min="14" max="14" width="1.796875" customWidth="1"/>
    <col min="15" max="15" width="13.3984375" style="9" bestFit="1" customWidth="1"/>
    <col min="16" max="16" width="1.796875" customWidth="1"/>
    <col min="17" max="17" width="15.19921875" style="9" customWidth="1"/>
    <col min="18" max="18" width="15.19921875" style="9" hidden="1" customWidth="1"/>
    <col min="19" max="19" width="12" style="9" hidden="1" customWidth="1"/>
    <col min="20" max="20" width="22.3984375" style="9" bestFit="1" customWidth="1"/>
    <col min="21" max="21" width="1.796875" style="9" customWidth="1"/>
    <col min="22" max="22" width="15.19921875" style="9" customWidth="1"/>
    <col min="23" max="23" width="1.796875" style="14" customWidth="1"/>
    <col min="24" max="28" width="15.19921875" style="11" customWidth="1"/>
    <col min="29" max="29" width="15.19921875" customWidth="1"/>
    <col min="30" max="31" width="15.19921875" style="12" customWidth="1"/>
    <col min="32" max="32" width="15.796875" style="12" customWidth="1"/>
    <col min="33" max="33" width="2.19921875" style="12" customWidth="1"/>
    <col min="34" max="35" width="16.3984375" style="12" bestFit="1" customWidth="1"/>
    <col min="36" max="36" width="14.19921875" style="12" customWidth="1"/>
    <col min="38" max="38" width="14.796875" bestFit="1" customWidth="1"/>
    <col min="39" max="39" width="38.19921875" bestFit="1" customWidth="1"/>
  </cols>
  <sheetData>
    <row r="1" spans="1:39">
      <c r="D1" s="3" t="s">
        <v>0</v>
      </c>
      <c r="F1" s="5"/>
      <c r="G1" s="6"/>
      <c r="H1" s="7"/>
      <c r="I1" s="7"/>
      <c r="J1" s="8"/>
      <c r="K1" s="8"/>
      <c r="L1" s="8"/>
      <c r="M1" s="8"/>
      <c r="N1" s="8"/>
      <c r="W1" s="10"/>
    </row>
    <row r="2" spans="1:39">
      <c r="D2" s="3" t="s">
        <v>1</v>
      </c>
      <c r="F2" s="5"/>
      <c r="G2" s="6"/>
      <c r="H2" s="7"/>
      <c r="I2" s="7"/>
      <c r="J2" s="8"/>
      <c r="K2" s="8"/>
      <c r="L2" s="8"/>
      <c r="M2" s="8"/>
      <c r="N2" s="8"/>
      <c r="W2" s="10"/>
    </row>
    <row r="3" spans="1:39">
      <c r="D3" s="3" t="s">
        <v>2</v>
      </c>
      <c r="F3" s="5"/>
      <c r="G3" s="1"/>
      <c r="H3" s="13"/>
      <c r="I3" s="13"/>
      <c r="J3" s="8"/>
      <c r="K3" s="8"/>
      <c r="L3" s="8"/>
      <c r="M3" s="8"/>
      <c r="N3" s="8"/>
    </row>
    <row r="4" spans="1:39">
      <c r="D4" s="15"/>
      <c r="G4" s="17"/>
      <c r="H4" s="13"/>
      <c r="I4" s="13"/>
      <c r="J4" s="8"/>
      <c r="K4" s="8"/>
      <c r="L4" s="8"/>
      <c r="M4" s="8"/>
      <c r="N4" s="8"/>
    </row>
    <row r="5" spans="1:39" ht="13" thickBot="1">
      <c r="D5" s="15"/>
      <c r="G5" s="18"/>
      <c r="H5" s="19"/>
      <c r="I5" s="19"/>
      <c r="J5" s="8"/>
      <c r="K5" s="8"/>
      <c r="L5" s="8"/>
      <c r="M5" s="8"/>
      <c r="N5" s="8"/>
    </row>
    <row r="6" spans="1:39">
      <c r="B6" s="20"/>
      <c r="C6" s="21"/>
      <c r="D6" s="22" t="s">
        <v>3</v>
      </c>
      <c r="E6" s="23" t="s">
        <v>4</v>
      </c>
      <c r="G6" s="18"/>
      <c r="H6" s="19"/>
      <c r="I6" s="19"/>
      <c r="J6" s="8"/>
      <c r="K6" s="8"/>
      <c r="L6" s="8"/>
      <c r="M6" s="8"/>
      <c r="N6" s="8"/>
      <c r="O6" s="16"/>
      <c r="P6" s="1"/>
      <c r="Q6" s="16"/>
      <c r="R6" s="16"/>
      <c r="S6" s="16"/>
      <c r="T6" s="16"/>
      <c r="U6" s="16"/>
      <c r="V6" s="16"/>
    </row>
    <row r="7" spans="1:39">
      <c r="B7" s="24"/>
      <c r="C7" s="25"/>
      <c r="D7" s="26" t="s">
        <v>5</v>
      </c>
      <c r="E7" s="27" t="s">
        <v>6</v>
      </c>
      <c r="F7" s="5"/>
      <c r="G7" s="18"/>
      <c r="H7" s="19"/>
      <c r="I7" s="19"/>
      <c r="J7" s="28"/>
      <c r="K7" s="29"/>
      <c r="L7" s="30"/>
      <c r="M7" s="30"/>
      <c r="W7" s="29"/>
    </row>
    <row r="8" spans="1:39">
      <c r="B8" s="24"/>
      <c r="C8" s="31"/>
      <c r="D8" s="32" t="s">
        <v>7</v>
      </c>
      <c r="E8" s="33" t="s">
        <v>8</v>
      </c>
      <c r="F8" s="5"/>
      <c r="G8" s="17"/>
      <c r="H8" s="19"/>
      <c r="I8" s="19"/>
      <c r="J8" s="34"/>
      <c r="K8" s="29"/>
      <c r="L8" s="35"/>
      <c r="M8" s="35"/>
      <c r="N8" s="36"/>
      <c r="O8" s="37"/>
      <c r="P8" s="36"/>
      <c r="Q8" s="37"/>
      <c r="R8" s="37"/>
      <c r="S8" s="37"/>
      <c r="T8" s="37"/>
      <c r="U8" s="37"/>
      <c r="V8" s="37"/>
      <c r="W8" s="29"/>
    </row>
    <row r="9" spans="1:39">
      <c r="B9" s="24"/>
      <c r="C9" s="25"/>
      <c r="D9" s="26" t="s">
        <v>9</v>
      </c>
      <c r="E9" s="38" t="s">
        <v>10</v>
      </c>
      <c r="F9" s="5"/>
      <c r="G9" s="18"/>
      <c r="H9" s="39"/>
      <c r="I9" s="39"/>
      <c r="J9" s="40"/>
      <c r="L9" s="41"/>
      <c r="M9" s="41"/>
      <c r="N9" s="36"/>
      <c r="O9" s="37"/>
      <c r="P9" s="36"/>
      <c r="Q9" s="37"/>
      <c r="R9" s="37"/>
      <c r="S9" s="37"/>
      <c r="T9" s="37"/>
      <c r="U9" s="37"/>
      <c r="V9" s="37"/>
    </row>
    <row r="10" spans="1:39">
      <c r="B10" s="24"/>
      <c r="C10" s="25"/>
      <c r="D10" s="26" t="s">
        <v>11</v>
      </c>
      <c r="E10" s="42" t="s">
        <v>12</v>
      </c>
      <c r="F10" s="5"/>
      <c r="J10" s="44"/>
      <c r="L10" s="45"/>
      <c r="M10" s="44"/>
      <c r="N10" s="36"/>
      <c r="O10" s="37"/>
      <c r="P10" s="36"/>
      <c r="Q10" s="37"/>
      <c r="R10" s="37"/>
      <c r="S10" s="37"/>
      <c r="T10" s="37"/>
      <c r="U10" s="37"/>
      <c r="V10" s="37"/>
    </row>
    <row r="11" spans="1:39">
      <c r="B11" s="24"/>
      <c r="C11" s="25"/>
      <c r="D11" s="26" t="s">
        <v>13</v>
      </c>
      <c r="E11" s="46" t="s">
        <v>14</v>
      </c>
      <c r="F11" s="5"/>
      <c r="G11" s="47"/>
      <c r="H11" s="48"/>
      <c r="I11" s="48"/>
      <c r="J11" s="44"/>
      <c r="L11" s="49"/>
      <c r="M11" s="49"/>
      <c r="N11" s="36"/>
      <c r="O11" s="37"/>
      <c r="P11" s="36"/>
      <c r="Q11" s="37"/>
      <c r="R11" s="37"/>
      <c r="S11" s="37"/>
      <c r="T11" s="37"/>
      <c r="U11" s="37"/>
      <c r="V11" s="37"/>
    </row>
    <row r="12" spans="1:39" ht="13" thickBot="1">
      <c r="B12" s="50"/>
      <c r="C12" s="51"/>
      <c r="D12" s="52" t="s">
        <v>15</v>
      </c>
      <c r="E12" s="53" t="s">
        <v>16</v>
      </c>
      <c r="F12" s="5"/>
      <c r="G12" s="47"/>
      <c r="H12" s="54"/>
      <c r="I12" s="54"/>
      <c r="J12" s="44"/>
    </row>
    <row r="13" spans="1:39" ht="13" thickBot="1">
      <c r="A13" s="16"/>
      <c r="B13" s="16"/>
      <c r="C13" s="55"/>
      <c r="D13" s="56"/>
      <c r="E13" s="57"/>
      <c r="G13" s="58"/>
      <c r="H13" s="59"/>
      <c r="I13" s="59"/>
      <c r="J13" s="60"/>
      <c r="K13" s="60"/>
      <c r="L13" s="60"/>
      <c r="M13" s="61"/>
      <c r="N13" s="9"/>
      <c r="P13" s="9"/>
      <c r="W13" s="60"/>
      <c r="X13" s="62"/>
      <c r="Y13" s="62"/>
      <c r="Z13" s="62"/>
      <c r="AA13" s="62"/>
    </row>
    <row r="14" spans="1:39" ht="13" thickBot="1">
      <c r="D14" s="63"/>
      <c r="E14" s="64" t="s">
        <v>17</v>
      </c>
      <c r="F14" s="65" t="s">
        <v>18</v>
      </c>
      <c r="G14" s="66"/>
      <c r="H14" s="66"/>
      <c r="I14" s="66"/>
      <c r="J14" s="65" t="s">
        <v>19</v>
      </c>
      <c r="K14" s="67"/>
      <c r="L14" s="65" t="s">
        <v>19</v>
      </c>
      <c r="M14" s="65" t="s">
        <v>19</v>
      </c>
      <c r="N14" s="68"/>
      <c r="O14" s="66"/>
      <c r="P14" s="68"/>
      <c r="Q14" s="69"/>
      <c r="R14" s="69"/>
      <c r="S14" s="69"/>
      <c r="T14" s="66"/>
      <c r="U14" s="70"/>
      <c r="V14" s="66"/>
      <c r="W14" s="68"/>
      <c r="X14" s="66"/>
      <c r="Y14" s="66"/>
      <c r="Z14" s="71"/>
      <c r="AA14" s="71"/>
      <c r="AB14" s="71"/>
      <c r="AE14" s="72" t="s">
        <v>20</v>
      </c>
      <c r="AI14" s="73" t="s">
        <v>21</v>
      </c>
    </row>
    <row r="15" spans="1:39" ht="13" thickBot="1">
      <c r="A15" s="74" t="s">
        <v>22</v>
      </c>
      <c r="B15" s="74" t="s">
        <v>23</v>
      </c>
      <c r="C15" s="75" t="s">
        <v>24</v>
      </c>
      <c r="D15" s="75" t="s">
        <v>25</v>
      </c>
      <c r="E15" s="76" t="s">
        <v>26</v>
      </c>
      <c r="F15" s="77" t="s">
        <v>27</v>
      </c>
      <c r="G15" s="78" t="s">
        <v>28</v>
      </c>
      <c r="H15" s="79" t="s">
        <v>29</v>
      </c>
      <c r="I15" s="80" t="s">
        <v>19</v>
      </c>
      <c r="J15" s="81" t="s">
        <v>30</v>
      </c>
      <c r="K15" s="68"/>
      <c r="L15" s="82" t="s">
        <v>31</v>
      </c>
      <c r="M15" s="83" t="s">
        <v>32</v>
      </c>
      <c r="N15" s="84"/>
      <c r="O15" s="85" t="s">
        <v>33</v>
      </c>
      <c r="P15" s="84"/>
      <c r="Q15" s="81" t="s">
        <v>21</v>
      </c>
      <c r="R15" s="81" t="s">
        <v>34</v>
      </c>
      <c r="S15" s="81" t="s">
        <v>35</v>
      </c>
      <c r="T15" s="86" t="s">
        <v>36</v>
      </c>
      <c r="U15" s="87"/>
      <c r="V15" s="88" t="s">
        <v>37</v>
      </c>
      <c r="W15" s="68"/>
      <c r="X15" s="89" t="s">
        <v>38</v>
      </c>
      <c r="Y15" s="90" t="s">
        <v>39</v>
      </c>
      <c r="Z15" s="89" t="s">
        <v>40</v>
      </c>
      <c r="AA15" s="89" t="s">
        <v>41</v>
      </c>
      <c r="AB15" s="91" t="s">
        <v>42</v>
      </c>
      <c r="AD15" s="92" t="s">
        <v>43</v>
      </c>
      <c r="AE15" s="93" t="s">
        <v>44</v>
      </c>
      <c r="AF15" s="93" t="s">
        <v>45</v>
      </c>
      <c r="AH15" s="92" t="s">
        <v>43</v>
      </c>
      <c r="AI15" s="93" t="s">
        <v>44</v>
      </c>
      <c r="AJ15" s="93" t="s">
        <v>45</v>
      </c>
    </row>
    <row r="16" spans="1:39">
      <c r="A16" s="94" t="s">
        <v>46</v>
      </c>
      <c r="B16" s="95" t="s">
        <v>46</v>
      </c>
      <c r="C16" s="96"/>
      <c r="D16" s="97" t="s">
        <v>47</v>
      </c>
      <c r="E16" s="98"/>
      <c r="F16" s="99">
        <f>VLOOKUP(D16,'Feb14 Revenue'!D:V,19,FALSE)</f>
        <v>0</v>
      </c>
      <c r="G16" s="100"/>
      <c r="H16" s="100"/>
      <c r="I16" s="101"/>
      <c r="J16" s="102">
        <f t="shared" ref="J16:J86" si="0">SUM(E16:I16)</f>
        <v>0</v>
      </c>
      <c r="K16" s="103"/>
      <c r="L16" s="104"/>
      <c r="M16" s="105"/>
      <c r="N16" s="103">
        <v>0</v>
      </c>
      <c r="O16" s="106"/>
      <c r="P16" s="103">
        <v>0</v>
      </c>
      <c r="Q16" s="107">
        <f t="shared" ref="Q16:Q148" si="1">L16+M16</f>
        <v>0</v>
      </c>
      <c r="R16" s="107"/>
      <c r="S16" s="107"/>
      <c r="T16" s="108"/>
      <c r="U16" s="109"/>
      <c r="V16" s="110" t="str">
        <f t="shared" ref="V16:V87" si="2">IF(T16="","",T16-Q16)</f>
        <v/>
      </c>
      <c r="W16" s="111"/>
      <c r="X16" s="112">
        <f t="shared" ref="X16:X87" si="3">IF(B16="D",Q16,0)</f>
        <v>0</v>
      </c>
      <c r="Y16" s="112">
        <f t="shared" ref="Y16:Y87" si="4">IF(B16="M",Q16,0)</f>
        <v>0</v>
      </c>
      <c r="Z16" s="113">
        <f t="shared" ref="Z16:Z87" si="5">IF(B16="V",Q16,0)</f>
        <v>0</v>
      </c>
      <c r="AA16" s="113">
        <v>0</v>
      </c>
      <c r="AB16" s="114">
        <v>0</v>
      </c>
      <c r="AC16" s="11">
        <f t="shared" ref="AC16:AC87" si="6">(L16+M16)-(X16+Y16+Z16+AA16+AB16)</f>
        <v>0</v>
      </c>
      <c r="AD16" s="115">
        <f t="shared" ref="AD16:AD86" si="7">IF(B16="D",J16,0)</f>
        <v>0</v>
      </c>
      <c r="AE16" s="115">
        <f t="shared" ref="AE16:AE86" si="8">IF(B16="M",J16,0)</f>
        <v>0</v>
      </c>
      <c r="AF16" s="115">
        <f t="shared" ref="AF16:AF86" si="9">IF(B16="V",J16,0)</f>
        <v>0</v>
      </c>
      <c r="AG16" s="11"/>
      <c r="AH16" s="115">
        <f t="shared" ref="AH16:AH87" si="10">IF(B16="D",Q16,0)</f>
        <v>0</v>
      </c>
      <c r="AI16" s="115">
        <f t="shared" ref="AI16:AI87" si="11">IF(B16="M",Q16,0)</f>
        <v>0</v>
      </c>
      <c r="AJ16" s="115">
        <f t="shared" ref="AJ16:AJ87" si="12">IF(B16="V",Q16,0)</f>
        <v>0</v>
      </c>
      <c r="AM16" s="97" t="s">
        <v>48</v>
      </c>
    </row>
    <row r="17" spans="1:39">
      <c r="A17" s="116" t="s">
        <v>46</v>
      </c>
      <c r="B17" s="116" t="s">
        <v>49</v>
      </c>
      <c r="C17" s="117" t="s">
        <v>50</v>
      </c>
      <c r="D17" s="118" t="s">
        <v>51</v>
      </c>
      <c r="E17" s="98">
        <f>8548.29+1565.19+7753.18+848.93</f>
        <v>18715.590000000004</v>
      </c>
      <c r="F17" s="99">
        <f>VLOOKUP(D17,'Feb14 Revenue'!D:V,19,FALSE)</f>
        <v>-30000</v>
      </c>
      <c r="G17" s="100"/>
      <c r="H17" s="100"/>
      <c r="I17" s="101"/>
      <c r="J17" s="102">
        <f t="shared" si="0"/>
        <v>-11284.409999999996</v>
      </c>
      <c r="K17" s="103"/>
      <c r="L17" s="104"/>
      <c r="M17" s="105">
        <v>20000</v>
      </c>
      <c r="N17" s="103">
        <v>0</v>
      </c>
      <c r="O17" s="106"/>
      <c r="P17" s="103">
        <v>0</v>
      </c>
      <c r="Q17" s="107">
        <f t="shared" si="1"/>
        <v>20000</v>
      </c>
      <c r="R17" s="107"/>
      <c r="S17" s="107"/>
      <c r="T17" s="108"/>
      <c r="U17" s="119"/>
      <c r="V17" s="110" t="str">
        <f t="shared" si="2"/>
        <v/>
      </c>
      <c r="W17" s="103"/>
      <c r="X17" s="112">
        <f t="shared" si="3"/>
        <v>20000</v>
      </c>
      <c r="Y17" s="112">
        <f t="shared" si="4"/>
        <v>0</v>
      </c>
      <c r="Z17" s="113">
        <f t="shared" si="5"/>
        <v>0</v>
      </c>
      <c r="AA17" s="113">
        <v>0</v>
      </c>
      <c r="AB17" s="114">
        <v>0</v>
      </c>
      <c r="AC17" s="11">
        <f t="shared" si="6"/>
        <v>0</v>
      </c>
      <c r="AD17" s="115">
        <f t="shared" si="7"/>
        <v>-11284.409999999996</v>
      </c>
      <c r="AE17" s="115">
        <f t="shared" si="8"/>
        <v>0</v>
      </c>
      <c r="AF17" s="115">
        <f t="shared" si="9"/>
        <v>0</v>
      </c>
      <c r="AG17" s="11"/>
      <c r="AH17" s="115">
        <f t="shared" si="10"/>
        <v>20000</v>
      </c>
      <c r="AI17" s="115">
        <f t="shared" si="11"/>
        <v>0</v>
      </c>
      <c r="AJ17" s="115">
        <f t="shared" si="12"/>
        <v>0</v>
      </c>
      <c r="AL17" s="11">
        <f>SUM(AD17:AJ17)</f>
        <v>8715.5900000000038</v>
      </c>
      <c r="AM17" s="118" t="s">
        <v>51</v>
      </c>
    </row>
    <row r="18" spans="1:39">
      <c r="A18" s="116" t="s">
        <v>46</v>
      </c>
      <c r="B18" s="116" t="s">
        <v>46</v>
      </c>
      <c r="C18" s="117" t="s">
        <v>50</v>
      </c>
      <c r="D18" s="120" t="s">
        <v>52</v>
      </c>
      <c r="E18" s="98">
        <f>47920.74+58791.06</f>
        <v>106711.79999999999</v>
      </c>
      <c r="F18" s="99">
        <f>VLOOKUP(D18,'Feb14 Revenue'!D:V,19,FALSE)</f>
        <v>-135000</v>
      </c>
      <c r="G18" s="100"/>
      <c r="H18" s="100"/>
      <c r="I18" s="101"/>
      <c r="J18" s="102">
        <f t="shared" si="0"/>
        <v>-28288.200000000012</v>
      </c>
      <c r="K18" s="103"/>
      <c r="L18" s="104"/>
      <c r="M18" s="105">
        <v>100000</v>
      </c>
      <c r="N18" s="103">
        <v>0</v>
      </c>
      <c r="O18" s="106"/>
      <c r="P18" s="103">
        <v>0</v>
      </c>
      <c r="Q18" s="107">
        <f t="shared" si="1"/>
        <v>100000</v>
      </c>
      <c r="R18" s="107"/>
      <c r="S18" s="107"/>
      <c r="T18" s="108"/>
      <c r="U18" s="119"/>
      <c r="V18" s="110" t="str">
        <f t="shared" si="2"/>
        <v/>
      </c>
      <c r="W18" s="103"/>
      <c r="X18" s="112">
        <f t="shared" si="3"/>
        <v>0</v>
      </c>
      <c r="Y18" s="112">
        <f t="shared" si="4"/>
        <v>100000</v>
      </c>
      <c r="Z18" s="113">
        <f t="shared" si="5"/>
        <v>0</v>
      </c>
      <c r="AA18" s="113">
        <v>0</v>
      </c>
      <c r="AB18" s="114">
        <v>0</v>
      </c>
      <c r="AC18" s="11">
        <f t="shared" si="6"/>
        <v>0</v>
      </c>
      <c r="AD18" s="115">
        <f t="shared" si="7"/>
        <v>0</v>
      </c>
      <c r="AE18" s="115">
        <f t="shared" si="8"/>
        <v>-28288.200000000012</v>
      </c>
      <c r="AF18" s="115">
        <f t="shared" si="9"/>
        <v>0</v>
      </c>
      <c r="AG18" s="11"/>
      <c r="AH18" s="115">
        <f t="shared" si="10"/>
        <v>0</v>
      </c>
      <c r="AI18" s="115">
        <f t="shared" si="11"/>
        <v>100000</v>
      </c>
      <c r="AJ18" s="115">
        <f t="shared" si="12"/>
        <v>0</v>
      </c>
      <c r="AL18" s="11">
        <f t="shared" ref="AL18:AL88" si="13">SUM(AD18:AJ18)</f>
        <v>71711.799999999988</v>
      </c>
      <c r="AM18" s="120" t="s">
        <v>52</v>
      </c>
    </row>
    <row r="19" spans="1:39">
      <c r="A19" s="116" t="s">
        <v>46</v>
      </c>
      <c r="B19" s="116" t="s">
        <v>46</v>
      </c>
      <c r="C19" s="117" t="s">
        <v>50</v>
      </c>
      <c r="D19" s="120" t="s">
        <v>53</v>
      </c>
      <c r="E19" s="98"/>
      <c r="F19" s="99">
        <f>VLOOKUP(D19,'Feb14 Revenue'!D:V,19,FALSE)</f>
        <v>0</v>
      </c>
      <c r="G19" s="100"/>
      <c r="H19" s="100"/>
      <c r="I19" s="101"/>
      <c r="J19" s="102">
        <f t="shared" si="0"/>
        <v>0</v>
      </c>
      <c r="K19" s="103"/>
      <c r="L19" s="104"/>
      <c r="M19" s="105"/>
      <c r="N19" s="103">
        <v>0</v>
      </c>
      <c r="O19" s="106"/>
      <c r="P19" s="103">
        <v>0</v>
      </c>
      <c r="Q19" s="107">
        <f t="shared" si="1"/>
        <v>0</v>
      </c>
      <c r="R19" s="107"/>
      <c r="S19" s="107"/>
      <c r="T19" s="108"/>
      <c r="U19" s="119"/>
      <c r="V19" s="110" t="str">
        <f t="shared" si="2"/>
        <v/>
      </c>
      <c r="W19" s="103"/>
      <c r="X19" s="112">
        <f t="shared" si="3"/>
        <v>0</v>
      </c>
      <c r="Y19" s="112">
        <f t="shared" si="4"/>
        <v>0</v>
      </c>
      <c r="Z19" s="113">
        <f t="shared" si="5"/>
        <v>0</v>
      </c>
      <c r="AA19" s="113">
        <v>0</v>
      </c>
      <c r="AB19" s="114">
        <v>0</v>
      </c>
      <c r="AC19" s="11">
        <f t="shared" si="6"/>
        <v>0</v>
      </c>
      <c r="AD19" s="115">
        <f t="shared" si="7"/>
        <v>0</v>
      </c>
      <c r="AE19" s="115">
        <f t="shared" si="8"/>
        <v>0</v>
      </c>
      <c r="AF19" s="115">
        <f t="shared" si="9"/>
        <v>0</v>
      </c>
      <c r="AG19" s="11"/>
      <c r="AH19" s="115">
        <f t="shared" si="10"/>
        <v>0</v>
      </c>
      <c r="AI19" s="115">
        <f t="shared" si="11"/>
        <v>0</v>
      </c>
      <c r="AJ19" s="115">
        <f t="shared" si="12"/>
        <v>0</v>
      </c>
      <c r="AL19" s="11">
        <f t="shared" si="13"/>
        <v>0</v>
      </c>
      <c r="AM19" s="120" t="s">
        <v>53</v>
      </c>
    </row>
    <row r="20" spans="1:39">
      <c r="A20" s="116" t="s">
        <v>46</v>
      </c>
      <c r="B20" s="116" t="s">
        <v>46</v>
      </c>
      <c r="C20" s="117" t="s">
        <v>50</v>
      </c>
      <c r="D20" s="121" t="s">
        <v>54</v>
      </c>
      <c r="E20" s="98"/>
      <c r="F20" s="99">
        <f>VLOOKUP(D20,'Feb14 Revenue'!D:V,19,FALSE)</f>
        <v>-1534.5299999999988</v>
      </c>
      <c r="G20" s="100"/>
      <c r="H20" s="100"/>
      <c r="I20" s="101"/>
      <c r="J20" s="102">
        <f t="shared" si="0"/>
        <v>-1534.5299999999988</v>
      </c>
      <c r="K20" s="103"/>
      <c r="L20" s="104"/>
      <c r="M20" s="105"/>
      <c r="N20" s="103">
        <v>0</v>
      </c>
      <c r="O20" s="106"/>
      <c r="P20" s="103">
        <v>0</v>
      </c>
      <c r="Q20" s="107">
        <f t="shared" si="1"/>
        <v>0</v>
      </c>
      <c r="R20" s="107"/>
      <c r="S20" s="107"/>
      <c r="T20" s="108"/>
      <c r="U20" s="119"/>
      <c r="V20" s="110" t="str">
        <f t="shared" si="2"/>
        <v/>
      </c>
      <c r="W20" s="103"/>
      <c r="X20" s="112">
        <f t="shared" si="3"/>
        <v>0</v>
      </c>
      <c r="Y20" s="112">
        <f t="shared" si="4"/>
        <v>0</v>
      </c>
      <c r="Z20" s="113">
        <f t="shared" si="5"/>
        <v>0</v>
      </c>
      <c r="AA20" s="113">
        <v>0</v>
      </c>
      <c r="AB20" s="114">
        <v>0</v>
      </c>
      <c r="AC20" s="11">
        <f t="shared" si="6"/>
        <v>0</v>
      </c>
      <c r="AD20" s="115">
        <f t="shared" si="7"/>
        <v>0</v>
      </c>
      <c r="AE20" s="115">
        <f t="shared" si="8"/>
        <v>-1534.5299999999988</v>
      </c>
      <c r="AF20" s="115">
        <f t="shared" si="9"/>
        <v>0</v>
      </c>
      <c r="AG20" s="11"/>
      <c r="AH20" s="115">
        <f t="shared" si="10"/>
        <v>0</v>
      </c>
      <c r="AI20" s="115">
        <f t="shared" si="11"/>
        <v>0</v>
      </c>
      <c r="AJ20" s="115">
        <f t="shared" si="12"/>
        <v>0</v>
      </c>
      <c r="AL20" s="11">
        <f t="shared" si="13"/>
        <v>-1534.5299999999988</v>
      </c>
      <c r="AM20" s="121" t="s">
        <v>54</v>
      </c>
    </row>
    <row r="21" spans="1:39">
      <c r="A21" s="116"/>
      <c r="B21" s="116" t="s">
        <v>49</v>
      </c>
      <c r="C21" s="122" t="s">
        <v>55</v>
      </c>
      <c r="D21" s="118" t="s">
        <v>56</v>
      </c>
      <c r="E21" s="98"/>
      <c r="F21" s="99">
        <f>VLOOKUP(D21,'Feb14 Revenue'!D:V,19,FALSE)</f>
        <v>0</v>
      </c>
      <c r="G21" s="100"/>
      <c r="H21" s="100"/>
      <c r="I21" s="101"/>
      <c r="J21" s="102">
        <f t="shared" si="0"/>
        <v>0</v>
      </c>
      <c r="K21" s="103"/>
      <c r="L21" s="104"/>
      <c r="M21" s="105"/>
      <c r="N21" s="103">
        <v>0</v>
      </c>
      <c r="O21" s="106"/>
      <c r="P21" s="103">
        <v>0</v>
      </c>
      <c r="Q21" s="107">
        <f t="shared" si="1"/>
        <v>0</v>
      </c>
      <c r="R21" s="107"/>
      <c r="S21" s="107"/>
      <c r="T21" s="108"/>
      <c r="U21" s="119"/>
      <c r="V21" s="110" t="str">
        <f t="shared" si="2"/>
        <v/>
      </c>
      <c r="W21" s="103"/>
      <c r="X21" s="112">
        <f t="shared" si="3"/>
        <v>0</v>
      </c>
      <c r="Y21" s="112">
        <f t="shared" si="4"/>
        <v>0</v>
      </c>
      <c r="Z21" s="113">
        <f t="shared" si="5"/>
        <v>0</v>
      </c>
      <c r="AA21" s="113">
        <v>0</v>
      </c>
      <c r="AB21" s="114">
        <v>0</v>
      </c>
      <c r="AC21" s="11">
        <f t="shared" si="6"/>
        <v>0</v>
      </c>
      <c r="AD21" s="115">
        <f t="shared" si="7"/>
        <v>0</v>
      </c>
      <c r="AE21" s="115">
        <f t="shared" si="8"/>
        <v>0</v>
      </c>
      <c r="AF21" s="115">
        <f t="shared" si="9"/>
        <v>0</v>
      </c>
      <c r="AG21" s="11"/>
      <c r="AH21" s="115">
        <f t="shared" si="10"/>
        <v>0</v>
      </c>
      <c r="AI21" s="115">
        <f t="shared" si="11"/>
        <v>0</v>
      </c>
      <c r="AJ21" s="115">
        <f t="shared" si="12"/>
        <v>0</v>
      </c>
      <c r="AL21" s="11">
        <f t="shared" si="13"/>
        <v>0</v>
      </c>
      <c r="AM21" s="118" t="s">
        <v>56</v>
      </c>
    </row>
    <row r="22" spans="1:39">
      <c r="A22" s="116"/>
      <c r="B22" s="116" t="s">
        <v>49</v>
      </c>
      <c r="C22" s="122" t="s">
        <v>55</v>
      </c>
      <c r="D22" s="118" t="s">
        <v>57</v>
      </c>
      <c r="E22" s="98"/>
      <c r="F22" s="99">
        <f>VLOOKUP(D22,'Feb14 Revenue'!D:V,19,FALSE)</f>
        <v>-3426.369999999999</v>
      </c>
      <c r="G22" s="100"/>
      <c r="H22" s="100"/>
      <c r="I22" s="101"/>
      <c r="J22" s="102">
        <f t="shared" si="0"/>
        <v>-3426.369999999999</v>
      </c>
      <c r="K22" s="103"/>
      <c r="L22" s="104"/>
      <c r="M22" s="105">
        <v>30000</v>
      </c>
      <c r="N22" s="103">
        <v>0</v>
      </c>
      <c r="O22" s="106"/>
      <c r="P22" s="103">
        <v>0</v>
      </c>
      <c r="Q22" s="107">
        <f t="shared" si="1"/>
        <v>30000</v>
      </c>
      <c r="R22" s="107"/>
      <c r="S22" s="107"/>
      <c r="T22" s="108"/>
      <c r="U22" s="119"/>
      <c r="V22" s="110" t="str">
        <f t="shared" si="2"/>
        <v/>
      </c>
      <c r="W22" s="103"/>
      <c r="X22" s="112">
        <f t="shared" si="3"/>
        <v>30000</v>
      </c>
      <c r="Y22" s="112">
        <f t="shared" si="4"/>
        <v>0</v>
      </c>
      <c r="Z22" s="113">
        <f t="shared" si="5"/>
        <v>0</v>
      </c>
      <c r="AA22" s="113">
        <v>0</v>
      </c>
      <c r="AB22" s="114">
        <v>0</v>
      </c>
      <c r="AC22" s="11">
        <f t="shared" si="6"/>
        <v>0</v>
      </c>
      <c r="AD22" s="115">
        <f t="shared" si="7"/>
        <v>-3426.369999999999</v>
      </c>
      <c r="AE22" s="115">
        <f t="shared" si="8"/>
        <v>0</v>
      </c>
      <c r="AF22" s="115">
        <f t="shared" si="9"/>
        <v>0</v>
      </c>
      <c r="AG22" s="11"/>
      <c r="AH22" s="115">
        <f t="shared" si="10"/>
        <v>30000</v>
      </c>
      <c r="AI22" s="115">
        <f t="shared" si="11"/>
        <v>0</v>
      </c>
      <c r="AJ22" s="115">
        <f t="shared" si="12"/>
        <v>0</v>
      </c>
      <c r="AL22" s="11">
        <f t="shared" si="13"/>
        <v>26573.63</v>
      </c>
      <c r="AM22" s="118" t="s">
        <v>57</v>
      </c>
    </row>
    <row r="23" spans="1:39">
      <c r="A23" s="116"/>
      <c r="B23" s="116" t="s">
        <v>49</v>
      </c>
      <c r="C23" s="122" t="s">
        <v>55</v>
      </c>
      <c r="D23" s="118" t="s">
        <v>58</v>
      </c>
      <c r="E23" s="98"/>
      <c r="F23" s="99">
        <f>VLOOKUP(D23,'Feb14 Revenue'!D:V,19,FALSE)</f>
        <v>0</v>
      </c>
      <c r="G23" s="100"/>
      <c r="H23" s="100"/>
      <c r="I23" s="101"/>
      <c r="J23" s="102">
        <f t="shared" si="0"/>
        <v>0</v>
      </c>
      <c r="K23" s="103"/>
      <c r="L23" s="104"/>
      <c r="M23" s="105"/>
      <c r="N23" s="103">
        <v>0</v>
      </c>
      <c r="O23" s="106"/>
      <c r="P23" s="103">
        <v>0</v>
      </c>
      <c r="Q23" s="107">
        <f t="shared" si="1"/>
        <v>0</v>
      </c>
      <c r="R23" s="107"/>
      <c r="S23" s="107"/>
      <c r="T23" s="108"/>
      <c r="U23" s="119"/>
      <c r="V23" s="110" t="str">
        <f t="shared" si="2"/>
        <v/>
      </c>
      <c r="W23" s="103"/>
      <c r="X23" s="112">
        <f t="shared" si="3"/>
        <v>0</v>
      </c>
      <c r="Y23" s="112">
        <f t="shared" si="4"/>
        <v>0</v>
      </c>
      <c r="Z23" s="113">
        <f t="shared" si="5"/>
        <v>0</v>
      </c>
      <c r="AA23" s="113">
        <v>0</v>
      </c>
      <c r="AB23" s="114">
        <v>0</v>
      </c>
      <c r="AC23" s="11">
        <f t="shared" si="6"/>
        <v>0</v>
      </c>
      <c r="AD23" s="115">
        <f t="shared" si="7"/>
        <v>0</v>
      </c>
      <c r="AE23" s="115">
        <f t="shared" si="8"/>
        <v>0</v>
      </c>
      <c r="AF23" s="115">
        <f t="shared" si="9"/>
        <v>0</v>
      </c>
      <c r="AG23" s="11"/>
      <c r="AH23" s="115">
        <f t="shared" si="10"/>
        <v>0</v>
      </c>
      <c r="AI23" s="115">
        <f t="shared" si="11"/>
        <v>0</v>
      </c>
      <c r="AJ23" s="115">
        <f t="shared" si="12"/>
        <v>0</v>
      </c>
      <c r="AL23" s="11">
        <f t="shared" si="13"/>
        <v>0</v>
      </c>
      <c r="AM23" s="118" t="s">
        <v>58</v>
      </c>
    </row>
    <row r="24" spans="1:39">
      <c r="A24" s="116"/>
      <c r="B24" s="116" t="s">
        <v>49</v>
      </c>
      <c r="C24" s="122"/>
      <c r="D24" s="118" t="s">
        <v>59</v>
      </c>
      <c r="E24" s="98"/>
      <c r="F24" s="99">
        <f>VLOOKUP(D24,'Feb14 Revenue'!D:V,19,FALSE)</f>
        <v>0</v>
      </c>
      <c r="G24" s="100"/>
      <c r="H24" s="100"/>
      <c r="I24" s="101"/>
      <c r="J24" s="102">
        <f t="shared" si="0"/>
        <v>0</v>
      </c>
      <c r="K24" s="103"/>
      <c r="L24" s="104"/>
      <c r="M24" s="105"/>
      <c r="N24" s="103">
        <v>0</v>
      </c>
      <c r="O24" s="106"/>
      <c r="P24" s="103">
        <v>0</v>
      </c>
      <c r="Q24" s="107">
        <f t="shared" si="1"/>
        <v>0</v>
      </c>
      <c r="R24" s="107"/>
      <c r="S24" s="107"/>
      <c r="T24" s="108"/>
      <c r="U24" s="119"/>
      <c r="V24" s="110" t="str">
        <f t="shared" si="2"/>
        <v/>
      </c>
      <c r="W24" s="103"/>
      <c r="X24" s="112">
        <f t="shared" si="3"/>
        <v>0</v>
      </c>
      <c r="Y24" s="112">
        <f t="shared" si="4"/>
        <v>0</v>
      </c>
      <c r="Z24" s="113">
        <f t="shared" si="5"/>
        <v>0</v>
      </c>
      <c r="AA24" s="113">
        <v>0</v>
      </c>
      <c r="AB24" s="114">
        <v>0</v>
      </c>
      <c r="AC24" s="11">
        <f t="shared" si="6"/>
        <v>0</v>
      </c>
      <c r="AD24" s="115">
        <f t="shared" si="7"/>
        <v>0</v>
      </c>
      <c r="AE24" s="115">
        <f t="shared" si="8"/>
        <v>0</v>
      </c>
      <c r="AF24" s="115">
        <f t="shared" si="9"/>
        <v>0</v>
      </c>
      <c r="AG24" s="11"/>
      <c r="AH24" s="115">
        <f t="shared" si="10"/>
        <v>0</v>
      </c>
      <c r="AI24" s="115">
        <f t="shared" si="11"/>
        <v>0</v>
      </c>
      <c r="AJ24" s="115">
        <f t="shared" si="12"/>
        <v>0</v>
      </c>
      <c r="AL24" s="11">
        <f t="shared" si="13"/>
        <v>0</v>
      </c>
      <c r="AM24" s="118" t="s">
        <v>59</v>
      </c>
    </row>
    <row r="25" spans="1:39" s="124" customFormat="1">
      <c r="A25" s="123" t="s">
        <v>60</v>
      </c>
      <c r="B25" s="123" t="s">
        <v>46</v>
      </c>
      <c r="C25" s="122" t="s">
        <v>61</v>
      </c>
      <c r="D25" s="118" t="s">
        <v>62</v>
      </c>
      <c r="E25" s="98">
        <v>27755.15</v>
      </c>
      <c r="F25" s="99">
        <f>VLOOKUP(D25,'Feb14 Revenue'!D:V,19,FALSE)</f>
        <v>-50000</v>
      </c>
      <c r="G25" s="100"/>
      <c r="H25" s="100"/>
      <c r="I25" s="101"/>
      <c r="J25" s="102">
        <f t="shared" si="0"/>
        <v>-22244.85</v>
      </c>
      <c r="K25" s="103"/>
      <c r="L25" s="104"/>
      <c r="M25" s="105">
        <v>25000</v>
      </c>
      <c r="N25" s="103">
        <v>0</v>
      </c>
      <c r="O25" s="106"/>
      <c r="P25" s="103">
        <v>0</v>
      </c>
      <c r="Q25" s="107">
        <f t="shared" si="1"/>
        <v>25000</v>
      </c>
      <c r="R25" s="107"/>
      <c r="S25" s="107"/>
      <c r="T25" s="108"/>
      <c r="U25" s="119"/>
      <c r="V25" s="110" t="str">
        <f t="shared" si="2"/>
        <v/>
      </c>
      <c r="W25" s="103"/>
      <c r="X25" s="112">
        <f t="shared" si="3"/>
        <v>0</v>
      </c>
      <c r="Y25" s="112">
        <f t="shared" si="4"/>
        <v>25000</v>
      </c>
      <c r="Z25" s="113">
        <f t="shared" si="5"/>
        <v>0</v>
      </c>
      <c r="AA25" s="113">
        <v>0</v>
      </c>
      <c r="AB25" s="114">
        <v>0</v>
      </c>
      <c r="AC25" s="11">
        <f t="shared" si="6"/>
        <v>0</v>
      </c>
      <c r="AD25" s="115">
        <f t="shared" si="7"/>
        <v>0</v>
      </c>
      <c r="AE25" s="115">
        <f t="shared" si="8"/>
        <v>-22244.85</v>
      </c>
      <c r="AF25" s="115">
        <f t="shared" si="9"/>
        <v>0</v>
      </c>
      <c r="AG25" s="11"/>
      <c r="AH25" s="115">
        <f t="shared" si="10"/>
        <v>0</v>
      </c>
      <c r="AI25" s="115">
        <f t="shared" si="11"/>
        <v>25000</v>
      </c>
      <c r="AJ25" s="115">
        <f t="shared" si="12"/>
        <v>0</v>
      </c>
      <c r="AL25" s="11">
        <f t="shared" si="13"/>
        <v>2755.1500000000015</v>
      </c>
      <c r="AM25" s="118" t="s">
        <v>62</v>
      </c>
    </row>
    <row r="26" spans="1:39">
      <c r="A26" s="116"/>
      <c r="B26" s="116" t="s">
        <v>49</v>
      </c>
      <c r="C26" s="122"/>
      <c r="D26" s="120" t="s">
        <v>63</v>
      </c>
      <c r="E26" s="98"/>
      <c r="F26" s="99">
        <f>VLOOKUP(D26,'Feb14 Revenue'!D:V,19,FALSE)</f>
        <v>0</v>
      </c>
      <c r="G26" s="100"/>
      <c r="H26" s="100"/>
      <c r="I26" s="125">
        <v>327.82</v>
      </c>
      <c r="J26" s="102">
        <f t="shared" si="0"/>
        <v>327.82</v>
      </c>
      <c r="K26" s="103"/>
      <c r="L26" s="104"/>
      <c r="M26" s="105"/>
      <c r="N26" s="103">
        <v>0</v>
      </c>
      <c r="O26" s="106"/>
      <c r="P26" s="103">
        <v>0</v>
      </c>
      <c r="Q26" s="107">
        <f t="shared" si="1"/>
        <v>0</v>
      </c>
      <c r="R26" s="107"/>
      <c r="S26" s="107"/>
      <c r="T26" s="108"/>
      <c r="U26" s="119"/>
      <c r="V26" s="110" t="str">
        <f t="shared" si="2"/>
        <v/>
      </c>
      <c r="W26" s="103"/>
      <c r="X26" s="112">
        <f t="shared" si="3"/>
        <v>0</v>
      </c>
      <c r="Y26" s="112">
        <f t="shared" si="4"/>
        <v>0</v>
      </c>
      <c r="Z26" s="113">
        <f t="shared" si="5"/>
        <v>0</v>
      </c>
      <c r="AA26" s="113">
        <v>0</v>
      </c>
      <c r="AB26" s="114">
        <v>0</v>
      </c>
      <c r="AC26" s="11">
        <f t="shared" si="6"/>
        <v>0</v>
      </c>
      <c r="AD26" s="115">
        <f t="shared" si="7"/>
        <v>327.82</v>
      </c>
      <c r="AE26" s="115">
        <f t="shared" si="8"/>
        <v>0</v>
      </c>
      <c r="AF26" s="115">
        <f t="shared" si="9"/>
        <v>0</v>
      </c>
      <c r="AG26" s="11"/>
      <c r="AH26" s="115">
        <f t="shared" si="10"/>
        <v>0</v>
      </c>
      <c r="AI26" s="115">
        <f t="shared" si="11"/>
        <v>0</v>
      </c>
      <c r="AJ26" s="115">
        <f t="shared" si="12"/>
        <v>0</v>
      </c>
      <c r="AL26" s="11">
        <f t="shared" si="13"/>
        <v>327.82</v>
      </c>
      <c r="AM26" s="120" t="s">
        <v>63</v>
      </c>
    </row>
    <row r="27" spans="1:39">
      <c r="A27" s="116"/>
      <c r="B27" s="116" t="s">
        <v>49</v>
      </c>
      <c r="C27" s="122"/>
      <c r="D27" s="120" t="s">
        <v>64</v>
      </c>
      <c r="E27" s="98"/>
      <c r="F27" s="99">
        <f>VLOOKUP(D27,'Feb14 Revenue'!D:V,19,FALSE)</f>
        <v>0</v>
      </c>
      <c r="G27" s="100"/>
      <c r="H27" s="100"/>
      <c r="I27" s="101"/>
      <c r="J27" s="102">
        <f t="shared" si="0"/>
        <v>0</v>
      </c>
      <c r="K27" s="103"/>
      <c r="L27" s="104"/>
      <c r="M27" s="105"/>
      <c r="N27" s="103">
        <v>0</v>
      </c>
      <c r="O27" s="106"/>
      <c r="P27" s="103">
        <v>0</v>
      </c>
      <c r="Q27" s="107">
        <f t="shared" si="1"/>
        <v>0</v>
      </c>
      <c r="R27" s="107"/>
      <c r="S27" s="107"/>
      <c r="T27" s="108"/>
      <c r="U27" s="119"/>
      <c r="V27" s="110" t="str">
        <f t="shared" si="2"/>
        <v/>
      </c>
      <c r="W27" s="103"/>
      <c r="X27" s="112">
        <f t="shared" si="3"/>
        <v>0</v>
      </c>
      <c r="Y27" s="112">
        <f t="shared" si="4"/>
        <v>0</v>
      </c>
      <c r="Z27" s="113">
        <f t="shared" si="5"/>
        <v>0</v>
      </c>
      <c r="AA27" s="113">
        <v>0</v>
      </c>
      <c r="AB27" s="114">
        <v>0</v>
      </c>
      <c r="AC27" s="11">
        <f t="shared" si="6"/>
        <v>0</v>
      </c>
      <c r="AD27" s="115">
        <f t="shared" si="7"/>
        <v>0</v>
      </c>
      <c r="AE27" s="115">
        <f t="shared" si="8"/>
        <v>0</v>
      </c>
      <c r="AF27" s="115">
        <f t="shared" si="9"/>
        <v>0</v>
      </c>
      <c r="AG27" s="11"/>
      <c r="AH27" s="115">
        <f t="shared" si="10"/>
        <v>0</v>
      </c>
      <c r="AI27" s="115">
        <f t="shared" si="11"/>
        <v>0</v>
      </c>
      <c r="AJ27" s="115">
        <f t="shared" si="12"/>
        <v>0</v>
      </c>
      <c r="AL27" s="11">
        <f t="shared" si="13"/>
        <v>0</v>
      </c>
      <c r="AM27" s="120" t="s">
        <v>64</v>
      </c>
    </row>
    <row r="28" spans="1:39">
      <c r="A28" s="116"/>
      <c r="B28" s="116" t="s">
        <v>49</v>
      </c>
      <c r="C28" s="122"/>
      <c r="D28" s="120" t="s">
        <v>65</v>
      </c>
      <c r="E28" s="98"/>
      <c r="F28" s="99">
        <f>VLOOKUP(D28,'Feb14 Revenue'!D:V,19,FALSE)</f>
        <v>0</v>
      </c>
      <c r="G28" s="100"/>
      <c r="H28" s="100"/>
      <c r="I28" s="101"/>
      <c r="J28" s="102">
        <f t="shared" si="0"/>
        <v>0</v>
      </c>
      <c r="K28" s="103"/>
      <c r="L28" s="104"/>
      <c r="M28" s="105"/>
      <c r="N28" s="103">
        <v>0</v>
      </c>
      <c r="O28" s="106"/>
      <c r="P28" s="103">
        <v>0</v>
      </c>
      <c r="Q28" s="107">
        <f t="shared" si="1"/>
        <v>0</v>
      </c>
      <c r="R28" s="107"/>
      <c r="S28" s="107"/>
      <c r="T28" s="108"/>
      <c r="U28" s="119"/>
      <c r="V28" s="110" t="str">
        <f t="shared" si="2"/>
        <v/>
      </c>
      <c r="W28" s="103"/>
      <c r="X28" s="112">
        <f t="shared" si="3"/>
        <v>0</v>
      </c>
      <c r="Y28" s="112">
        <f t="shared" si="4"/>
        <v>0</v>
      </c>
      <c r="Z28" s="113">
        <f t="shared" si="5"/>
        <v>0</v>
      </c>
      <c r="AA28" s="113">
        <v>0</v>
      </c>
      <c r="AB28" s="114">
        <v>0</v>
      </c>
      <c r="AC28" s="11">
        <f t="shared" si="6"/>
        <v>0</v>
      </c>
      <c r="AD28" s="115">
        <f t="shared" si="7"/>
        <v>0</v>
      </c>
      <c r="AE28" s="115">
        <f t="shared" si="8"/>
        <v>0</v>
      </c>
      <c r="AF28" s="115">
        <f t="shared" si="9"/>
        <v>0</v>
      </c>
      <c r="AG28" s="11"/>
      <c r="AH28" s="115">
        <f t="shared" si="10"/>
        <v>0</v>
      </c>
      <c r="AI28" s="115">
        <f t="shared" si="11"/>
        <v>0</v>
      </c>
      <c r="AJ28" s="115">
        <f t="shared" si="12"/>
        <v>0</v>
      </c>
      <c r="AL28" s="11">
        <f t="shared" si="13"/>
        <v>0</v>
      </c>
      <c r="AM28" s="120" t="s">
        <v>65</v>
      </c>
    </row>
    <row r="29" spans="1:39">
      <c r="A29" s="116"/>
      <c r="B29" s="116" t="s">
        <v>46</v>
      </c>
      <c r="C29" s="122" t="s">
        <v>66</v>
      </c>
      <c r="D29" s="120" t="s">
        <v>67</v>
      </c>
      <c r="E29" s="98"/>
      <c r="F29" s="99">
        <f>VLOOKUP(D29,'Feb14 Revenue'!D:V,19,FALSE)</f>
        <v>2477.85</v>
      </c>
      <c r="G29" s="100"/>
      <c r="H29" s="100"/>
      <c r="I29" s="101"/>
      <c r="J29" s="102">
        <f t="shared" si="0"/>
        <v>2477.85</v>
      </c>
      <c r="K29" s="103"/>
      <c r="L29" s="104"/>
      <c r="M29" s="105"/>
      <c r="N29" s="103">
        <v>0</v>
      </c>
      <c r="O29" s="106"/>
      <c r="P29" s="103">
        <v>0</v>
      </c>
      <c r="Q29" s="107">
        <f t="shared" si="1"/>
        <v>0</v>
      </c>
      <c r="R29" s="107"/>
      <c r="S29" s="107"/>
      <c r="T29" s="108"/>
      <c r="U29" s="119"/>
      <c r="V29" s="110" t="str">
        <f t="shared" si="2"/>
        <v/>
      </c>
      <c r="W29" s="111"/>
      <c r="X29" s="112">
        <f t="shared" si="3"/>
        <v>0</v>
      </c>
      <c r="Y29" s="112">
        <f t="shared" si="4"/>
        <v>0</v>
      </c>
      <c r="Z29" s="113">
        <f t="shared" si="5"/>
        <v>0</v>
      </c>
      <c r="AA29" s="113">
        <v>0</v>
      </c>
      <c r="AB29" s="114">
        <v>0</v>
      </c>
      <c r="AC29" s="11">
        <f t="shared" si="6"/>
        <v>0</v>
      </c>
      <c r="AD29" s="115">
        <f t="shared" si="7"/>
        <v>0</v>
      </c>
      <c r="AE29" s="115">
        <f t="shared" si="8"/>
        <v>2477.85</v>
      </c>
      <c r="AF29" s="115">
        <f t="shared" si="9"/>
        <v>0</v>
      </c>
      <c r="AG29" s="11"/>
      <c r="AH29" s="115">
        <f t="shared" si="10"/>
        <v>0</v>
      </c>
      <c r="AI29" s="115">
        <f t="shared" si="11"/>
        <v>0</v>
      </c>
      <c r="AJ29" s="115">
        <f t="shared" si="12"/>
        <v>0</v>
      </c>
      <c r="AL29" s="11">
        <f t="shared" si="13"/>
        <v>2477.85</v>
      </c>
      <c r="AM29" s="120" t="s">
        <v>67</v>
      </c>
    </row>
    <row r="30" spans="1:39" s="124" customFormat="1">
      <c r="A30" s="123"/>
      <c r="B30" s="123" t="s">
        <v>49</v>
      </c>
      <c r="C30" s="122" t="s">
        <v>68</v>
      </c>
      <c r="D30" s="118" t="s">
        <v>69</v>
      </c>
      <c r="E30" s="98"/>
      <c r="F30" s="99">
        <f>VLOOKUP(D30,'Feb14 Revenue'!D:V,19,FALSE)</f>
        <v>-139246.68999999994</v>
      </c>
      <c r="G30" s="100"/>
      <c r="H30" s="100"/>
      <c r="I30" s="101"/>
      <c r="J30" s="102">
        <f t="shared" si="0"/>
        <v>-139246.68999999994</v>
      </c>
      <c r="K30" s="103"/>
      <c r="L30" s="104"/>
      <c r="M30" s="105">
        <v>950000</v>
      </c>
      <c r="N30" s="103">
        <v>0</v>
      </c>
      <c r="O30" s="106"/>
      <c r="P30" s="103">
        <v>0</v>
      </c>
      <c r="Q30" s="107">
        <f t="shared" si="1"/>
        <v>950000</v>
      </c>
      <c r="R30" s="107"/>
      <c r="S30" s="107"/>
      <c r="T30" s="108"/>
      <c r="U30" s="119"/>
      <c r="V30" s="110" t="str">
        <f t="shared" si="2"/>
        <v/>
      </c>
      <c r="W30" s="103"/>
      <c r="X30" s="112">
        <f t="shared" si="3"/>
        <v>950000</v>
      </c>
      <c r="Y30" s="112">
        <f t="shared" si="4"/>
        <v>0</v>
      </c>
      <c r="Z30" s="113">
        <f t="shared" si="5"/>
        <v>0</v>
      </c>
      <c r="AA30" s="113">
        <v>0</v>
      </c>
      <c r="AB30" s="114">
        <v>0</v>
      </c>
      <c r="AC30" s="11">
        <f t="shared" si="6"/>
        <v>0</v>
      </c>
      <c r="AD30" s="115">
        <f t="shared" si="7"/>
        <v>-139246.68999999994</v>
      </c>
      <c r="AE30" s="115">
        <f t="shared" si="8"/>
        <v>0</v>
      </c>
      <c r="AF30" s="115">
        <f t="shared" si="9"/>
        <v>0</v>
      </c>
      <c r="AG30" s="11"/>
      <c r="AH30" s="115">
        <f t="shared" si="10"/>
        <v>950000</v>
      </c>
      <c r="AI30" s="115">
        <f t="shared" si="11"/>
        <v>0</v>
      </c>
      <c r="AJ30" s="115">
        <f t="shared" si="12"/>
        <v>0</v>
      </c>
      <c r="AL30" s="11">
        <f t="shared" si="13"/>
        <v>810753.31</v>
      </c>
      <c r="AM30" s="118" t="s">
        <v>69</v>
      </c>
    </row>
    <row r="31" spans="1:39" s="124" customFormat="1">
      <c r="A31" s="123"/>
      <c r="B31" s="123" t="s">
        <v>49</v>
      </c>
      <c r="C31" s="122" t="s">
        <v>70</v>
      </c>
      <c r="D31" s="118" t="s">
        <v>71</v>
      </c>
      <c r="E31" s="98"/>
      <c r="F31" s="99">
        <f>VLOOKUP(D31,'Feb14 Revenue'!D:V,19,FALSE)</f>
        <v>-2614.3999999999942</v>
      </c>
      <c r="G31" s="100"/>
      <c r="H31" s="100"/>
      <c r="I31" s="101"/>
      <c r="J31" s="102">
        <f t="shared" si="0"/>
        <v>-2614.3999999999942</v>
      </c>
      <c r="K31" s="103"/>
      <c r="L31" s="104"/>
      <c r="M31" s="105">
        <v>180000</v>
      </c>
      <c r="N31" s="103">
        <v>0</v>
      </c>
      <c r="O31" s="106"/>
      <c r="P31" s="103">
        <v>0</v>
      </c>
      <c r="Q31" s="107">
        <f t="shared" si="1"/>
        <v>180000</v>
      </c>
      <c r="R31" s="107"/>
      <c r="S31" s="107"/>
      <c r="T31" s="108"/>
      <c r="U31" s="119"/>
      <c r="V31" s="110" t="str">
        <f t="shared" si="2"/>
        <v/>
      </c>
      <c r="W31" s="103"/>
      <c r="X31" s="112">
        <f t="shared" si="3"/>
        <v>180000</v>
      </c>
      <c r="Y31" s="112">
        <f t="shared" si="4"/>
        <v>0</v>
      </c>
      <c r="Z31" s="113">
        <f t="shared" si="5"/>
        <v>0</v>
      </c>
      <c r="AA31" s="113">
        <v>0</v>
      </c>
      <c r="AB31" s="114">
        <v>0</v>
      </c>
      <c r="AC31" s="11">
        <f t="shared" si="6"/>
        <v>0</v>
      </c>
      <c r="AD31" s="115">
        <f t="shared" si="7"/>
        <v>-2614.3999999999942</v>
      </c>
      <c r="AE31" s="115">
        <f t="shared" si="8"/>
        <v>0</v>
      </c>
      <c r="AF31" s="115">
        <f t="shared" si="9"/>
        <v>0</v>
      </c>
      <c r="AG31" s="11"/>
      <c r="AH31" s="115">
        <f t="shared" si="10"/>
        <v>180000</v>
      </c>
      <c r="AI31" s="115">
        <f t="shared" si="11"/>
        <v>0</v>
      </c>
      <c r="AJ31" s="115">
        <f t="shared" si="12"/>
        <v>0</v>
      </c>
      <c r="AL31" s="11">
        <f t="shared" si="13"/>
        <v>177385.60000000001</v>
      </c>
      <c r="AM31" s="118" t="s">
        <v>71</v>
      </c>
    </row>
    <row r="32" spans="1:39" s="124" customFormat="1">
      <c r="A32" s="123"/>
      <c r="B32" s="123" t="s">
        <v>49</v>
      </c>
      <c r="C32" s="122" t="s">
        <v>70</v>
      </c>
      <c r="D32" s="118" t="s">
        <v>72</v>
      </c>
      <c r="E32" s="98"/>
      <c r="F32" s="99">
        <f>VLOOKUP(D32,'Feb14 Revenue'!D:V,19,FALSE)</f>
        <v>-19967.359999999986</v>
      </c>
      <c r="G32" s="100"/>
      <c r="H32" s="100"/>
      <c r="I32" s="101"/>
      <c r="J32" s="102">
        <f t="shared" si="0"/>
        <v>-19967.359999999986</v>
      </c>
      <c r="K32" s="103"/>
      <c r="L32" s="104"/>
      <c r="M32" s="105">
        <v>165000</v>
      </c>
      <c r="N32" s="103">
        <v>0</v>
      </c>
      <c r="O32" s="106"/>
      <c r="P32" s="103">
        <v>0</v>
      </c>
      <c r="Q32" s="107">
        <f t="shared" si="1"/>
        <v>165000</v>
      </c>
      <c r="R32" s="107"/>
      <c r="S32" s="107"/>
      <c r="T32" s="108"/>
      <c r="U32" s="119"/>
      <c r="V32" s="110" t="str">
        <f t="shared" si="2"/>
        <v/>
      </c>
      <c r="W32" s="103"/>
      <c r="X32" s="112">
        <f t="shared" si="3"/>
        <v>165000</v>
      </c>
      <c r="Y32" s="112">
        <f t="shared" si="4"/>
        <v>0</v>
      </c>
      <c r="Z32" s="113">
        <f t="shared" si="5"/>
        <v>0</v>
      </c>
      <c r="AA32" s="113">
        <v>0</v>
      </c>
      <c r="AB32" s="114">
        <v>0</v>
      </c>
      <c r="AC32" s="11">
        <f t="shared" si="6"/>
        <v>0</v>
      </c>
      <c r="AD32" s="115">
        <f t="shared" si="7"/>
        <v>-19967.359999999986</v>
      </c>
      <c r="AE32" s="115">
        <f t="shared" si="8"/>
        <v>0</v>
      </c>
      <c r="AF32" s="115">
        <f t="shared" si="9"/>
        <v>0</v>
      </c>
      <c r="AG32" s="11"/>
      <c r="AH32" s="115">
        <f t="shared" si="10"/>
        <v>165000</v>
      </c>
      <c r="AI32" s="115">
        <f t="shared" si="11"/>
        <v>0</v>
      </c>
      <c r="AJ32" s="115">
        <f t="shared" si="12"/>
        <v>0</v>
      </c>
      <c r="AL32" s="11">
        <f t="shared" si="13"/>
        <v>145032.64000000001</v>
      </c>
      <c r="AM32" s="118" t="s">
        <v>72</v>
      </c>
    </row>
    <row r="33" spans="1:39" s="124" customFormat="1">
      <c r="A33" s="123"/>
      <c r="B33" s="123" t="s">
        <v>49</v>
      </c>
      <c r="C33" s="122" t="s">
        <v>70</v>
      </c>
      <c r="D33" s="118" t="s">
        <v>73</v>
      </c>
      <c r="E33" s="98"/>
      <c r="F33" s="99">
        <f>VLOOKUP(D33,'Feb14 Revenue'!D:V,19,FALSE)</f>
        <v>506.36999999999898</v>
      </c>
      <c r="G33" s="100"/>
      <c r="H33" s="100"/>
      <c r="I33" s="101"/>
      <c r="J33" s="102">
        <f t="shared" si="0"/>
        <v>506.36999999999898</v>
      </c>
      <c r="K33" s="103"/>
      <c r="L33" s="104"/>
      <c r="M33" s="105">
        <v>30000</v>
      </c>
      <c r="N33" s="103">
        <v>0</v>
      </c>
      <c r="O33" s="106"/>
      <c r="P33" s="103">
        <v>0</v>
      </c>
      <c r="Q33" s="107">
        <f t="shared" si="1"/>
        <v>30000</v>
      </c>
      <c r="R33" s="107"/>
      <c r="S33" s="107"/>
      <c r="T33" s="108"/>
      <c r="U33" s="119"/>
      <c r="V33" s="110" t="str">
        <f t="shared" si="2"/>
        <v/>
      </c>
      <c r="W33" s="103"/>
      <c r="X33" s="112">
        <f t="shared" si="3"/>
        <v>30000</v>
      </c>
      <c r="Y33" s="112">
        <f t="shared" si="4"/>
        <v>0</v>
      </c>
      <c r="Z33" s="113">
        <f t="shared" si="5"/>
        <v>0</v>
      </c>
      <c r="AA33" s="113">
        <v>0</v>
      </c>
      <c r="AB33" s="114">
        <v>0</v>
      </c>
      <c r="AC33" s="11">
        <f t="shared" si="6"/>
        <v>0</v>
      </c>
      <c r="AD33" s="115">
        <f t="shared" si="7"/>
        <v>506.36999999999898</v>
      </c>
      <c r="AE33" s="115">
        <f t="shared" si="8"/>
        <v>0</v>
      </c>
      <c r="AF33" s="115">
        <f t="shared" si="9"/>
        <v>0</v>
      </c>
      <c r="AG33" s="11"/>
      <c r="AH33" s="115">
        <f t="shared" si="10"/>
        <v>30000</v>
      </c>
      <c r="AI33" s="115">
        <f t="shared" si="11"/>
        <v>0</v>
      </c>
      <c r="AJ33" s="115">
        <f t="shared" si="12"/>
        <v>0</v>
      </c>
      <c r="AL33" s="11">
        <f t="shared" si="13"/>
        <v>30506.37</v>
      </c>
      <c r="AM33" s="118" t="s">
        <v>73</v>
      </c>
    </row>
    <row r="34" spans="1:39" s="124" customFormat="1">
      <c r="A34" s="123"/>
      <c r="B34" s="123" t="s">
        <v>49</v>
      </c>
      <c r="C34" s="122" t="s">
        <v>70</v>
      </c>
      <c r="D34" s="118" t="s">
        <v>74</v>
      </c>
      <c r="E34" s="98"/>
      <c r="F34" s="99">
        <f>VLOOKUP(D34,'Feb14 Revenue'!D:V,19,FALSE)</f>
        <v>-732.70000000000073</v>
      </c>
      <c r="G34" s="100"/>
      <c r="H34" s="100"/>
      <c r="I34" s="101"/>
      <c r="J34" s="102">
        <f t="shared" si="0"/>
        <v>-732.70000000000073</v>
      </c>
      <c r="K34" s="103"/>
      <c r="L34" s="104"/>
      <c r="M34" s="105">
        <v>15000</v>
      </c>
      <c r="N34" s="103">
        <v>0</v>
      </c>
      <c r="O34" s="106"/>
      <c r="P34" s="103">
        <v>0</v>
      </c>
      <c r="Q34" s="107">
        <f t="shared" si="1"/>
        <v>15000</v>
      </c>
      <c r="R34" s="107"/>
      <c r="S34" s="107"/>
      <c r="T34" s="108"/>
      <c r="U34" s="119"/>
      <c r="V34" s="110" t="str">
        <f t="shared" si="2"/>
        <v/>
      </c>
      <c r="W34" s="103"/>
      <c r="X34" s="112">
        <f t="shared" si="3"/>
        <v>15000</v>
      </c>
      <c r="Y34" s="112">
        <f t="shared" si="4"/>
        <v>0</v>
      </c>
      <c r="Z34" s="113">
        <f t="shared" si="5"/>
        <v>0</v>
      </c>
      <c r="AA34" s="113">
        <v>0</v>
      </c>
      <c r="AB34" s="114">
        <v>0</v>
      </c>
      <c r="AC34" s="11">
        <f t="shared" si="6"/>
        <v>0</v>
      </c>
      <c r="AD34" s="115">
        <f t="shared" si="7"/>
        <v>-732.70000000000073</v>
      </c>
      <c r="AE34" s="115">
        <f t="shared" si="8"/>
        <v>0</v>
      </c>
      <c r="AF34" s="115">
        <f t="shared" si="9"/>
        <v>0</v>
      </c>
      <c r="AG34" s="11"/>
      <c r="AH34" s="115">
        <f t="shared" si="10"/>
        <v>15000</v>
      </c>
      <c r="AI34" s="115">
        <f t="shared" si="11"/>
        <v>0</v>
      </c>
      <c r="AJ34" s="115">
        <f t="shared" si="12"/>
        <v>0</v>
      </c>
      <c r="AL34" s="11">
        <f t="shared" si="13"/>
        <v>14267.3</v>
      </c>
      <c r="AM34" s="118" t="s">
        <v>74</v>
      </c>
    </row>
    <row r="35" spans="1:39" s="124" customFormat="1">
      <c r="A35" s="123"/>
      <c r="B35" s="123" t="s">
        <v>49</v>
      </c>
      <c r="C35" s="122" t="s">
        <v>70</v>
      </c>
      <c r="D35" s="118" t="s">
        <v>75</v>
      </c>
      <c r="E35" s="98"/>
      <c r="F35" s="99">
        <f>VLOOKUP(D35,'Feb14 Revenue'!D:V,19,FALSE)</f>
        <v>-10.989999999999782</v>
      </c>
      <c r="G35" s="100"/>
      <c r="H35" s="100"/>
      <c r="I35" s="101"/>
      <c r="J35" s="102">
        <f t="shared" si="0"/>
        <v>-10.989999999999782</v>
      </c>
      <c r="K35" s="103"/>
      <c r="L35" s="104"/>
      <c r="M35" s="105">
        <v>5000</v>
      </c>
      <c r="N35" s="103">
        <v>0</v>
      </c>
      <c r="O35" s="106"/>
      <c r="P35" s="103">
        <v>0</v>
      </c>
      <c r="Q35" s="107">
        <f t="shared" si="1"/>
        <v>5000</v>
      </c>
      <c r="R35" s="107"/>
      <c r="S35" s="107"/>
      <c r="T35" s="108"/>
      <c r="U35" s="119"/>
      <c r="V35" s="110" t="str">
        <f t="shared" si="2"/>
        <v/>
      </c>
      <c r="W35" s="103"/>
      <c r="X35" s="112">
        <f t="shared" si="3"/>
        <v>5000</v>
      </c>
      <c r="Y35" s="112">
        <f t="shared" si="4"/>
        <v>0</v>
      </c>
      <c r="Z35" s="113">
        <f t="shared" si="5"/>
        <v>0</v>
      </c>
      <c r="AA35" s="113">
        <v>0</v>
      </c>
      <c r="AB35" s="114">
        <v>0</v>
      </c>
      <c r="AC35" s="11">
        <f t="shared" si="6"/>
        <v>0</v>
      </c>
      <c r="AD35" s="115">
        <f t="shared" si="7"/>
        <v>-10.989999999999782</v>
      </c>
      <c r="AE35" s="115">
        <f t="shared" si="8"/>
        <v>0</v>
      </c>
      <c r="AF35" s="115">
        <f t="shared" si="9"/>
        <v>0</v>
      </c>
      <c r="AG35" s="11"/>
      <c r="AH35" s="115">
        <f t="shared" si="10"/>
        <v>5000</v>
      </c>
      <c r="AI35" s="115">
        <f t="shared" si="11"/>
        <v>0</v>
      </c>
      <c r="AJ35" s="115">
        <f t="shared" si="12"/>
        <v>0</v>
      </c>
      <c r="AL35" s="11">
        <f t="shared" si="13"/>
        <v>4989.01</v>
      </c>
      <c r="AM35" s="118" t="s">
        <v>75</v>
      </c>
    </row>
    <row r="36" spans="1:39" s="124" customFormat="1">
      <c r="A36" s="123"/>
      <c r="B36" s="123" t="s">
        <v>49</v>
      </c>
      <c r="C36" s="122" t="s">
        <v>70</v>
      </c>
      <c r="D36" s="118" t="s">
        <v>76</v>
      </c>
      <c r="E36" s="98"/>
      <c r="F36" s="99">
        <f>VLOOKUP(D36,'Feb14 Revenue'!D:V,19,FALSE)</f>
        <v>1608.7700000000004</v>
      </c>
      <c r="G36" s="100"/>
      <c r="H36" s="100"/>
      <c r="I36" s="101"/>
      <c r="J36" s="102">
        <f t="shared" si="0"/>
        <v>1608.7700000000004</v>
      </c>
      <c r="K36" s="103"/>
      <c r="L36" s="104"/>
      <c r="M36" s="105">
        <v>5000</v>
      </c>
      <c r="N36" s="103">
        <v>0</v>
      </c>
      <c r="O36" s="106"/>
      <c r="P36" s="103">
        <v>0</v>
      </c>
      <c r="Q36" s="107">
        <f t="shared" si="1"/>
        <v>5000</v>
      </c>
      <c r="R36" s="107"/>
      <c r="S36" s="107"/>
      <c r="T36" s="108"/>
      <c r="U36" s="119"/>
      <c r="V36" s="110" t="str">
        <f t="shared" si="2"/>
        <v/>
      </c>
      <c r="W36" s="103"/>
      <c r="X36" s="112">
        <f t="shared" si="3"/>
        <v>5000</v>
      </c>
      <c r="Y36" s="112">
        <f t="shared" si="4"/>
        <v>0</v>
      </c>
      <c r="Z36" s="113">
        <f t="shared" si="5"/>
        <v>0</v>
      </c>
      <c r="AA36" s="113">
        <v>0</v>
      </c>
      <c r="AB36" s="114">
        <v>0</v>
      </c>
      <c r="AC36" s="11">
        <f t="shared" si="6"/>
        <v>0</v>
      </c>
      <c r="AD36" s="115">
        <f t="shared" si="7"/>
        <v>1608.7700000000004</v>
      </c>
      <c r="AE36" s="115">
        <f t="shared" si="8"/>
        <v>0</v>
      </c>
      <c r="AF36" s="115">
        <f t="shared" si="9"/>
        <v>0</v>
      </c>
      <c r="AG36" s="11"/>
      <c r="AH36" s="115">
        <f t="shared" si="10"/>
        <v>5000</v>
      </c>
      <c r="AI36" s="115">
        <f t="shared" si="11"/>
        <v>0</v>
      </c>
      <c r="AJ36" s="115">
        <f t="shared" si="12"/>
        <v>0</v>
      </c>
      <c r="AL36" s="11">
        <f t="shared" si="13"/>
        <v>6608.77</v>
      </c>
      <c r="AM36" s="118" t="s">
        <v>76</v>
      </c>
    </row>
    <row r="37" spans="1:39" s="124" customFormat="1">
      <c r="A37" s="123"/>
      <c r="B37" s="123" t="s">
        <v>49</v>
      </c>
      <c r="C37" s="122" t="s">
        <v>70</v>
      </c>
      <c r="D37" s="118" t="s">
        <v>77</v>
      </c>
      <c r="E37" s="98"/>
      <c r="F37" s="99">
        <f>VLOOKUP(D37,'Feb14 Revenue'!D:V,19,FALSE)</f>
        <v>-5.3400000000001455</v>
      </c>
      <c r="G37" s="100"/>
      <c r="H37" s="100"/>
      <c r="I37" s="101"/>
      <c r="J37" s="102">
        <f t="shared" si="0"/>
        <v>-5.3400000000001455</v>
      </c>
      <c r="K37" s="103"/>
      <c r="L37" s="104"/>
      <c r="M37" s="105">
        <v>5000</v>
      </c>
      <c r="N37" s="103">
        <v>0</v>
      </c>
      <c r="O37" s="106"/>
      <c r="P37" s="103">
        <v>0</v>
      </c>
      <c r="Q37" s="107">
        <f t="shared" si="1"/>
        <v>5000</v>
      </c>
      <c r="R37" s="107"/>
      <c r="S37" s="107"/>
      <c r="T37" s="108"/>
      <c r="U37" s="119"/>
      <c r="V37" s="110" t="str">
        <f t="shared" si="2"/>
        <v/>
      </c>
      <c r="W37" s="103"/>
      <c r="X37" s="112">
        <f t="shared" si="3"/>
        <v>5000</v>
      </c>
      <c r="Y37" s="112">
        <f t="shared" si="4"/>
        <v>0</v>
      </c>
      <c r="Z37" s="113">
        <f t="shared" si="5"/>
        <v>0</v>
      </c>
      <c r="AA37" s="113">
        <v>0</v>
      </c>
      <c r="AB37" s="114">
        <v>0</v>
      </c>
      <c r="AC37" s="11">
        <f t="shared" si="6"/>
        <v>0</v>
      </c>
      <c r="AD37" s="115">
        <f t="shared" si="7"/>
        <v>-5.3400000000001455</v>
      </c>
      <c r="AE37" s="115">
        <f t="shared" si="8"/>
        <v>0</v>
      </c>
      <c r="AF37" s="115">
        <f t="shared" si="9"/>
        <v>0</v>
      </c>
      <c r="AG37" s="11"/>
      <c r="AH37" s="115">
        <f t="shared" si="10"/>
        <v>5000</v>
      </c>
      <c r="AI37" s="115">
        <f t="shared" si="11"/>
        <v>0</v>
      </c>
      <c r="AJ37" s="115">
        <f t="shared" si="12"/>
        <v>0</v>
      </c>
      <c r="AL37" s="11">
        <f t="shared" si="13"/>
        <v>4994.66</v>
      </c>
      <c r="AM37" s="118" t="s">
        <v>77</v>
      </c>
    </row>
    <row r="38" spans="1:39" s="124" customFormat="1">
      <c r="A38" s="123"/>
      <c r="B38" s="123" t="s">
        <v>49</v>
      </c>
      <c r="C38" s="122" t="s">
        <v>70</v>
      </c>
      <c r="D38" s="118" t="s">
        <v>78</v>
      </c>
      <c r="E38" s="98"/>
      <c r="F38" s="99">
        <f>VLOOKUP(D38,'Feb14 Revenue'!D:V,19,FALSE)</f>
        <v>-2113.5800000000017</v>
      </c>
      <c r="G38" s="100"/>
      <c r="H38" s="100"/>
      <c r="I38" s="101"/>
      <c r="J38" s="102">
        <f t="shared" si="0"/>
        <v>-2113.5800000000017</v>
      </c>
      <c r="K38" s="103"/>
      <c r="L38" s="104"/>
      <c r="M38" s="105">
        <v>25000</v>
      </c>
      <c r="N38" s="103">
        <v>0</v>
      </c>
      <c r="O38" s="106"/>
      <c r="P38" s="103">
        <v>0</v>
      </c>
      <c r="Q38" s="107">
        <f t="shared" si="1"/>
        <v>25000</v>
      </c>
      <c r="R38" s="107"/>
      <c r="S38" s="107"/>
      <c r="T38" s="108"/>
      <c r="U38" s="119"/>
      <c r="V38" s="110" t="str">
        <f t="shared" si="2"/>
        <v/>
      </c>
      <c r="W38" s="103"/>
      <c r="X38" s="112">
        <f t="shared" si="3"/>
        <v>25000</v>
      </c>
      <c r="Y38" s="112">
        <f t="shared" si="4"/>
        <v>0</v>
      </c>
      <c r="Z38" s="113">
        <f t="shared" si="5"/>
        <v>0</v>
      </c>
      <c r="AA38" s="113">
        <v>0</v>
      </c>
      <c r="AB38" s="114">
        <v>0</v>
      </c>
      <c r="AC38" s="11">
        <f t="shared" si="6"/>
        <v>0</v>
      </c>
      <c r="AD38" s="115">
        <f t="shared" si="7"/>
        <v>-2113.5800000000017</v>
      </c>
      <c r="AE38" s="115">
        <f t="shared" si="8"/>
        <v>0</v>
      </c>
      <c r="AF38" s="115">
        <f t="shared" si="9"/>
        <v>0</v>
      </c>
      <c r="AG38" s="11"/>
      <c r="AH38" s="115">
        <f t="shared" si="10"/>
        <v>25000</v>
      </c>
      <c r="AI38" s="115">
        <f t="shared" si="11"/>
        <v>0</v>
      </c>
      <c r="AJ38" s="115">
        <f t="shared" si="12"/>
        <v>0</v>
      </c>
      <c r="AL38" s="11">
        <f t="shared" si="13"/>
        <v>22886.42</v>
      </c>
      <c r="AM38" s="118" t="s">
        <v>78</v>
      </c>
    </row>
    <row r="39" spans="1:39" s="124" customFormat="1">
      <c r="A39" s="123"/>
      <c r="B39" s="123" t="s">
        <v>49</v>
      </c>
      <c r="C39" s="122" t="s">
        <v>68</v>
      </c>
      <c r="D39" s="118" t="s">
        <v>79</v>
      </c>
      <c r="E39" s="98"/>
      <c r="F39" s="99">
        <f>VLOOKUP(D39,'Feb14 Revenue'!D:V,19,FALSE)</f>
        <v>0</v>
      </c>
      <c r="G39" s="100"/>
      <c r="H39" s="100"/>
      <c r="I39" s="125">
        <v>42616.49</v>
      </c>
      <c r="J39" s="102">
        <f t="shared" si="0"/>
        <v>42616.49</v>
      </c>
      <c r="K39" s="103"/>
      <c r="L39" s="104"/>
      <c r="M39" s="105"/>
      <c r="N39" s="103">
        <v>0</v>
      </c>
      <c r="O39" s="106"/>
      <c r="P39" s="103">
        <v>0</v>
      </c>
      <c r="Q39" s="107">
        <f t="shared" si="1"/>
        <v>0</v>
      </c>
      <c r="R39" s="107"/>
      <c r="S39" s="107"/>
      <c r="T39" s="108"/>
      <c r="U39" s="119"/>
      <c r="V39" s="110" t="str">
        <f t="shared" si="2"/>
        <v/>
      </c>
      <c r="W39" s="103"/>
      <c r="X39" s="112">
        <f t="shared" si="3"/>
        <v>0</v>
      </c>
      <c r="Y39" s="112">
        <f t="shared" si="4"/>
        <v>0</v>
      </c>
      <c r="Z39" s="113">
        <f t="shared" si="5"/>
        <v>0</v>
      </c>
      <c r="AA39" s="113">
        <v>0</v>
      </c>
      <c r="AB39" s="114">
        <v>0</v>
      </c>
      <c r="AC39" s="11">
        <f t="shared" si="6"/>
        <v>0</v>
      </c>
      <c r="AD39" s="115">
        <f t="shared" si="7"/>
        <v>42616.49</v>
      </c>
      <c r="AE39" s="115">
        <f t="shared" si="8"/>
        <v>0</v>
      </c>
      <c r="AF39" s="115">
        <f t="shared" si="9"/>
        <v>0</v>
      </c>
      <c r="AG39" s="11"/>
      <c r="AH39" s="115">
        <f t="shared" si="10"/>
        <v>0</v>
      </c>
      <c r="AI39" s="115">
        <f t="shared" si="11"/>
        <v>0</v>
      </c>
      <c r="AJ39" s="115">
        <f t="shared" si="12"/>
        <v>0</v>
      </c>
      <c r="AL39" s="11">
        <f t="shared" si="13"/>
        <v>42616.49</v>
      </c>
      <c r="AM39" s="118" t="s">
        <v>79</v>
      </c>
    </row>
    <row r="40" spans="1:39" s="124" customFormat="1">
      <c r="A40" s="123"/>
      <c r="B40" s="123" t="s">
        <v>49</v>
      </c>
      <c r="C40" s="126" t="s">
        <v>70</v>
      </c>
      <c r="D40" s="118" t="s">
        <v>80</v>
      </c>
      <c r="E40" s="98"/>
      <c r="F40" s="99">
        <f>VLOOKUP(D40,'Feb14 Revenue'!D:V,19,FALSE)</f>
        <v>0</v>
      </c>
      <c r="G40" s="100"/>
      <c r="H40" s="100"/>
      <c r="I40" s="125">
        <v>5804.16</v>
      </c>
      <c r="J40" s="102">
        <f t="shared" si="0"/>
        <v>5804.16</v>
      </c>
      <c r="K40" s="103"/>
      <c r="L40" s="104"/>
      <c r="M40" s="105"/>
      <c r="N40" s="103">
        <v>0</v>
      </c>
      <c r="O40" s="106"/>
      <c r="P40" s="103">
        <v>0</v>
      </c>
      <c r="Q40" s="107">
        <f t="shared" si="1"/>
        <v>0</v>
      </c>
      <c r="R40" s="107"/>
      <c r="S40" s="107"/>
      <c r="T40" s="108"/>
      <c r="U40" s="119"/>
      <c r="V40" s="110" t="str">
        <f t="shared" si="2"/>
        <v/>
      </c>
      <c r="W40" s="103"/>
      <c r="X40" s="112">
        <f t="shared" si="3"/>
        <v>0</v>
      </c>
      <c r="Y40" s="112">
        <f t="shared" si="4"/>
        <v>0</v>
      </c>
      <c r="Z40" s="113">
        <f t="shared" si="5"/>
        <v>0</v>
      </c>
      <c r="AA40" s="113">
        <v>0</v>
      </c>
      <c r="AB40" s="114">
        <v>0</v>
      </c>
      <c r="AC40" s="11">
        <f t="shared" si="6"/>
        <v>0</v>
      </c>
      <c r="AD40" s="115">
        <f t="shared" si="7"/>
        <v>5804.16</v>
      </c>
      <c r="AE40" s="115">
        <f t="shared" si="8"/>
        <v>0</v>
      </c>
      <c r="AF40" s="115">
        <f t="shared" si="9"/>
        <v>0</v>
      </c>
      <c r="AG40" s="11"/>
      <c r="AH40" s="115">
        <f t="shared" si="10"/>
        <v>0</v>
      </c>
      <c r="AI40" s="115">
        <f t="shared" si="11"/>
        <v>0</v>
      </c>
      <c r="AJ40" s="115">
        <f t="shared" si="12"/>
        <v>0</v>
      </c>
      <c r="AL40" s="11">
        <f t="shared" si="13"/>
        <v>5804.16</v>
      </c>
      <c r="AM40" s="118" t="s">
        <v>80</v>
      </c>
    </row>
    <row r="41" spans="1:39" s="124" customFormat="1">
      <c r="A41" s="127"/>
      <c r="B41" s="127" t="s">
        <v>81</v>
      </c>
      <c r="C41" s="128" t="s">
        <v>68</v>
      </c>
      <c r="D41" s="118" t="s">
        <v>82</v>
      </c>
      <c r="E41" s="98"/>
      <c r="F41" s="99">
        <f>VLOOKUP(D41,'Feb14 Revenue'!D:V,19,FALSE)</f>
        <v>-14480</v>
      </c>
      <c r="G41" s="100"/>
      <c r="H41" s="100"/>
      <c r="I41" s="101"/>
      <c r="J41" s="102">
        <f t="shared" si="0"/>
        <v>-14480</v>
      </c>
      <c r="K41" s="103"/>
      <c r="L41" s="104"/>
      <c r="M41" s="105">
        <v>5000</v>
      </c>
      <c r="N41" s="103">
        <v>0</v>
      </c>
      <c r="O41" s="106"/>
      <c r="P41" s="103">
        <v>0</v>
      </c>
      <c r="Q41" s="107">
        <f t="shared" si="1"/>
        <v>5000</v>
      </c>
      <c r="R41" s="107"/>
      <c r="S41" s="107"/>
      <c r="T41" s="108"/>
      <c r="U41" s="119"/>
      <c r="V41" s="110" t="str">
        <f t="shared" si="2"/>
        <v/>
      </c>
      <c r="W41" s="103"/>
      <c r="X41" s="112">
        <f t="shared" si="3"/>
        <v>0</v>
      </c>
      <c r="Y41" s="112">
        <f t="shared" si="4"/>
        <v>0</v>
      </c>
      <c r="Z41" s="113">
        <f t="shared" si="5"/>
        <v>5000</v>
      </c>
      <c r="AA41" s="113">
        <v>0</v>
      </c>
      <c r="AB41" s="114">
        <v>0</v>
      </c>
      <c r="AC41" s="11">
        <f t="shared" si="6"/>
        <v>0</v>
      </c>
      <c r="AD41" s="115">
        <f t="shared" si="7"/>
        <v>0</v>
      </c>
      <c r="AE41" s="115">
        <f t="shared" si="8"/>
        <v>0</v>
      </c>
      <c r="AF41" s="115">
        <f t="shared" si="9"/>
        <v>-14480</v>
      </c>
      <c r="AG41" s="11"/>
      <c r="AH41" s="115">
        <f t="shared" si="10"/>
        <v>0</v>
      </c>
      <c r="AI41" s="115">
        <f t="shared" si="11"/>
        <v>0</v>
      </c>
      <c r="AJ41" s="115">
        <f t="shared" si="12"/>
        <v>5000</v>
      </c>
      <c r="AL41" s="11">
        <f t="shared" si="13"/>
        <v>-9480</v>
      </c>
      <c r="AM41" s="118" t="s">
        <v>83</v>
      </c>
    </row>
    <row r="42" spans="1:39" s="124" customFormat="1">
      <c r="A42" s="127"/>
      <c r="B42" s="127" t="s">
        <v>81</v>
      </c>
      <c r="C42" s="96" t="s">
        <v>84</v>
      </c>
      <c r="D42" s="118" t="s">
        <v>83</v>
      </c>
      <c r="E42" s="98"/>
      <c r="F42" s="99">
        <f>VLOOKUP(D42,'Feb14 Revenue'!D:V,19,FALSE)</f>
        <v>5436.1900000000023</v>
      </c>
      <c r="G42" s="100"/>
      <c r="H42" s="100"/>
      <c r="I42" s="101"/>
      <c r="J42" s="102">
        <f t="shared" si="0"/>
        <v>5436.1900000000023</v>
      </c>
      <c r="K42" s="103"/>
      <c r="L42" s="104"/>
      <c r="M42" s="105">
        <v>30000</v>
      </c>
      <c r="N42" s="103">
        <v>0</v>
      </c>
      <c r="O42" s="106"/>
      <c r="P42" s="103">
        <v>0</v>
      </c>
      <c r="Q42" s="107">
        <f t="shared" si="1"/>
        <v>30000</v>
      </c>
      <c r="R42" s="107"/>
      <c r="S42" s="107"/>
      <c r="T42" s="108"/>
      <c r="U42" s="119"/>
      <c r="V42" s="110" t="str">
        <f t="shared" si="2"/>
        <v/>
      </c>
      <c r="W42" s="103"/>
      <c r="X42" s="112">
        <f t="shared" si="3"/>
        <v>0</v>
      </c>
      <c r="Y42" s="112">
        <f t="shared" si="4"/>
        <v>0</v>
      </c>
      <c r="Z42" s="113">
        <f t="shared" si="5"/>
        <v>30000</v>
      </c>
      <c r="AA42" s="113">
        <v>0</v>
      </c>
      <c r="AB42" s="114">
        <v>0</v>
      </c>
      <c r="AC42" s="11">
        <f t="shared" si="6"/>
        <v>0</v>
      </c>
      <c r="AD42" s="115">
        <f t="shared" si="7"/>
        <v>0</v>
      </c>
      <c r="AE42" s="115">
        <f t="shared" si="8"/>
        <v>0</v>
      </c>
      <c r="AF42" s="115">
        <f t="shared" si="9"/>
        <v>5436.1900000000023</v>
      </c>
      <c r="AG42" s="11"/>
      <c r="AH42" s="115">
        <f t="shared" si="10"/>
        <v>0</v>
      </c>
      <c r="AI42" s="115">
        <f t="shared" si="11"/>
        <v>0</v>
      </c>
      <c r="AJ42" s="115">
        <f t="shared" si="12"/>
        <v>30000</v>
      </c>
      <c r="AL42" s="11">
        <f t="shared" si="13"/>
        <v>35436.19</v>
      </c>
      <c r="AM42" s="118" t="s">
        <v>83</v>
      </c>
    </row>
    <row r="43" spans="1:39" s="124" customFormat="1">
      <c r="A43" s="127"/>
      <c r="B43" s="127" t="s">
        <v>49</v>
      </c>
      <c r="C43" s="96"/>
      <c r="D43" s="118" t="s">
        <v>85</v>
      </c>
      <c r="E43" s="98"/>
      <c r="F43" s="99">
        <f>VLOOKUP(D43,'Feb14 Revenue'!D:V,19,FALSE)</f>
        <v>763.1299999999992</v>
      </c>
      <c r="G43" s="100"/>
      <c r="H43" s="100"/>
      <c r="I43" s="101"/>
      <c r="J43" s="102">
        <f t="shared" si="0"/>
        <v>763.1299999999992</v>
      </c>
      <c r="K43" s="103"/>
      <c r="L43" s="104"/>
      <c r="M43" s="105">
        <v>15000</v>
      </c>
      <c r="N43" s="103">
        <v>0</v>
      </c>
      <c r="O43" s="106"/>
      <c r="P43" s="103">
        <v>0</v>
      </c>
      <c r="Q43" s="107">
        <f t="shared" si="1"/>
        <v>15000</v>
      </c>
      <c r="R43" s="107"/>
      <c r="S43" s="107"/>
      <c r="T43" s="108"/>
      <c r="U43" s="119"/>
      <c r="V43" s="110" t="str">
        <f t="shared" si="2"/>
        <v/>
      </c>
      <c r="W43" s="103"/>
      <c r="X43" s="112">
        <f t="shared" si="3"/>
        <v>15000</v>
      </c>
      <c r="Y43" s="112">
        <f t="shared" si="4"/>
        <v>0</v>
      </c>
      <c r="Z43" s="113">
        <f t="shared" si="5"/>
        <v>0</v>
      </c>
      <c r="AA43" s="113">
        <v>0</v>
      </c>
      <c r="AB43" s="114">
        <v>0</v>
      </c>
      <c r="AC43" s="11">
        <f t="shared" si="6"/>
        <v>0</v>
      </c>
      <c r="AD43" s="115">
        <f t="shared" si="7"/>
        <v>763.1299999999992</v>
      </c>
      <c r="AE43" s="115">
        <f t="shared" si="8"/>
        <v>0</v>
      </c>
      <c r="AF43" s="115">
        <f t="shared" si="9"/>
        <v>0</v>
      </c>
      <c r="AG43" s="11"/>
      <c r="AH43" s="115">
        <f t="shared" si="10"/>
        <v>15000</v>
      </c>
      <c r="AI43" s="115">
        <f t="shared" si="11"/>
        <v>0</v>
      </c>
      <c r="AJ43" s="115">
        <f t="shared" si="12"/>
        <v>0</v>
      </c>
      <c r="AL43" s="11">
        <f t="shared" si="13"/>
        <v>15763.13</v>
      </c>
      <c r="AM43" s="118" t="s">
        <v>85</v>
      </c>
    </row>
    <row r="44" spans="1:39">
      <c r="A44" s="129"/>
      <c r="B44" s="129" t="s">
        <v>49</v>
      </c>
      <c r="C44" s="96"/>
      <c r="D44" s="120" t="s">
        <v>86</v>
      </c>
      <c r="E44" s="98"/>
      <c r="F44" s="99">
        <f>VLOOKUP(D44,'Feb14 Revenue'!D:V,19,FALSE)</f>
        <v>-10000</v>
      </c>
      <c r="G44" s="100"/>
      <c r="H44" s="100"/>
      <c r="I44" s="101"/>
      <c r="J44" s="102">
        <f t="shared" si="0"/>
        <v>-10000</v>
      </c>
      <c r="K44" s="103"/>
      <c r="L44" s="104"/>
      <c r="M44" s="105">
        <v>15000</v>
      </c>
      <c r="N44" s="103">
        <v>0</v>
      </c>
      <c r="O44" s="106"/>
      <c r="P44" s="103">
        <v>0</v>
      </c>
      <c r="Q44" s="107">
        <f t="shared" si="1"/>
        <v>15000</v>
      </c>
      <c r="R44" s="107"/>
      <c r="S44" s="107"/>
      <c r="T44" s="108"/>
      <c r="U44" s="119"/>
      <c r="V44" s="110"/>
      <c r="W44" s="103"/>
      <c r="X44" s="112">
        <f t="shared" si="3"/>
        <v>15000</v>
      </c>
      <c r="Y44" s="112">
        <f t="shared" si="4"/>
        <v>0</v>
      </c>
      <c r="Z44" s="113">
        <f t="shared" si="5"/>
        <v>0</v>
      </c>
      <c r="AA44" s="113">
        <v>0</v>
      </c>
      <c r="AB44" s="114">
        <v>0</v>
      </c>
      <c r="AC44" s="11">
        <f t="shared" si="6"/>
        <v>0</v>
      </c>
      <c r="AD44" s="115">
        <f t="shared" si="7"/>
        <v>-10000</v>
      </c>
      <c r="AE44" s="115">
        <f t="shared" si="8"/>
        <v>0</v>
      </c>
      <c r="AF44" s="115">
        <f t="shared" si="9"/>
        <v>0</v>
      </c>
      <c r="AG44" s="11"/>
      <c r="AH44" s="115">
        <f t="shared" si="10"/>
        <v>15000</v>
      </c>
      <c r="AI44" s="115">
        <f t="shared" si="11"/>
        <v>0</v>
      </c>
      <c r="AJ44" s="115">
        <f t="shared" si="12"/>
        <v>0</v>
      </c>
      <c r="AL44" s="11">
        <f t="shared" si="13"/>
        <v>5000</v>
      </c>
      <c r="AM44" s="120" t="s">
        <v>86</v>
      </c>
    </row>
    <row r="45" spans="1:39">
      <c r="A45" s="116"/>
      <c r="B45" s="116" t="s">
        <v>46</v>
      </c>
      <c r="C45" s="122"/>
      <c r="D45" s="120" t="s">
        <v>87</v>
      </c>
      <c r="E45" s="98"/>
      <c r="F45" s="99">
        <f>VLOOKUP(D45,'Feb14 Revenue'!D:V,19,FALSE)</f>
        <v>0</v>
      </c>
      <c r="G45" s="100"/>
      <c r="H45" s="100"/>
      <c r="I45" s="101"/>
      <c r="J45" s="102">
        <f t="shared" si="0"/>
        <v>0</v>
      </c>
      <c r="K45" s="103"/>
      <c r="L45" s="104"/>
      <c r="M45" s="105"/>
      <c r="N45" s="103">
        <v>0</v>
      </c>
      <c r="O45" s="106"/>
      <c r="P45" s="103">
        <v>0</v>
      </c>
      <c r="Q45" s="107">
        <f t="shared" si="1"/>
        <v>0</v>
      </c>
      <c r="R45" s="107"/>
      <c r="S45" s="107"/>
      <c r="T45" s="108"/>
      <c r="U45" s="119"/>
      <c r="V45" s="110" t="str">
        <f t="shared" si="2"/>
        <v/>
      </c>
      <c r="W45" s="103"/>
      <c r="X45" s="112">
        <f t="shared" si="3"/>
        <v>0</v>
      </c>
      <c r="Y45" s="112">
        <f t="shared" si="4"/>
        <v>0</v>
      </c>
      <c r="Z45" s="113">
        <f t="shared" si="5"/>
        <v>0</v>
      </c>
      <c r="AA45" s="113">
        <v>0</v>
      </c>
      <c r="AB45" s="114">
        <v>0</v>
      </c>
      <c r="AC45" s="11">
        <f t="shared" si="6"/>
        <v>0</v>
      </c>
      <c r="AD45" s="115">
        <f t="shared" si="7"/>
        <v>0</v>
      </c>
      <c r="AE45" s="115">
        <f t="shared" si="8"/>
        <v>0</v>
      </c>
      <c r="AF45" s="115">
        <f t="shared" si="9"/>
        <v>0</v>
      </c>
      <c r="AG45" s="11"/>
      <c r="AH45" s="115">
        <f t="shared" si="10"/>
        <v>0</v>
      </c>
      <c r="AI45" s="115">
        <f t="shared" si="11"/>
        <v>0</v>
      </c>
      <c r="AJ45" s="115">
        <f t="shared" si="12"/>
        <v>0</v>
      </c>
      <c r="AL45" s="11">
        <f t="shared" si="13"/>
        <v>0</v>
      </c>
      <c r="AM45" s="120" t="s">
        <v>87</v>
      </c>
    </row>
    <row r="46" spans="1:39">
      <c r="A46" s="116"/>
      <c r="B46" s="116" t="s">
        <v>49</v>
      </c>
      <c r="C46" s="122"/>
      <c r="D46" s="120" t="s">
        <v>88</v>
      </c>
      <c r="E46" s="98"/>
      <c r="F46" s="99">
        <f>VLOOKUP(D46,'Feb14 Revenue'!D:V,19,FALSE)</f>
        <v>0</v>
      </c>
      <c r="G46" s="100"/>
      <c r="H46" s="100"/>
      <c r="I46" s="101"/>
      <c r="J46" s="102">
        <f t="shared" si="0"/>
        <v>0</v>
      </c>
      <c r="K46" s="103"/>
      <c r="L46" s="104"/>
      <c r="M46" s="105"/>
      <c r="N46" s="103">
        <v>0</v>
      </c>
      <c r="O46" s="106"/>
      <c r="P46" s="103">
        <v>0</v>
      </c>
      <c r="Q46" s="107">
        <f t="shared" si="1"/>
        <v>0</v>
      </c>
      <c r="R46" s="107"/>
      <c r="S46" s="107"/>
      <c r="T46" s="108"/>
      <c r="U46" s="119"/>
      <c r="V46" s="110" t="str">
        <f t="shared" si="2"/>
        <v/>
      </c>
      <c r="W46" s="103"/>
      <c r="X46" s="112">
        <f t="shared" si="3"/>
        <v>0</v>
      </c>
      <c r="Y46" s="112">
        <f t="shared" si="4"/>
        <v>0</v>
      </c>
      <c r="Z46" s="113">
        <f t="shared" si="5"/>
        <v>0</v>
      </c>
      <c r="AA46" s="113">
        <v>0</v>
      </c>
      <c r="AB46" s="114">
        <v>0</v>
      </c>
      <c r="AC46" s="11">
        <f t="shared" si="6"/>
        <v>0</v>
      </c>
      <c r="AD46" s="115">
        <f t="shared" si="7"/>
        <v>0</v>
      </c>
      <c r="AE46" s="115">
        <f t="shared" si="8"/>
        <v>0</v>
      </c>
      <c r="AF46" s="115">
        <f t="shared" si="9"/>
        <v>0</v>
      </c>
      <c r="AG46" s="11"/>
      <c r="AH46" s="115">
        <f t="shared" si="10"/>
        <v>0</v>
      </c>
      <c r="AI46" s="115">
        <f t="shared" si="11"/>
        <v>0</v>
      </c>
      <c r="AJ46" s="115">
        <f t="shared" si="12"/>
        <v>0</v>
      </c>
      <c r="AL46" s="11">
        <f t="shared" si="13"/>
        <v>0</v>
      </c>
      <c r="AM46" s="120" t="s">
        <v>88</v>
      </c>
    </row>
    <row r="47" spans="1:39">
      <c r="A47" s="116"/>
      <c r="B47" s="116" t="s">
        <v>49</v>
      </c>
      <c r="C47" s="122"/>
      <c r="D47" s="120" t="s">
        <v>89</v>
      </c>
      <c r="E47" s="98"/>
      <c r="F47" s="99">
        <f>VLOOKUP(D47,'Feb14 Revenue'!D:V,19,FALSE)</f>
        <v>11118.679999999993</v>
      </c>
      <c r="G47" s="100"/>
      <c r="H47" s="100"/>
      <c r="I47" s="101"/>
      <c r="J47" s="102">
        <f t="shared" si="0"/>
        <v>11118.679999999993</v>
      </c>
      <c r="K47" s="103"/>
      <c r="L47" s="104"/>
      <c r="M47" s="105">
        <v>95000</v>
      </c>
      <c r="N47" s="103">
        <v>0</v>
      </c>
      <c r="O47" s="106"/>
      <c r="P47" s="103">
        <v>0</v>
      </c>
      <c r="Q47" s="107">
        <f t="shared" si="1"/>
        <v>95000</v>
      </c>
      <c r="R47" s="107"/>
      <c r="S47" s="107"/>
      <c r="T47" s="108"/>
      <c r="U47" s="119"/>
      <c r="V47" s="110" t="str">
        <f t="shared" si="2"/>
        <v/>
      </c>
      <c r="W47" s="103"/>
      <c r="X47" s="112">
        <f t="shared" si="3"/>
        <v>95000</v>
      </c>
      <c r="Y47" s="112">
        <f t="shared" si="4"/>
        <v>0</v>
      </c>
      <c r="Z47" s="113">
        <f t="shared" si="5"/>
        <v>0</v>
      </c>
      <c r="AA47" s="113">
        <v>0</v>
      </c>
      <c r="AB47" s="114">
        <v>0</v>
      </c>
      <c r="AC47" s="11">
        <f t="shared" si="6"/>
        <v>0</v>
      </c>
      <c r="AD47" s="115">
        <f t="shared" si="7"/>
        <v>11118.679999999993</v>
      </c>
      <c r="AE47" s="115">
        <f t="shared" si="8"/>
        <v>0</v>
      </c>
      <c r="AF47" s="115">
        <f t="shared" si="9"/>
        <v>0</v>
      </c>
      <c r="AG47" s="11"/>
      <c r="AH47" s="115">
        <f t="shared" si="10"/>
        <v>95000</v>
      </c>
      <c r="AI47" s="115">
        <f t="shared" si="11"/>
        <v>0</v>
      </c>
      <c r="AJ47" s="115">
        <f t="shared" si="12"/>
        <v>0</v>
      </c>
      <c r="AL47" s="11">
        <f t="shared" si="13"/>
        <v>106118.68</v>
      </c>
      <c r="AM47" s="120" t="s">
        <v>89</v>
      </c>
    </row>
    <row r="48" spans="1:39">
      <c r="A48" s="116"/>
      <c r="B48" s="116" t="s">
        <v>46</v>
      </c>
      <c r="C48" s="122"/>
      <c r="D48" s="120" t="s">
        <v>90</v>
      </c>
      <c r="E48" s="98"/>
      <c r="F48" s="99">
        <f>VLOOKUP(D48,'Feb14 Revenue'!D:V,19,FALSE)</f>
        <v>0</v>
      </c>
      <c r="G48" s="100"/>
      <c r="H48" s="100"/>
      <c r="I48" s="101"/>
      <c r="J48" s="102">
        <f t="shared" si="0"/>
        <v>0</v>
      </c>
      <c r="K48" s="103"/>
      <c r="L48" s="104"/>
      <c r="M48" s="105"/>
      <c r="N48" s="103">
        <v>0</v>
      </c>
      <c r="O48" s="106"/>
      <c r="P48" s="103">
        <v>0</v>
      </c>
      <c r="Q48" s="107">
        <f t="shared" si="1"/>
        <v>0</v>
      </c>
      <c r="R48" s="107"/>
      <c r="S48" s="107"/>
      <c r="T48" s="108"/>
      <c r="U48" s="119"/>
      <c r="V48" s="110" t="str">
        <f t="shared" si="2"/>
        <v/>
      </c>
      <c r="W48" s="103"/>
      <c r="X48" s="112">
        <f t="shared" si="3"/>
        <v>0</v>
      </c>
      <c r="Y48" s="112">
        <f t="shared" si="4"/>
        <v>0</v>
      </c>
      <c r="Z48" s="113">
        <f t="shared" si="5"/>
        <v>0</v>
      </c>
      <c r="AA48" s="113">
        <v>0</v>
      </c>
      <c r="AB48" s="114">
        <v>0</v>
      </c>
      <c r="AC48" s="11">
        <f t="shared" si="6"/>
        <v>0</v>
      </c>
      <c r="AD48" s="115">
        <f t="shared" si="7"/>
        <v>0</v>
      </c>
      <c r="AE48" s="115">
        <f t="shared" si="8"/>
        <v>0</v>
      </c>
      <c r="AF48" s="115">
        <f t="shared" si="9"/>
        <v>0</v>
      </c>
      <c r="AG48" s="11"/>
      <c r="AH48" s="115">
        <f t="shared" si="10"/>
        <v>0</v>
      </c>
      <c r="AI48" s="115">
        <f t="shared" si="11"/>
        <v>0</v>
      </c>
      <c r="AJ48" s="115">
        <f t="shared" si="12"/>
        <v>0</v>
      </c>
      <c r="AL48" s="11">
        <f t="shared" si="13"/>
        <v>0</v>
      </c>
      <c r="AM48" s="120" t="s">
        <v>90</v>
      </c>
    </row>
    <row r="49" spans="1:39">
      <c r="A49" s="116"/>
      <c r="B49" s="116" t="s">
        <v>49</v>
      </c>
      <c r="C49" s="122" t="s">
        <v>91</v>
      </c>
      <c r="D49" s="120" t="s">
        <v>92</v>
      </c>
      <c r="E49" s="98"/>
      <c r="F49" s="99">
        <f>VLOOKUP(D49,'Feb14 Revenue'!D:V,19,FALSE)</f>
        <v>0</v>
      </c>
      <c r="G49" s="100"/>
      <c r="H49" s="100"/>
      <c r="I49" s="101"/>
      <c r="J49" s="102">
        <f t="shared" si="0"/>
        <v>0</v>
      </c>
      <c r="K49" s="103"/>
      <c r="L49" s="104"/>
      <c r="M49" s="105"/>
      <c r="N49" s="103">
        <v>0</v>
      </c>
      <c r="O49" s="106"/>
      <c r="P49" s="103">
        <v>0</v>
      </c>
      <c r="Q49" s="107">
        <f t="shared" si="1"/>
        <v>0</v>
      </c>
      <c r="R49" s="107"/>
      <c r="S49" s="107"/>
      <c r="T49" s="108"/>
      <c r="U49" s="119"/>
      <c r="V49" s="110" t="str">
        <f t="shared" si="2"/>
        <v/>
      </c>
      <c r="W49" s="103"/>
      <c r="X49" s="112">
        <f t="shared" si="3"/>
        <v>0</v>
      </c>
      <c r="Y49" s="112">
        <f t="shared" si="4"/>
        <v>0</v>
      </c>
      <c r="Z49" s="113">
        <f t="shared" si="5"/>
        <v>0</v>
      </c>
      <c r="AA49" s="113">
        <v>0</v>
      </c>
      <c r="AB49" s="114">
        <v>0</v>
      </c>
      <c r="AC49" s="11">
        <f t="shared" si="6"/>
        <v>0</v>
      </c>
      <c r="AD49" s="115">
        <f t="shared" si="7"/>
        <v>0</v>
      </c>
      <c r="AE49" s="115">
        <f t="shared" si="8"/>
        <v>0</v>
      </c>
      <c r="AF49" s="115">
        <f t="shared" si="9"/>
        <v>0</v>
      </c>
      <c r="AG49" s="11"/>
      <c r="AH49" s="115">
        <f t="shared" si="10"/>
        <v>0</v>
      </c>
      <c r="AI49" s="115">
        <f t="shared" si="11"/>
        <v>0</v>
      </c>
      <c r="AJ49" s="115">
        <f t="shared" si="12"/>
        <v>0</v>
      </c>
      <c r="AL49" s="11">
        <f t="shared" si="13"/>
        <v>0</v>
      </c>
      <c r="AM49" s="120" t="s">
        <v>92</v>
      </c>
    </row>
    <row r="50" spans="1:39" hidden="1">
      <c r="A50" s="116"/>
      <c r="B50" s="116" t="s">
        <v>49</v>
      </c>
      <c r="C50" s="122" t="s">
        <v>93</v>
      </c>
      <c r="D50" s="120" t="s">
        <v>94</v>
      </c>
      <c r="E50" s="98"/>
      <c r="F50" s="99">
        <f>VLOOKUP(D50,'Feb14 Revenue'!D:V,19,FALSE)</f>
        <v>0</v>
      </c>
      <c r="G50" s="100"/>
      <c r="H50" s="100"/>
      <c r="I50" s="101"/>
      <c r="J50" s="102">
        <f t="shared" si="0"/>
        <v>0</v>
      </c>
      <c r="K50" s="103"/>
      <c r="L50" s="104"/>
      <c r="M50" s="105"/>
      <c r="N50" s="103">
        <v>0</v>
      </c>
      <c r="O50" s="106"/>
      <c r="P50" s="103">
        <v>0</v>
      </c>
      <c r="Q50" s="107">
        <f t="shared" si="1"/>
        <v>0</v>
      </c>
      <c r="R50" s="107"/>
      <c r="S50" s="107"/>
      <c r="T50" s="108"/>
      <c r="U50" s="119"/>
      <c r="V50" s="110" t="str">
        <f t="shared" si="2"/>
        <v/>
      </c>
      <c r="W50" s="103"/>
      <c r="X50" s="112">
        <f t="shared" si="3"/>
        <v>0</v>
      </c>
      <c r="Y50" s="112">
        <f t="shared" si="4"/>
        <v>0</v>
      </c>
      <c r="Z50" s="113">
        <f t="shared" si="5"/>
        <v>0</v>
      </c>
      <c r="AA50" s="113">
        <v>0</v>
      </c>
      <c r="AB50" s="114">
        <v>0</v>
      </c>
      <c r="AC50" s="11">
        <f t="shared" si="6"/>
        <v>0</v>
      </c>
      <c r="AD50" s="115">
        <f t="shared" si="7"/>
        <v>0</v>
      </c>
      <c r="AE50" s="115">
        <f t="shared" si="8"/>
        <v>0</v>
      </c>
      <c r="AF50" s="115">
        <f t="shared" si="9"/>
        <v>0</v>
      </c>
      <c r="AG50" s="11"/>
      <c r="AH50" s="115">
        <f t="shared" si="10"/>
        <v>0</v>
      </c>
      <c r="AI50" s="115">
        <f t="shared" si="11"/>
        <v>0</v>
      </c>
      <c r="AJ50" s="115">
        <f t="shared" si="12"/>
        <v>0</v>
      </c>
      <c r="AL50" s="11">
        <f t="shared" si="13"/>
        <v>0</v>
      </c>
      <c r="AM50" s="120" t="s">
        <v>94</v>
      </c>
    </row>
    <row r="51" spans="1:39">
      <c r="A51" s="116" t="s">
        <v>60</v>
      </c>
      <c r="B51" s="116" t="s">
        <v>49</v>
      </c>
      <c r="C51" s="122" t="s">
        <v>95</v>
      </c>
      <c r="D51" s="120" t="s">
        <v>96</v>
      </c>
      <c r="E51" s="98"/>
      <c r="F51" s="99">
        <f>VLOOKUP(D51,'Feb14 Revenue'!D:V,19,FALSE)</f>
        <v>-60000</v>
      </c>
      <c r="G51" s="100"/>
      <c r="H51" s="100"/>
      <c r="I51" s="101"/>
      <c r="J51" s="102">
        <f t="shared" si="0"/>
        <v>-60000</v>
      </c>
      <c r="K51" s="103"/>
      <c r="L51" s="104"/>
      <c r="M51" s="105">
        <v>90000</v>
      </c>
      <c r="N51" s="103">
        <v>0</v>
      </c>
      <c r="O51" s="106"/>
      <c r="P51" s="103">
        <v>0</v>
      </c>
      <c r="Q51" s="107">
        <f t="shared" si="1"/>
        <v>90000</v>
      </c>
      <c r="R51" s="107"/>
      <c r="S51" s="107"/>
      <c r="T51" s="108"/>
      <c r="U51" s="119"/>
      <c r="V51" s="110" t="str">
        <f t="shared" si="2"/>
        <v/>
      </c>
      <c r="W51" s="103"/>
      <c r="X51" s="112">
        <f t="shared" si="3"/>
        <v>90000</v>
      </c>
      <c r="Y51" s="112">
        <f t="shared" si="4"/>
        <v>0</v>
      </c>
      <c r="Z51" s="113">
        <f t="shared" si="5"/>
        <v>0</v>
      </c>
      <c r="AA51" s="113">
        <v>0</v>
      </c>
      <c r="AB51" s="114">
        <v>0</v>
      </c>
      <c r="AC51" s="11">
        <f t="shared" si="6"/>
        <v>0</v>
      </c>
      <c r="AD51" s="115">
        <f t="shared" si="7"/>
        <v>-60000</v>
      </c>
      <c r="AE51" s="115">
        <f t="shared" si="8"/>
        <v>0</v>
      </c>
      <c r="AF51" s="115">
        <f t="shared" si="9"/>
        <v>0</v>
      </c>
      <c r="AG51" s="11"/>
      <c r="AH51" s="115">
        <f t="shared" si="10"/>
        <v>90000</v>
      </c>
      <c r="AI51" s="115">
        <f t="shared" si="11"/>
        <v>0</v>
      </c>
      <c r="AJ51" s="115">
        <f t="shared" si="12"/>
        <v>0</v>
      </c>
      <c r="AL51" s="11">
        <f t="shared" si="13"/>
        <v>30000</v>
      </c>
      <c r="AM51" s="120" t="s">
        <v>96</v>
      </c>
    </row>
    <row r="52" spans="1:39" s="14" customFormat="1">
      <c r="A52" s="130"/>
      <c r="B52" s="130" t="s">
        <v>46</v>
      </c>
      <c r="C52" s="122"/>
      <c r="D52" s="121" t="s">
        <v>97</v>
      </c>
      <c r="E52" s="131"/>
      <c r="F52" s="99">
        <f>VLOOKUP(D52,'Feb14 Revenue'!D:V,19,FALSE)</f>
        <v>-16020.08</v>
      </c>
      <c r="G52" s="100"/>
      <c r="H52" s="100"/>
      <c r="I52" s="101"/>
      <c r="J52" s="132">
        <f t="shared" si="0"/>
        <v>-16020.08</v>
      </c>
      <c r="K52" s="133"/>
      <c r="L52" s="134"/>
      <c r="M52" s="135">
        <v>10000</v>
      </c>
      <c r="N52" s="133">
        <v>0</v>
      </c>
      <c r="O52" s="136"/>
      <c r="P52" s="133">
        <v>0</v>
      </c>
      <c r="Q52" s="137">
        <f t="shared" si="1"/>
        <v>10000</v>
      </c>
      <c r="R52" s="137"/>
      <c r="S52" s="137"/>
      <c r="T52" s="108"/>
      <c r="U52" s="138"/>
      <c r="V52" s="139" t="str">
        <f t="shared" si="2"/>
        <v/>
      </c>
      <c r="W52" s="133"/>
      <c r="X52" s="112">
        <f t="shared" si="3"/>
        <v>0</v>
      </c>
      <c r="Y52" s="112">
        <f t="shared" si="4"/>
        <v>10000</v>
      </c>
      <c r="Z52" s="113">
        <f t="shared" si="5"/>
        <v>0</v>
      </c>
      <c r="AA52" s="113">
        <v>0</v>
      </c>
      <c r="AB52" s="114">
        <v>0</v>
      </c>
      <c r="AC52" s="8">
        <f t="shared" si="6"/>
        <v>0</v>
      </c>
      <c r="AD52" s="115">
        <f t="shared" si="7"/>
        <v>0</v>
      </c>
      <c r="AE52" s="115">
        <f t="shared" si="8"/>
        <v>-16020.08</v>
      </c>
      <c r="AF52" s="115">
        <f t="shared" si="9"/>
        <v>0</v>
      </c>
      <c r="AG52" s="8"/>
      <c r="AH52" s="115">
        <f t="shared" si="10"/>
        <v>0</v>
      </c>
      <c r="AI52" s="115">
        <f t="shared" si="11"/>
        <v>10000</v>
      </c>
      <c r="AJ52" s="115">
        <f t="shared" si="12"/>
        <v>0</v>
      </c>
      <c r="AL52" s="8">
        <f t="shared" si="13"/>
        <v>-6020.08</v>
      </c>
      <c r="AM52" s="120" t="s">
        <v>98</v>
      </c>
    </row>
    <row r="53" spans="1:39" s="124" customFormat="1" hidden="1">
      <c r="A53" s="123"/>
      <c r="B53" s="123" t="s">
        <v>46</v>
      </c>
      <c r="C53" s="122" t="s">
        <v>99</v>
      </c>
      <c r="D53" s="118" t="s">
        <v>100</v>
      </c>
      <c r="E53" s="98"/>
      <c r="F53" s="99">
        <f>VLOOKUP(D53,'Feb14 Revenue'!D:V,19,FALSE)</f>
        <v>0</v>
      </c>
      <c r="G53" s="100"/>
      <c r="H53" s="100"/>
      <c r="I53" s="101"/>
      <c r="J53" s="102">
        <f t="shared" si="0"/>
        <v>0</v>
      </c>
      <c r="K53" s="103"/>
      <c r="L53" s="104"/>
      <c r="M53" s="105"/>
      <c r="N53" s="103">
        <v>0</v>
      </c>
      <c r="O53" s="106"/>
      <c r="P53" s="103">
        <v>0</v>
      </c>
      <c r="Q53" s="107">
        <f t="shared" si="1"/>
        <v>0</v>
      </c>
      <c r="R53" s="107"/>
      <c r="S53" s="107"/>
      <c r="T53" s="108"/>
      <c r="U53" s="119"/>
      <c r="V53" s="110" t="str">
        <f t="shared" si="2"/>
        <v/>
      </c>
      <c r="W53" s="103"/>
      <c r="X53" s="112">
        <f t="shared" si="3"/>
        <v>0</v>
      </c>
      <c r="Y53" s="112">
        <f t="shared" si="4"/>
        <v>0</v>
      </c>
      <c r="Z53" s="113">
        <f t="shared" si="5"/>
        <v>0</v>
      </c>
      <c r="AA53" s="113">
        <v>0</v>
      </c>
      <c r="AB53" s="114">
        <v>0</v>
      </c>
      <c r="AC53" s="11">
        <f t="shared" si="6"/>
        <v>0</v>
      </c>
      <c r="AD53" s="115">
        <f t="shared" si="7"/>
        <v>0</v>
      </c>
      <c r="AE53" s="115">
        <f t="shared" si="8"/>
        <v>0</v>
      </c>
      <c r="AF53" s="115">
        <f t="shared" si="9"/>
        <v>0</v>
      </c>
      <c r="AG53" s="11"/>
      <c r="AH53" s="115">
        <f t="shared" si="10"/>
        <v>0</v>
      </c>
      <c r="AI53" s="115">
        <f t="shared" si="11"/>
        <v>0</v>
      </c>
      <c r="AJ53" s="115">
        <f t="shared" si="12"/>
        <v>0</v>
      </c>
      <c r="AL53" s="11">
        <f t="shared" si="13"/>
        <v>0</v>
      </c>
      <c r="AM53" s="118" t="s">
        <v>100</v>
      </c>
    </row>
    <row r="54" spans="1:39" s="124" customFormat="1" hidden="1">
      <c r="A54" s="123"/>
      <c r="B54" s="123" t="s">
        <v>46</v>
      </c>
      <c r="C54" s="122" t="s">
        <v>99</v>
      </c>
      <c r="D54" s="118" t="s">
        <v>101</v>
      </c>
      <c r="E54" s="98"/>
      <c r="F54" s="99">
        <f>VLOOKUP(D54,'Feb14 Revenue'!D:V,19,FALSE)</f>
        <v>0</v>
      </c>
      <c r="G54" s="100"/>
      <c r="H54" s="100"/>
      <c r="I54" s="101"/>
      <c r="J54" s="102">
        <f t="shared" si="0"/>
        <v>0</v>
      </c>
      <c r="K54" s="103"/>
      <c r="L54" s="104"/>
      <c r="M54" s="105"/>
      <c r="N54" s="103">
        <v>0</v>
      </c>
      <c r="O54" s="106"/>
      <c r="P54" s="103">
        <v>0</v>
      </c>
      <c r="Q54" s="107">
        <f t="shared" si="1"/>
        <v>0</v>
      </c>
      <c r="R54" s="107"/>
      <c r="S54" s="107"/>
      <c r="T54" s="108"/>
      <c r="U54" s="119"/>
      <c r="V54" s="110" t="str">
        <f t="shared" si="2"/>
        <v/>
      </c>
      <c r="W54" s="103"/>
      <c r="X54" s="112">
        <f t="shared" si="3"/>
        <v>0</v>
      </c>
      <c r="Y54" s="112">
        <f t="shared" si="4"/>
        <v>0</v>
      </c>
      <c r="Z54" s="113">
        <f t="shared" si="5"/>
        <v>0</v>
      </c>
      <c r="AA54" s="113">
        <v>0</v>
      </c>
      <c r="AB54" s="114">
        <v>0</v>
      </c>
      <c r="AC54" s="11">
        <f t="shared" si="6"/>
        <v>0</v>
      </c>
      <c r="AD54" s="115">
        <f t="shared" si="7"/>
        <v>0</v>
      </c>
      <c r="AE54" s="115">
        <f t="shared" si="8"/>
        <v>0</v>
      </c>
      <c r="AF54" s="115">
        <f t="shared" si="9"/>
        <v>0</v>
      </c>
      <c r="AG54" s="11"/>
      <c r="AH54" s="115">
        <f t="shared" si="10"/>
        <v>0</v>
      </c>
      <c r="AI54" s="115">
        <f t="shared" si="11"/>
        <v>0</v>
      </c>
      <c r="AJ54" s="115">
        <f t="shared" si="12"/>
        <v>0</v>
      </c>
      <c r="AL54" s="11">
        <f t="shared" si="13"/>
        <v>0</v>
      </c>
      <c r="AM54" s="118" t="s">
        <v>101</v>
      </c>
    </row>
    <row r="55" spans="1:39" s="124" customFormat="1" hidden="1">
      <c r="A55" s="123"/>
      <c r="B55" s="123" t="s">
        <v>46</v>
      </c>
      <c r="C55" s="122" t="s">
        <v>99</v>
      </c>
      <c r="D55" s="118" t="s">
        <v>102</v>
      </c>
      <c r="E55" s="98"/>
      <c r="F55" s="99">
        <f>VLOOKUP(D55,'Feb14 Revenue'!D:V,19,FALSE)</f>
        <v>0</v>
      </c>
      <c r="G55" s="100"/>
      <c r="H55" s="100"/>
      <c r="I55" s="101"/>
      <c r="J55" s="102">
        <f t="shared" si="0"/>
        <v>0</v>
      </c>
      <c r="K55" s="103"/>
      <c r="L55" s="104"/>
      <c r="M55" s="105"/>
      <c r="N55" s="103">
        <v>0</v>
      </c>
      <c r="O55" s="106"/>
      <c r="P55" s="103">
        <v>0</v>
      </c>
      <c r="Q55" s="107">
        <f t="shared" si="1"/>
        <v>0</v>
      </c>
      <c r="R55" s="107"/>
      <c r="S55" s="107"/>
      <c r="T55" s="108"/>
      <c r="U55" s="119"/>
      <c r="V55" s="110" t="str">
        <f t="shared" si="2"/>
        <v/>
      </c>
      <c r="W55" s="103"/>
      <c r="X55" s="112">
        <f t="shared" si="3"/>
        <v>0</v>
      </c>
      <c r="Y55" s="112">
        <f t="shared" si="4"/>
        <v>0</v>
      </c>
      <c r="Z55" s="113">
        <f t="shared" si="5"/>
        <v>0</v>
      </c>
      <c r="AA55" s="113">
        <v>0</v>
      </c>
      <c r="AB55" s="114">
        <v>0</v>
      </c>
      <c r="AC55" s="11">
        <f t="shared" si="6"/>
        <v>0</v>
      </c>
      <c r="AD55" s="115">
        <f t="shared" si="7"/>
        <v>0</v>
      </c>
      <c r="AE55" s="115">
        <f t="shared" si="8"/>
        <v>0</v>
      </c>
      <c r="AF55" s="115">
        <f t="shared" si="9"/>
        <v>0</v>
      </c>
      <c r="AG55" s="11"/>
      <c r="AH55" s="115">
        <f t="shared" si="10"/>
        <v>0</v>
      </c>
      <c r="AI55" s="115">
        <f t="shared" si="11"/>
        <v>0</v>
      </c>
      <c r="AJ55" s="115">
        <f t="shared" si="12"/>
        <v>0</v>
      </c>
      <c r="AL55" s="11">
        <f t="shared" si="13"/>
        <v>0</v>
      </c>
      <c r="AM55" s="118" t="s">
        <v>102</v>
      </c>
    </row>
    <row r="56" spans="1:39">
      <c r="A56" s="116"/>
      <c r="B56" s="116" t="s">
        <v>49</v>
      </c>
      <c r="C56" s="122"/>
      <c r="D56" s="120" t="s">
        <v>103</v>
      </c>
      <c r="E56" s="98"/>
      <c r="F56" s="99">
        <f>VLOOKUP(D56,'Feb14 Revenue'!D:V,19,FALSE)</f>
        <v>0</v>
      </c>
      <c r="G56" s="100"/>
      <c r="H56" s="100"/>
      <c r="I56" s="101"/>
      <c r="J56" s="102">
        <f t="shared" si="0"/>
        <v>0</v>
      </c>
      <c r="K56" s="103"/>
      <c r="L56" s="104"/>
      <c r="M56" s="105"/>
      <c r="N56" s="103">
        <v>0</v>
      </c>
      <c r="O56" s="106"/>
      <c r="P56" s="103">
        <v>0</v>
      </c>
      <c r="Q56" s="107">
        <f t="shared" si="1"/>
        <v>0</v>
      </c>
      <c r="R56" s="107"/>
      <c r="S56" s="107"/>
      <c r="T56" s="108"/>
      <c r="U56" s="119"/>
      <c r="V56" s="110" t="str">
        <f t="shared" si="2"/>
        <v/>
      </c>
      <c r="W56" s="103"/>
      <c r="X56" s="112">
        <f t="shared" si="3"/>
        <v>0</v>
      </c>
      <c r="Y56" s="112">
        <f t="shared" si="4"/>
        <v>0</v>
      </c>
      <c r="Z56" s="113">
        <f t="shared" si="5"/>
        <v>0</v>
      </c>
      <c r="AA56" s="113">
        <v>0</v>
      </c>
      <c r="AB56" s="114">
        <v>0</v>
      </c>
      <c r="AC56" s="11">
        <f t="shared" si="6"/>
        <v>0</v>
      </c>
      <c r="AD56" s="115">
        <f t="shared" si="7"/>
        <v>0</v>
      </c>
      <c r="AE56" s="115">
        <f t="shared" si="8"/>
        <v>0</v>
      </c>
      <c r="AF56" s="115">
        <f t="shared" si="9"/>
        <v>0</v>
      </c>
      <c r="AG56" s="11"/>
      <c r="AH56" s="115">
        <f t="shared" si="10"/>
        <v>0</v>
      </c>
      <c r="AI56" s="115">
        <f t="shared" si="11"/>
        <v>0</v>
      </c>
      <c r="AJ56" s="115">
        <f t="shared" si="12"/>
        <v>0</v>
      </c>
      <c r="AL56" s="11">
        <f t="shared" si="13"/>
        <v>0</v>
      </c>
      <c r="AM56" s="120" t="s">
        <v>103</v>
      </c>
    </row>
    <row r="57" spans="1:39" s="124" customFormat="1">
      <c r="A57" s="123"/>
      <c r="B57" s="123" t="s">
        <v>49</v>
      </c>
      <c r="C57" s="126" t="s">
        <v>104</v>
      </c>
      <c r="D57" s="120" t="s">
        <v>105</v>
      </c>
      <c r="E57" s="98"/>
      <c r="F57" s="99">
        <f>VLOOKUP(D57,'Feb14 Revenue'!D:V,19,FALSE)</f>
        <v>4158.1400000000003</v>
      </c>
      <c r="G57" s="100"/>
      <c r="H57" s="100"/>
      <c r="I57" s="125">
        <v>3974.06</v>
      </c>
      <c r="J57" s="102">
        <f t="shared" si="0"/>
        <v>8132.2000000000007</v>
      </c>
      <c r="K57" s="103"/>
      <c r="L57" s="104"/>
      <c r="M57" s="105"/>
      <c r="N57" s="103">
        <v>0</v>
      </c>
      <c r="O57" s="106"/>
      <c r="P57" s="103">
        <v>0</v>
      </c>
      <c r="Q57" s="107">
        <f t="shared" si="1"/>
        <v>0</v>
      </c>
      <c r="R57" s="107"/>
      <c r="S57" s="107"/>
      <c r="T57" s="108"/>
      <c r="U57" s="119"/>
      <c r="V57" s="110" t="str">
        <f t="shared" si="2"/>
        <v/>
      </c>
      <c r="W57" s="103"/>
      <c r="X57" s="112">
        <f t="shared" si="3"/>
        <v>0</v>
      </c>
      <c r="Y57" s="112">
        <f t="shared" si="4"/>
        <v>0</v>
      </c>
      <c r="Z57" s="113">
        <f t="shared" si="5"/>
        <v>0</v>
      </c>
      <c r="AA57" s="113">
        <v>0</v>
      </c>
      <c r="AB57" s="114">
        <v>0</v>
      </c>
      <c r="AC57" s="11">
        <f t="shared" si="6"/>
        <v>0</v>
      </c>
      <c r="AD57" s="115">
        <f t="shared" si="7"/>
        <v>8132.2000000000007</v>
      </c>
      <c r="AE57" s="115">
        <f t="shared" si="8"/>
        <v>0</v>
      </c>
      <c r="AF57" s="115">
        <f t="shared" si="9"/>
        <v>0</v>
      </c>
      <c r="AG57" s="11"/>
      <c r="AH57" s="115">
        <f t="shared" si="10"/>
        <v>0</v>
      </c>
      <c r="AI57" s="115">
        <f t="shared" si="11"/>
        <v>0</v>
      </c>
      <c r="AJ57" s="115">
        <f t="shared" si="12"/>
        <v>0</v>
      </c>
      <c r="AK57"/>
      <c r="AL57" s="11">
        <f t="shared" si="13"/>
        <v>8132.2000000000007</v>
      </c>
      <c r="AM57" s="120" t="s">
        <v>105</v>
      </c>
    </row>
    <row r="58" spans="1:39">
      <c r="A58" s="116" t="s">
        <v>60</v>
      </c>
      <c r="B58" s="116" t="s">
        <v>46</v>
      </c>
      <c r="C58" s="122" t="s">
        <v>106</v>
      </c>
      <c r="D58" s="120" t="s">
        <v>107</v>
      </c>
      <c r="E58" s="98"/>
      <c r="F58" s="99">
        <f>VLOOKUP(D58,'Feb14 Revenue'!D:V,19,FALSE)</f>
        <v>0</v>
      </c>
      <c r="G58" s="100"/>
      <c r="H58" s="100"/>
      <c r="I58" s="101"/>
      <c r="J58" s="102">
        <f>SUM(E58:I58)</f>
        <v>0</v>
      </c>
      <c r="K58" s="103"/>
      <c r="L58" s="104"/>
      <c r="M58" s="105"/>
      <c r="N58" s="103">
        <v>0</v>
      </c>
      <c r="O58" s="106"/>
      <c r="P58" s="103">
        <v>0</v>
      </c>
      <c r="Q58" s="107">
        <f t="shared" si="1"/>
        <v>0</v>
      </c>
      <c r="R58" s="107"/>
      <c r="S58" s="107"/>
      <c r="T58" s="108"/>
      <c r="U58" s="119"/>
      <c r="V58" s="110" t="str">
        <f t="shared" si="2"/>
        <v/>
      </c>
      <c r="W58" s="103"/>
      <c r="X58" s="112">
        <f t="shared" si="3"/>
        <v>0</v>
      </c>
      <c r="Y58" s="112">
        <f t="shared" si="4"/>
        <v>0</v>
      </c>
      <c r="Z58" s="113">
        <f t="shared" si="5"/>
        <v>0</v>
      </c>
      <c r="AA58" s="113">
        <v>0</v>
      </c>
      <c r="AB58" s="114">
        <v>0</v>
      </c>
      <c r="AC58" s="11">
        <f t="shared" si="6"/>
        <v>0</v>
      </c>
      <c r="AD58" s="115">
        <f t="shared" si="7"/>
        <v>0</v>
      </c>
      <c r="AE58" s="115">
        <f t="shared" si="8"/>
        <v>0</v>
      </c>
      <c r="AF58" s="115">
        <f t="shared" si="9"/>
        <v>0</v>
      </c>
      <c r="AG58" s="11"/>
      <c r="AH58" s="115">
        <f t="shared" si="10"/>
        <v>0</v>
      </c>
      <c r="AI58" s="115">
        <f t="shared" si="11"/>
        <v>0</v>
      </c>
      <c r="AJ58" s="115">
        <f t="shared" si="12"/>
        <v>0</v>
      </c>
      <c r="AL58" s="11">
        <f t="shared" si="13"/>
        <v>0</v>
      </c>
      <c r="AM58" s="120" t="s">
        <v>107</v>
      </c>
    </row>
    <row r="59" spans="1:39">
      <c r="A59" s="116" t="s">
        <v>60</v>
      </c>
      <c r="B59" s="116" t="s">
        <v>49</v>
      </c>
      <c r="C59" s="122"/>
      <c r="D59" s="120" t="s">
        <v>108</v>
      </c>
      <c r="E59" s="98"/>
      <c r="F59" s="99">
        <f>VLOOKUP(D59,'Feb14 Revenue'!D:V,19,FALSE)</f>
        <v>0</v>
      </c>
      <c r="G59" s="100"/>
      <c r="H59" s="100"/>
      <c r="I59" s="101"/>
      <c r="J59" s="102">
        <f t="shared" si="0"/>
        <v>0</v>
      </c>
      <c r="K59" s="103"/>
      <c r="L59" s="104"/>
      <c r="M59" s="105"/>
      <c r="N59" s="103">
        <v>0</v>
      </c>
      <c r="O59" s="106"/>
      <c r="P59" s="103">
        <v>0</v>
      </c>
      <c r="Q59" s="107">
        <f t="shared" si="1"/>
        <v>0</v>
      </c>
      <c r="R59" s="107"/>
      <c r="S59" s="107"/>
      <c r="T59" s="108"/>
      <c r="U59" s="119"/>
      <c r="V59" s="110" t="str">
        <f t="shared" si="2"/>
        <v/>
      </c>
      <c r="W59" s="103"/>
      <c r="X59" s="112">
        <f t="shared" si="3"/>
        <v>0</v>
      </c>
      <c r="Y59" s="112">
        <f t="shared" si="4"/>
        <v>0</v>
      </c>
      <c r="Z59" s="113">
        <f t="shared" si="5"/>
        <v>0</v>
      </c>
      <c r="AA59" s="113">
        <v>0</v>
      </c>
      <c r="AB59" s="114">
        <v>0</v>
      </c>
      <c r="AC59" s="11">
        <f t="shared" si="6"/>
        <v>0</v>
      </c>
      <c r="AD59" s="115">
        <f t="shared" si="7"/>
        <v>0</v>
      </c>
      <c r="AE59" s="115">
        <f t="shared" si="8"/>
        <v>0</v>
      </c>
      <c r="AF59" s="115">
        <f t="shared" si="9"/>
        <v>0</v>
      </c>
      <c r="AG59" s="11"/>
      <c r="AH59" s="115">
        <f t="shared" si="10"/>
        <v>0</v>
      </c>
      <c r="AI59" s="115">
        <f t="shared" si="11"/>
        <v>0</v>
      </c>
      <c r="AJ59" s="115">
        <f t="shared" si="12"/>
        <v>0</v>
      </c>
      <c r="AL59" s="11">
        <f t="shared" si="13"/>
        <v>0</v>
      </c>
      <c r="AM59" s="120" t="s">
        <v>109</v>
      </c>
    </row>
    <row r="60" spans="1:39">
      <c r="A60" s="116"/>
      <c r="B60" s="116" t="s">
        <v>46</v>
      </c>
      <c r="C60" s="126" t="s">
        <v>110</v>
      </c>
      <c r="D60" s="120" t="s">
        <v>111</v>
      </c>
      <c r="E60" s="98"/>
      <c r="F60" s="99">
        <f>VLOOKUP(D60,'Feb14 Revenue'!D:V,19,FALSE)</f>
        <v>0</v>
      </c>
      <c r="G60" s="100"/>
      <c r="H60" s="100"/>
      <c r="I60" s="125">
        <v>745530.08</v>
      </c>
      <c r="J60" s="102">
        <f t="shared" si="0"/>
        <v>745530.08</v>
      </c>
      <c r="K60" s="103"/>
      <c r="L60" s="104"/>
      <c r="M60" s="105"/>
      <c r="N60" s="103">
        <v>0</v>
      </c>
      <c r="O60" s="106"/>
      <c r="P60" s="103">
        <v>0</v>
      </c>
      <c r="Q60" s="107">
        <f t="shared" si="1"/>
        <v>0</v>
      </c>
      <c r="R60" s="107"/>
      <c r="S60" s="107"/>
      <c r="T60" s="108"/>
      <c r="U60" s="119"/>
      <c r="V60" s="110" t="str">
        <f t="shared" si="2"/>
        <v/>
      </c>
      <c r="W60" s="103"/>
      <c r="X60" s="112">
        <f t="shared" si="3"/>
        <v>0</v>
      </c>
      <c r="Y60" s="112">
        <f t="shared" si="4"/>
        <v>0</v>
      </c>
      <c r="Z60" s="113">
        <f t="shared" si="5"/>
        <v>0</v>
      </c>
      <c r="AA60" s="113">
        <v>0</v>
      </c>
      <c r="AB60" s="114">
        <v>0</v>
      </c>
      <c r="AC60" s="11">
        <f t="shared" si="6"/>
        <v>0</v>
      </c>
      <c r="AD60" s="115">
        <f t="shared" si="7"/>
        <v>0</v>
      </c>
      <c r="AE60" s="115">
        <f t="shared" si="8"/>
        <v>745530.08</v>
      </c>
      <c r="AF60" s="115">
        <f t="shared" si="9"/>
        <v>0</v>
      </c>
      <c r="AG60" s="11"/>
      <c r="AH60" s="115">
        <f t="shared" si="10"/>
        <v>0</v>
      </c>
      <c r="AI60" s="115">
        <f t="shared" si="11"/>
        <v>0</v>
      </c>
      <c r="AJ60" s="115">
        <f t="shared" si="12"/>
        <v>0</v>
      </c>
      <c r="AL60" s="11">
        <f t="shared" si="13"/>
        <v>745530.08</v>
      </c>
      <c r="AM60" s="120" t="s">
        <v>111</v>
      </c>
    </row>
    <row r="61" spans="1:39">
      <c r="A61" s="116"/>
      <c r="B61" s="116" t="s">
        <v>46</v>
      </c>
      <c r="C61" s="122"/>
      <c r="D61" s="120" t="s">
        <v>112</v>
      </c>
      <c r="E61" s="98"/>
      <c r="F61" s="99">
        <f>VLOOKUP(D61,'Feb14 Revenue'!D:V,19,FALSE)</f>
        <v>-10000</v>
      </c>
      <c r="G61" s="100"/>
      <c r="H61" s="100"/>
      <c r="I61" s="101"/>
      <c r="J61" s="102">
        <f t="shared" si="0"/>
        <v>-10000</v>
      </c>
      <c r="K61" s="103"/>
      <c r="L61" s="104"/>
      <c r="M61" s="105">
        <v>15000</v>
      </c>
      <c r="N61" s="103">
        <v>0</v>
      </c>
      <c r="O61" s="106"/>
      <c r="P61" s="103">
        <v>0</v>
      </c>
      <c r="Q61" s="107">
        <f t="shared" si="1"/>
        <v>15000</v>
      </c>
      <c r="R61" s="107"/>
      <c r="S61" s="107"/>
      <c r="T61" s="108"/>
      <c r="U61" s="119"/>
      <c r="V61" s="110" t="str">
        <f t="shared" si="2"/>
        <v/>
      </c>
      <c r="W61" s="103"/>
      <c r="X61" s="112">
        <f t="shared" si="3"/>
        <v>0</v>
      </c>
      <c r="Y61" s="112">
        <f t="shared" si="4"/>
        <v>15000</v>
      </c>
      <c r="Z61" s="113">
        <f t="shared" si="5"/>
        <v>0</v>
      </c>
      <c r="AA61" s="113">
        <v>0</v>
      </c>
      <c r="AB61" s="114">
        <v>0</v>
      </c>
      <c r="AC61" s="11">
        <f t="shared" si="6"/>
        <v>0</v>
      </c>
      <c r="AD61" s="115">
        <f t="shared" si="7"/>
        <v>0</v>
      </c>
      <c r="AE61" s="115">
        <f t="shared" si="8"/>
        <v>-10000</v>
      </c>
      <c r="AF61" s="115">
        <f t="shared" si="9"/>
        <v>0</v>
      </c>
      <c r="AG61" s="11"/>
      <c r="AH61" s="115">
        <f t="shared" si="10"/>
        <v>0</v>
      </c>
      <c r="AI61" s="115">
        <f t="shared" si="11"/>
        <v>15000</v>
      </c>
      <c r="AJ61" s="115">
        <f t="shared" si="12"/>
        <v>0</v>
      </c>
      <c r="AL61" s="11">
        <f t="shared" si="13"/>
        <v>5000</v>
      </c>
      <c r="AM61" s="120" t="s">
        <v>112</v>
      </c>
    </row>
    <row r="62" spans="1:39">
      <c r="A62" s="116"/>
      <c r="B62" s="116" t="s">
        <v>81</v>
      </c>
      <c r="C62" s="122"/>
      <c r="D62" s="120" t="s">
        <v>113</v>
      </c>
      <c r="E62" s="98"/>
      <c r="F62" s="99">
        <f>VLOOKUP(D62,'Feb14 Revenue'!D:V,19,FALSE)</f>
        <v>0</v>
      </c>
      <c r="G62" s="100"/>
      <c r="H62" s="100"/>
      <c r="I62" s="101"/>
      <c r="J62" s="102">
        <f t="shared" si="0"/>
        <v>0</v>
      </c>
      <c r="K62" s="103"/>
      <c r="L62" s="104"/>
      <c r="M62" s="105"/>
      <c r="N62" s="103">
        <v>0</v>
      </c>
      <c r="O62" s="106"/>
      <c r="P62" s="103">
        <v>0</v>
      </c>
      <c r="Q62" s="107">
        <f t="shared" si="1"/>
        <v>0</v>
      </c>
      <c r="R62" s="107"/>
      <c r="S62" s="107"/>
      <c r="T62" s="108"/>
      <c r="U62" s="119"/>
      <c r="V62" s="110" t="str">
        <f t="shared" si="2"/>
        <v/>
      </c>
      <c r="W62" s="103"/>
      <c r="X62" s="112">
        <f t="shared" si="3"/>
        <v>0</v>
      </c>
      <c r="Y62" s="112">
        <f t="shared" si="4"/>
        <v>0</v>
      </c>
      <c r="Z62" s="113">
        <f t="shared" si="5"/>
        <v>0</v>
      </c>
      <c r="AA62" s="113">
        <v>0</v>
      </c>
      <c r="AB62" s="114">
        <v>0</v>
      </c>
      <c r="AC62" s="11">
        <f t="shared" si="6"/>
        <v>0</v>
      </c>
      <c r="AD62" s="115">
        <f t="shared" si="7"/>
        <v>0</v>
      </c>
      <c r="AE62" s="115">
        <f t="shared" si="8"/>
        <v>0</v>
      </c>
      <c r="AF62" s="115">
        <f t="shared" si="9"/>
        <v>0</v>
      </c>
      <c r="AG62" s="11"/>
      <c r="AH62" s="115">
        <f t="shared" si="10"/>
        <v>0</v>
      </c>
      <c r="AI62" s="115">
        <f t="shared" si="11"/>
        <v>0</v>
      </c>
      <c r="AJ62" s="115">
        <f t="shared" si="12"/>
        <v>0</v>
      </c>
      <c r="AL62" s="11">
        <f t="shared" si="13"/>
        <v>0</v>
      </c>
      <c r="AM62" s="120" t="s">
        <v>113</v>
      </c>
    </row>
    <row r="63" spans="1:39">
      <c r="A63" s="129"/>
      <c r="B63" s="129" t="s">
        <v>49</v>
      </c>
      <c r="C63" s="96" t="s">
        <v>114</v>
      </c>
      <c r="D63" s="118" t="s">
        <v>115</v>
      </c>
      <c r="E63" s="98"/>
      <c r="F63" s="99">
        <f>VLOOKUP(D63,'Feb14 Revenue'!D:V,19,FALSE)</f>
        <v>16779.059999999998</v>
      </c>
      <c r="G63" s="100"/>
      <c r="H63" s="100"/>
      <c r="I63" s="101"/>
      <c r="J63" s="102">
        <f t="shared" si="0"/>
        <v>16779.059999999998</v>
      </c>
      <c r="K63" s="103"/>
      <c r="L63" s="104"/>
      <c r="M63" s="105">
        <v>500000</v>
      </c>
      <c r="N63" s="103">
        <v>0</v>
      </c>
      <c r="O63" s="106"/>
      <c r="P63" s="103">
        <v>0</v>
      </c>
      <c r="Q63" s="107">
        <f t="shared" si="1"/>
        <v>500000</v>
      </c>
      <c r="R63" s="107"/>
      <c r="S63" s="107"/>
      <c r="T63" s="108"/>
      <c r="U63" s="119"/>
      <c r="V63" s="110" t="str">
        <f t="shared" si="2"/>
        <v/>
      </c>
      <c r="W63" s="103"/>
      <c r="X63" s="112">
        <f t="shared" si="3"/>
        <v>500000</v>
      </c>
      <c r="Y63" s="112">
        <f t="shared" si="4"/>
        <v>0</v>
      </c>
      <c r="Z63" s="113">
        <f t="shared" si="5"/>
        <v>0</v>
      </c>
      <c r="AA63" s="113">
        <v>0</v>
      </c>
      <c r="AB63" s="114">
        <v>0</v>
      </c>
      <c r="AC63" s="11">
        <f t="shared" si="6"/>
        <v>0</v>
      </c>
      <c r="AD63" s="115">
        <f t="shared" si="7"/>
        <v>16779.059999999998</v>
      </c>
      <c r="AE63" s="115">
        <f t="shared" si="8"/>
        <v>0</v>
      </c>
      <c r="AF63" s="115">
        <f t="shared" si="9"/>
        <v>0</v>
      </c>
      <c r="AG63" s="11"/>
      <c r="AH63" s="115">
        <f t="shared" si="10"/>
        <v>500000</v>
      </c>
      <c r="AI63" s="115">
        <f t="shared" si="11"/>
        <v>0</v>
      </c>
      <c r="AJ63" s="115">
        <f t="shared" si="12"/>
        <v>0</v>
      </c>
      <c r="AL63" s="11">
        <f t="shared" si="13"/>
        <v>516779.06</v>
      </c>
      <c r="AM63" s="118" t="s">
        <v>115</v>
      </c>
    </row>
    <row r="64" spans="1:39">
      <c r="A64" s="116"/>
      <c r="B64" s="116" t="s">
        <v>49</v>
      </c>
      <c r="C64" s="122" t="s">
        <v>116</v>
      </c>
      <c r="D64" s="120" t="s">
        <v>117</v>
      </c>
      <c r="E64" s="98">
        <v>3877.24</v>
      </c>
      <c r="F64" s="99">
        <f>VLOOKUP(D64,'Feb14 Revenue'!D:V,19,FALSE)</f>
        <v>0</v>
      </c>
      <c r="G64" s="100"/>
      <c r="H64" s="100"/>
      <c r="I64" s="101"/>
      <c r="J64" s="102">
        <f t="shared" si="0"/>
        <v>3877.24</v>
      </c>
      <c r="K64" s="103"/>
      <c r="L64" s="104"/>
      <c r="M64" s="105"/>
      <c r="N64" s="103">
        <v>0</v>
      </c>
      <c r="O64" s="106"/>
      <c r="P64" s="103">
        <v>0</v>
      </c>
      <c r="Q64" s="107">
        <f t="shared" si="1"/>
        <v>0</v>
      </c>
      <c r="R64" s="107"/>
      <c r="S64" s="107"/>
      <c r="T64" s="108"/>
      <c r="U64" s="119"/>
      <c r="V64" s="110" t="str">
        <f t="shared" si="2"/>
        <v/>
      </c>
      <c r="W64" s="103"/>
      <c r="X64" s="112">
        <f t="shared" si="3"/>
        <v>0</v>
      </c>
      <c r="Y64" s="112">
        <f t="shared" si="4"/>
        <v>0</v>
      </c>
      <c r="Z64" s="113">
        <f t="shared" si="5"/>
        <v>0</v>
      </c>
      <c r="AA64" s="113">
        <v>0</v>
      </c>
      <c r="AB64" s="114">
        <v>0</v>
      </c>
      <c r="AC64" s="11">
        <f t="shared" si="6"/>
        <v>0</v>
      </c>
      <c r="AD64" s="115">
        <f t="shared" si="7"/>
        <v>3877.24</v>
      </c>
      <c r="AE64" s="115">
        <f t="shared" si="8"/>
        <v>0</v>
      </c>
      <c r="AF64" s="115">
        <f t="shared" si="9"/>
        <v>0</v>
      </c>
      <c r="AG64" s="11"/>
      <c r="AH64" s="115">
        <f t="shared" si="10"/>
        <v>0</v>
      </c>
      <c r="AI64" s="115">
        <f t="shared" si="11"/>
        <v>0</v>
      </c>
      <c r="AJ64" s="115">
        <f t="shared" si="12"/>
        <v>0</v>
      </c>
      <c r="AL64" s="11">
        <f t="shared" si="13"/>
        <v>3877.24</v>
      </c>
      <c r="AM64" s="120" t="s">
        <v>117</v>
      </c>
    </row>
    <row r="65" spans="1:39">
      <c r="A65" s="116"/>
      <c r="B65" s="116" t="s">
        <v>49</v>
      </c>
      <c r="C65" s="126"/>
      <c r="D65" s="120" t="s">
        <v>118</v>
      </c>
      <c r="E65" s="98"/>
      <c r="F65" s="99">
        <f>VLOOKUP(D65,'Feb14 Revenue'!D:V,19,FALSE)</f>
        <v>0</v>
      </c>
      <c r="G65" s="100"/>
      <c r="H65" s="100"/>
      <c r="I65" s="101"/>
      <c r="J65" s="102">
        <f t="shared" si="0"/>
        <v>0</v>
      </c>
      <c r="K65" s="103"/>
      <c r="L65" s="104"/>
      <c r="M65" s="105"/>
      <c r="N65" s="103">
        <v>0</v>
      </c>
      <c r="O65" s="106"/>
      <c r="P65" s="103">
        <v>0</v>
      </c>
      <c r="Q65" s="107">
        <f t="shared" si="1"/>
        <v>0</v>
      </c>
      <c r="R65" s="107"/>
      <c r="S65" s="107"/>
      <c r="T65" s="108"/>
      <c r="U65" s="119"/>
      <c r="V65" s="110" t="str">
        <f t="shared" si="2"/>
        <v/>
      </c>
      <c r="W65" s="103"/>
      <c r="X65" s="112">
        <f t="shared" si="3"/>
        <v>0</v>
      </c>
      <c r="Y65" s="112">
        <f t="shared" si="4"/>
        <v>0</v>
      </c>
      <c r="Z65" s="113">
        <f t="shared" si="5"/>
        <v>0</v>
      </c>
      <c r="AA65" s="113">
        <v>0</v>
      </c>
      <c r="AB65" s="114">
        <v>0</v>
      </c>
      <c r="AC65" s="11">
        <f t="shared" si="6"/>
        <v>0</v>
      </c>
      <c r="AD65" s="115">
        <f t="shared" si="7"/>
        <v>0</v>
      </c>
      <c r="AE65" s="115">
        <f t="shared" si="8"/>
        <v>0</v>
      </c>
      <c r="AF65" s="115">
        <f t="shared" si="9"/>
        <v>0</v>
      </c>
      <c r="AG65" s="11"/>
      <c r="AH65" s="115">
        <f t="shared" si="10"/>
        <v>0</v>
      </c>
      <c r="AI65" s="115">
        <f t="shared" si="11"/>
        <v>0</v>
      </c>
      <c r="AJ65" s="115">
        <f t="shared" si="12"/>
        <v>0</v>
      </c>
      <c r="AL65" s="11">
        <f t="shared" si="13"/>
        <v>0</v>
      </c>
      <c r="AM65" s="120" t="s">
        <v>118</v>
      </c>
    </row>
    <row r="66" spans="1:39">
      <c r="A66" s="116"/>
      <c r="B66" s="116" t="s">
        <v>49</v>
      </c>
      <c r="C66" s="126" t="s">
        <v>119</v>
      </c>
      <c r="D66" s="120" t="s">
        <v>120</v>
      </c>
      <c r="E66" s="98"/>
      <c r="F66" s="99">
        <f>VLOOKUP(D66,'Feb14 Revenue'!D:V,19,FALSE)</f>
        <v>0</v>
      </c>
      <c r="G66" s="100"/>
      <c r="H66" s="100"/>
      <c r="I66" s="101"/>
      <c r="J66" s="102">
        <f t="shared" si="0"/>
        <v>0</v>
      </c>
      <c r="K66" s="103"/>
      <c r="L66" s="104"/>
      <c r="M66" s="105"/>
      <c r="N66" s="103">
        <v>0</v>
      </c>
      <c r="O66" s="106"/>
      <c r="P66" s="103">
        <v>0</v>
      </c>
      <c r="Q66" s="107">
        <f t="shared" si="1"/>
        <v>0</v>
      </c>
      <c r="R66" s="107"/>
      <c r="S66" s="107"/>
      <c r="T66" s="108"/>
      <c r="U66" s="119"/>
      <c r="V66" s="110" t="str">
        <f t="shared" si="2"/>
        <v/>
      </c>
      <c r="W66" s="103"/>
      <c r="X66" s="112">
        <f t="shared" si="3"/>
        <v>0</v>
      </c>
      <c r="Y66" s="112">
        <f t="shared" si="4"/>
        <v>0</v>
      </c>
      <c r="Z66" s="113">
        <f t="shared" si="5"/>
        <v>0</v>
      </c>
      <c r="AA66" s="113">
        <v>0</v>
      </c>
      <c r="AB66" s="114">
        <v>0</v>
      </c>
      <c r="AC66" s="11">
        <f t="shared" si="6"/>
        <v>0</v>
      </c>
      <c r="AD66" s="115">
        <f t="shared" si="7"/>
        <v>0</v>
      </c>
      <c r="AE66" s="115">
        <f t="shared" si="8"/>
        <v>0</v>
      </c>
      <c r="AF66" s="115">
        <f t="shared" si="9"/>
        <v>0</v>
      </c>
      <c r="AG66" s="11"/>
      <c r="AH66" s="115">
        <f t="shared" si="10"/>
        <v>0</v>
      </c>
      <c r="AI66" s="115">
        <f t="shared" si="11"/>
        <v>0</v>
      </c>
      <c r="AJ66" s="115">
        <f t="shared" si="12"/>
        <v>0</v>
      </c>
      <c r="AL66" s="11">
        <f t="shared" si="13"/>
        <v>0</v>
      </c>
      <c r="AM66" s="120" t="s">
        <v>120</v>
      </c>
    </row>
    <row r="67" spans="1:39">
      <c r="A67" s="129" t="s">
        <v>46</v>
      </c>
      <c r="B67" s="129" t="s">
        <v>49</v>
      </c>
      <c r="C67" s="96"/>
      <c r="D67" s="120" t="s">
        <v>121</v>
      </c>
      <c r="E67" s="98"/>
      <c r="F67" s="99">
        <f>VLOOKUP(D67,'Feb14 Revenue'!D:V,19,FALSE)</f>
        <v>0</v>
      </c>
      <c r="G67" s="100"/>
      <c r="H67" s="100"/>
      <c r="I67" s="101"/>
      <c r="J67" s="102">
        <f t="shared" si="0"/>
        <v>0</v>
      </c>
      <c r="K67" s="103"/>
      <c r="L67" s="104"/>
      <c r="M67" s="105"/>
      <c r="N67" s="103">
        <v>0</v>
      </c>
      <c r="O67" s="106"/>
      <c r="P67" s="103">
        <v>0</v>
      </c>
      <c r="Q67" s="107">
        <f t="shared" si="1"/>
        <v>0</v>
      </c>
      <c r="R67" s="107"/>
      <c r="S67" s="107"/>
      <c r="T67" s="108"/>
      <c r="U67" s="119"/>
      <c r="V67" s="110" t="str">
        <f t="shared" si="2"/>
        <v/>
      </c>
      <c r="W67" s="103"/>
      <c r="X67" s="112">
        <f t="shared" si="3"/>
        <v>0</v>
      </c>
      <c r="Y67" s="112">
        <f t="shared" si="4"/>
        <v>0</v>
      </c>
      <c r="Z67" s="113">
        <f t="shared" si="5"/>
        <v>0</v>
      </c>
      <c r="AA67" s="113">
        <v>0</v>
      </c>
      <c r="AB67" s="114">
        <v>0</v>
      </c>
      <c r="AC67" s="11">
        <f t="shared" si="6"/>
        <v>0</v>
      </c>
      <c r="AD67" s="115">
        <f t="shared" si="7"/>
        <v>0</v>
      </c>
      <c r="AE67" s="115">
        <f t="shared" si="8"/>
        <v>0</v>
      </c>
      <c r="AF67" s="115">
        <f t="shared" si="9"/>
        <v>0</v>
      </c>
      <c r="AG67" s="11"/>
      <c r="AH67" s="115">
        <f t="shared" si="10"/>
        <v>0</v>
      </c>
      <c r="AI67" s="115">
        <f t="shared" si="11"/>
        <v>0</v>
      </c>
      <c r="AJ67" s="115">
        <f t="shared" si="12"/>
        <v>0</v>
      </c>
      <c r="AL67" s="11">
        <f t="shared" si="13"/>
        <v>0</v>
      </c>
      <c r="AM67" s="120" t="s">
        <v>121</v>
      </c>
    </row>
    <row r="68" spans="1:39">
      <c r="A68" s="129"/>
      <c r="B68" s="129" t="s">
        <v>49</v>
      </c>
      <c r="C68" s="96"/>
      <c r="D68" s="120" t="s">
        <v>122</v>
      </c>
      <c r="E68" s="98"/>
      <c r="F68" s="99">
        <f>VLOOKUP(D68,'Feb14 Revenue'!D:V,19,FALSE)</f>
        <v>0</v>
      </c>
      <c r="G68" s="100"/>
      <c r="H68" s="100"/>
      <c r="I68" s="101"/>
      <c r="J68" s="102">
        <f t="shared" si="0"/>
        <v>0</v>
      </c>
      <c r="K68" s="103"/>
      <c r="L68" s="104"/>
      <c r="M68" s="105"/>
      <c r="N68" s="103">
        <v>0</v>
      </c>
      <c r="O68" s="106"/>
      <c r="P68" s="103">
        <v>0</v>
      </c>
      <c r="Q68" s="107">
        <f t="shared" si="1"/>
        <v>0</v>
      </c>
      <c r="R68" s="107"/>
      <c r="S68" s="107"/>
      <c r="T68" s="108"/>
      <c r="U68" s="119"/>
      <c r="V68" s="110" t="str">
        <f t="shared" si="2"/>
        <v/>
      </c>
      <c r="W68" s="103"/>
      <c r="X68" s="112">
        <f t="shared" si="3"/>
        <v>0</v>
      </c>
      <c r="Y68" s="112">
        <f t="shared" si="4"/>
        <v>0</v>
      </c>
      <c r="Z68" s="113">
        <f t="shared" si="5"/>
        <v>0</v>
      </c>
      <c r="AA68" s="113">
        <v>0</v>
      </c>
      <c r="AB68" s="114">
        <v>0</v>
      </c>
      <c r="AC68" s="11">
        <f t="shared" si="6"/>
        <v>0</v>
      </c>
      <c r="AD68" s="115">
        <f t="shared" si="7"/>
        <v>0</v>
      </c>
      <c r="AE68" s="115">
        <f t="shared" si="8"/>
        <v>0</v>
      </c>
      <c r="AF68" s="115">
        <f t="shared" si="9"/>
        <v>0</v>
      </c>
      <c r="AG68" s="11"/>
      <c r="AH68" s="115">
        <f t="shared" si="10"/>
        <v>0</v>
      </c>
      <c r="AI68" s="115">
        <f t="shared" si="11"/>
        <v>0</v>
      </c>
      <c r="AJ68" s="115">
        <f t="shared" si="12"/>
        <v>0</v>
      </c>
      <c r="AL68" s="11">
        <f t="shared" si="13"/>
        <v>0</v>
      </c>
      <c r="AM68" s="120" t="s">
        <v>122</v>
      </c>
    </row>
    <row r="69" spans="1:39">
      <c r="A69" s="129"/>
      <c r="B69" s="129" t="s">
        <v>49</v>
      </c>
      <c r="C69" s="96"/>
      <c r="D69" s="120" t="s">
        <v>123</v>
      </c>
      <c r="E69" s="98"/>
      <c r="F69" s="99">
        <f>VLOOKUP(D69,'Feb14 Revenue'!D:V,19,FALSE)</f>
        <v>0</v>
      </c>
      <c r="G69" s="100"/>
      <c r="H69" s="100"/>
      <c r="I69" s="101"/>
      <c r="J69" s="102">
        <f t="shared" si="0"/>
        <v>0</v>
      </c>
      <c r="K69" s="103"/>
      <c r="L69" s="104"/>
      <c r="M69" s="105"/>
      <c r="N69" s="103">
        <v>0</v>
      </c>
      <c r="O69" s="106"/>
      <c r="P69" s="103">
        <v>0</v>
      </c>
      <c r="Q69" s="107">
        <f t="shared" si="1"/>
        <v>0</v>
      </c>
      <c r="R69" s="107"/>
      <c r="S69" s="107"/>
      <c r="T69" s="108"/>
      <c r="U69" s="119"/>
      <c r="V69" s="110" t="str">
        <f t="shared" si="2"/>
        <v/>
      </c>
      <c r="W69" s="103"/>
      <c r="X69" s="112">
        <f t="shared" si="3"/>
        <v>0</v>
      </c>
      <c r="Y69" s="112">
        <f t="shared" si="4"/>
        <v>0</v>
      </c>
      <c r="Z69" s="113">
        <f t="shared" si="5"/>
        <v>0</v>
      </c>
      <c r="AA69" s="113">
        <v>0</v>
      </c>
      <c r="AB69" s="114">
        <v>0</v>
      </c>
      <c r="AC69" s="11">
        <f t="shared" si="6"/>
        <v>0</v>
      </c>
      <c r="AD69" s="115">
        <f t="shared" si="7"/>
        <v>0</v>
      </c>
      <c r="AE69" s="115">
        <f t="shared" si="8"/>
        <v>0</v>
      </c>
      <c r="AF69" s="115">
        <f t="shared" si="9"/>
        <v>0</v>
      </c>
      <c r="AG69" s="11"/>
      <c r="AH69" s="115">
        <f t="shared" si="10"/>
        <v>0</v>
      </c>
      <c r="AI69" s="115">
        <f t="shared" si="11"/>
        <v>0</v>
      </c>
      <c r="AJ69" s="115">
        <f t="shared" si="12"/>
        <v>0</v>
      </c>
      <c r="AL69" s="11">
        <f t="shared" si="13"/>
        <v>0</v>
      </c>
      <c r="AM69" s="120" t="s">
        <v>123</v>
      </c>
    </row>
    <row r="70" spans="1:39" s="124" customFormat="1">
      <c r="A70" s="123" t="s">
        <v>60</v>
      </c>
      <c r="B70" s="123" t="s">
        <v>49</v>
      </c>
      <c r="C70" s="122" t="s">
        <v>124</v>
      </c>
      <c r="D70" s="118" t="s">
        <v>125</v>
      </c>
      <c r="E70" s="98"/>
      <c r="F70" s="99">
        <f>VLOOKUP(D70,'Feb14 Revenue'!D:V,19,FALSE)</f>
        <v>-400000</v>
      </c>
      <c r="G70" s="100"/>
      <c r="H70" s="100"/>
      <c r="I70" s="101"/>
      <c r="J70" s="102">
        <f t="shared" si="0"/>
        <v>-400000</v>
      </c>
      <c r="K70" s="103"/>
      <c r="L70" s="104"/>
      <c r="M70" s="105">
        <v>600000</v>
      </c>
      <c r="N70" s="103">
        <v>0</v>
      </c>
      <c r="O70" s="106"/>
      <c r="P70" s="103">
        <v>0</v>
      </c>
      <c r="Q70" s="107">
        <f t="shared" si="1"/>
        <v>600000</v>
      </c>
      <c r="R70" s="107"/>
      <c r="S70" s="107"/>
      <c r="T70" s="108"/>
      <c r="U70" s="119"/>
      <c r="V70" s="110" t="str">
        <f t="shared" si="2"/>
        <v/>
      </c>
      <c r="W70" s="103"/>
      <c r="X70" s="112">
        <f t="shared" si="3"/>
        <v>600000</v>
      </c>
      <c r="Y70" s="112">
        <f t="shared" si="4"/>
        <v>0</v>
      </c>
      <c r="Z70" s="113">
        <f t="shared" si="5"/>
        <v>0</v>
      </c>
      <c r="AA70" s="113">
        <v>0</v>
      </c>
      <c r="AB70" s="114">
        <v>0</v>
      </c>
      <c r="AC70" s="11">
        <f t="shared" si="6"/>
        <v>0</v>
      </c>
      <c r="AD70" s="115">
        <f t="shared" si="7"/>
        <v>-400000</v>
      </c>
      <c r="AE70" s="115">
        <f t="shared" si="8"/>
        <v>0</v>
      </c>
      <c r="AF70" s="115">
        <f t="shared" si="9"/>
        <v>0</v>
      </c>
      <c r="AG70" s="11"/>
      <c r="AH70" s="115">
        <f t="shared" si="10"/>
        <v>600000</v>
      </c>
      <c r="AI70" s="115">
        <f t="shared" si="11"/>
        <v>0</v>
      </c>
      <c r="AJ70" s="115">
        <f t="shared" si="12"/>
        <v>0</v>
      </c>
      <c r="AL70" s="11">
        <f t="shared" si="13"/>
        <v>200000</v>
      </c>
      <c r="AM70" s="118" t="s">
        <v>125</v>
      </c>
    </row>
    <row r="71" spans="1:39" s="124" customFormat="1">
      <c r="A71" s="123" t="s">
        <v>60</v>
      </c>
      <c r="B71" s="123" t="s">
        <v>49</v>
      </c>
      <c r="C71" s="122" t="s">
        <v>124</v>
      </c>
      <c r="D71" s="118" t="s">
        <v>126</v>
      </c>
      <c r="E71" s="98"/>
      <c r="F71" s="99">
        <f>VLOOKUP(D71,'Feb14 Revenue'!D:V,19,FALSE)</f>
        <v>0</v>
      </c>
      <c r="G71" s="100"/>
      <c r="H71" s="100"/>
      <c r="I71" s="101"/>
      <c r="J71" s="102">
        <f t="shared" si="0"/>
        <v>0</v>
      </c>
      <c r="K71" s="103"/>
      <c r="L71" s="104"/>
      <c r="M71" s="105"/>
      <c r="N71" s="103">
        <v>0</v>
      </c>
      <c r="O71" s="106"/>
      <c r="P71" s="103">
        <v>0</v>
      </c>
      <c r="Q71" s="107">
        <f t="shared" si="1"/>
        <v>0</v>
      </c>
      <c r="R71" s="107"/>
      <c r="S71" s="107"/>
      <c r="T71" s="108"/>
      <c r="U71" s="119"/>
      <c r="V71" s="110" t="str">
        <f t="shared" si="2"/>
        <v/>
      </c>
      <c r="W71" s="103"/>
      <c r="X71" s="112">
        <f t="shared" si="3"/>
        <v>0</v>
      </c>
      <c r="Y71" s="112">
        <f t="shared" si="4"/>
        <v>0</v>
      </c>
      <c r="Z71" s="113">
        <f t="shared" si="5"/>
        <v>0</v>
      </c>
      <c r="AA71" s="113">
        <v>0</v>
      </c>
      <c r="AB71" s="114">
        <v>0</v>
      </c>
      <c r="AC71" s="11">
        <f t="shared" si="6"/>
        <v>0</v>
      </c>
      <c r="AD71" s="115">
        <f t="shared" si="7"/>
        <v>0</v>
      </c>
      <c r="AE71" s="115">
        <f t="shared" si="8"/>
        <v>0</v>
      </c>
      <c r="AF71" s="115">
        <f t="shared" si="9"/>
        <v>0</v>
      </c>
      <c r="AG71" s="11"/>
      <c r="AH71" s="115">
        <f t="shared" si="10"/>
        <v>0</v>
      </c>
      <c r="AI71" s="115">
        <f t="shared" si="11"/>
        <v>0</v>
      </c>
      <c r="AJ71" s="115">
        <f t="shared" si="12"/>
        <v>0</v>
      </c>
      <c r="AL71" s="11">
        <f t="shared" si="13"/>
        <v>0</v>
      </c>
      <c r="AM71" s="118" t="s">
        <v>126</v>
      </c>
    </row>
    <row r="72" spans="1:39" s="124" customFormat="1" hidden="1">
      <c r="A72" s="123" t="s">
        <v>60</v>
      </c>
      <c r="B72" s="123" t="s">
        <v>49</v>
      </c>
      <c r="C72" s="122" t="s">
        <v>124</v>
      </c>
      <c r="D72" s="118" t="s">
        <v>127</v>
      </c>
      <c r="E72" s="98"/>
      <c r="F72" s="99">
        <f>VLOOKUP(D72,'Feb14 Revenue'!D:V,19,FALSE)</f>
        <v>0</v>
      </c>
      <c r="G72" s="100"/>
      <c r="H72" s="100"/>
      <c r="I72" s="101"/>
      <c r="J72" s="102">
        <f t="shared" si="0"/>
        <v>0</v>
      </c>
      <c r="K72" s="103"/>
      <c r="L72" s="104"/>
      <c r="M72" s="105"/>
      <c r="N72" s="103">
        <v>0</v>
      </c>
      <c r="O72" s="106"/>
      <c r="P72" s="103">
        <v>0</v>
      </c>
      <c r="Q72" s="107">
        <f t="shared" si="1"/>
        <v>0</v>
      </c>
      <c r="R72" s="107"/>
      <c r="S72" s="107"/>
      <c r="T72" s="108"/>
      <c r="U72" s="119"/>
      <c r="V72" s="110" t="str">
        <f t="shared" si="2"/>
        <v/>
      </c>
      <c r="W72" s="103"/>
      <c r="X72" s="112">
        <f t="shared" si="3"/>
        <v>0</v>
      </c>
      <c r="Y72" s="112">
        <f t="shared" si="4"/>
        <v>0</v>
      </c>
      <c r="Z72" s="113">
        <f t="shared" si="5"/>
        <v>0</v>
      </c>
      <c r="AA72" s="113">
        <v>0</v>
      </c>
      <c r="AB72" s="114">
        <v>0</v>
      </c>
      <c r="AC72" s="11">
        <f t="shared" si="6"/>
        <v>0</v>
      </c>
      <c r="AD72" s="115">
        <f t="shared" si="7"/>
        <v>0</v>
      </c>
      <c r="AE72" s="115">
        <f t="shared" si="8"/>
        <v>0</v>
      </c>
      <c r="AF72" s="115">
        <f t="shared" si="9"/>
        <v>0</v>
      </c>
      <c r="AG72" s="11"/>
      <c r="AH72" s="115">
        <f t="shared" si="10"/>
        <v>0</v>
      </c>
      <c r="AI72" s="115">
        <f t="shared" si="11"/>
        <v>0</v>
      </c>
      <c r="AJ72" s="115">
        <f t="shared" si="12"/>
        <v>0</v>
      </c>
      <c r="AL72" s="11">
        <f t="shared" si="13"/>
        <v>0</v>
      </c>
      <c r="AM72" s="118" t="s">
        <v>127</v>
      </c>
    </row>
    <row r="73" spans="1:39" s="124" customFormat="1" hidden="1">
      <c r="A73" s="123" t="s">
        <v>60</v>
      </c>
      <c r="B73" s="123" t="s">
        <v>49</v>
      </c>
      <c r="C73" s="122" t="s">
        <v>124</v>
      </c>
      <c r="D73" s="118" t="s">
        <v>128</v>
      </c>
      <c r="E73" s="98"/>
      <c r="F73" s="99">
        <f>VLOOKUP(D73,'Feb14 Revenue'!D:V,19,FALSE)</f>
        <v>0</v>
      </c>
      <c r="G73" s="100"/>
      <c r="H73" s="100"/>
      <c r="I73" s="101"/>
      <c r="J73" s="102">
        <f t="shared" si="0"/>
        <v>0</v>
      </c>
      <c r="K73" s="103"/>
      <c r="L73" s="104"/>
      <c r="M73" s="105"/>
      <c r="N73" s="103">
        <v>0</v>
      </c>
      <c r="O73" s="106"/>
      <c r="P73" s="103">
        <v>0</v>
      </c>
      <c r="Q73" s="107">
        <f t="shared" si="1"/>
        <v>0</v>
      </c>
      <c r="R73" s="107"/>
      <c r="S73" s="107"/>
      <c r="T73" s="108"/>
      <c r="U73" s="119"/>
      <c r="V73" s="110" t="str">
        <f t="shared" si="2"/>
        <v/>
      </c>
      <c r="W73" s="103"/>
      <c r="X73" s="112">
        <f t="shared" si="3"/>
        <v>0</v>
      </c>
      <c r="Y73" s="112">
        <f t="shared" si="4"/>
        <v>0</v>
      </c>
      <c r="Z73" s="113">
        <f t="shared" si="5"/>
        <v>0</v>
      </c>
      <c r="AA73" s="113">
        <v>0</v>
      </c>
      <c r="AB73" s="114">
        <v>0</v>
      </c>
      <c r="AC73" s="11">
        <f t="shared" si="6"/>
        <v>0</v>
      </c>
      <c r="AD73" s="115">
        <f t="shared" si="7"/>
        <v>0</v>
      </c>
      <c r="AE73" s="115">
        <f t="shared" si="8"/>
        <v>0</v>
      </c>
      <c r="AF73" s="115">
        <f t="shared" si="9"/>
        <v>0</v>
      </c>
      <c r="AG73" s="11"/>
      <c r="AH73" s="115">
        <f t="shared" si="10"/>
        <v>0</v>
      </c>
      <c r="AI73" s="115">
        <f t="shared" si="11"/>
        <v>0</v>
      </c>
      <c r="AJ73" s="115">
        <f t="shared" si="12"/>
        <v>0</v>
      </c>
      <c r="AL73" s="11">
        <f t="shared" si="13"/>
        <v>0</v>
      </c>
      <c r="AM73" s="118" t="s">
        <v>128</v>
      </c>
    </row>
    <row r="74" spans="1:39" s="124" customFormat="1" hidden="1">
      <c r="A74" s="123" t="s">
        <v>60</v>
      </c>
      <c r="B74" s="123" t="s">
        <v>49</v>
      </c>
      <c r="C74" s="122" t="s">
        <v>124</v>
      </c>
      <c r="D74" s="118" t="s">
        <v>129</v>
      </c>
      <c r="E74" s="98"/>
      <c r="F74" s="99">
        <f>VLOOKUP(D74,'Feb14 Revenue'!D:V,19,FALSE)</f>
        <v>0</v>
      </c>
      <c r="G74" s="100"/>
      <c r="H74" s="100"/>
      <c r="I74" s="101"/>
      <c r="J74" s="102">
        <f t="shared" si="0"/>
        <v>0</v>
      </c>
      <c r="K74" s="103"/>
      <c r="L74" s="104"/>
      <c r="M74" s="105"/>
      <c r="N74" s="103">
        <v>0</v>
      </c>
      <c r="O74" s="106"/>
      <c r="P74" s="103">
        <v>0</v>
      </c>
      <c r="Q74" s="107">
        <f t="shared" si="1"/>
        <v>0</v>
      </c>
      <c r="R74" s="107"/>
      <c r="S74" s="107"/>
      <c r="T74" s="108"/>
      <c r="U74" s="119"/>
      <c r="V74" s="110" t="str">
        <f t="shared" si="2"/>
        <v/>
      </c>
      <c r="W74" s="103"/>
      <c r="X74" s="112">
        <f t="shared" si="3"/>
        <v>0</v>
      </c>
      <c r="Y74" s="112">
        <f t="shared" si="4"/>
        <v>0</v>
      </c>
      <c r="Z74" s="113">
        <f t="shared" si="5"/>
        <v>0</v>
      </c>
      <c r="AA74" s="113">
        <v>0</v>
      </c>
      <c r="AB74" s="114">
        <v>0</v>
      </c>
      <c r="AC74" s="11">
        <f t="shared" si="6"/>
        <v>0</v>
      </c>
      <c r="AD74" s="115">
        <f t="shared" si="7"/>
        <v>0</v>
      </c>
      <c r="AE74" s="115">
        <f t="shared" si="8"/>
        <v>0</v>
      </c>
      <c r="AF74" s="115">
        <f t="shared" si="9"/>
        <v>0</v>
      </c>
      <c r="AG74" s="11"/>
      <c r="AH74" s="115">
        <f t="shared" si="10"/>
        <v>0</v>
      </c>
      <c r="AI74" s="115">
        <f t="shared" si="11"/>
        <v>0</v>
      </c>
      <c r="AJ74" s="115">
        <f t="shared" si="12"/>
        <v>0</v>
      </c>
      <c r="AL74" s="11">
        <f t="shared" si="13"/>
        <v>0</v>
      </c>
      <c r="AM74" s="118" t="s">
        <v>129</v>
      </c>
    </row>
    <row r="75" spans="1:39" s="124" customFormat="1" hidden="1">
      <c r="A75" s="123" t="s">
        <v>60</v>
      </c>
      <c r="B75" s="123" t="s">
        <v>49</v>
      </c>
      <c r="C75" s="122" t="s">
        <v>124</v>
      </c>
      <c r="D75" s="118" t="s">
        <v>130</v>
      </c>
      <c r="E75" s="98"/>
      <c r="F75" s="99">
        <f>VLOOKUP(D75,'Feb14 Revenue'!D:V,19,FALSE)</f>
        <v>0</v>
      </c>
      <c r="G75" s="100"/>
      <c r="H75" s="100"/>
      <c r="I75" s="101"/>
      <c r="J75" s="102">
        <f t="shared" si="0"/>
        <v>0</v>
      </c>
      <c r="K75" s="103"/>
      <c r="L75" s="104"/>
      <c r="M75" s="105"/>
      <c r="N75" s="103">
        <v>0</v>
      </c>
      <c r="O75" s="106"/>
      <c r="P75" s="103">
        <v>0</v>
      </c>
      <c r="Q75" s="107">
        <f t="shared" si="1"/>
        <v>0</v>
      </c>
      <c r="R75" s="107"/>
      <c r="S75" s="107"/>
      <c r="T75" s="108"/>
      <c r="U75" s="119"/>
      <c r="V75" s="110" t="str">
        <f t="shared" si="2"/>
        <v/>
      </c>
      <c r="W75" s="103"/>
      <c r="X75" s="112">
        <f t="shared" si="3"/>
        <v>0</v>
      </c>
      <c r="Y75" s="112">
        <f t="shared" si="4"/>
        <v>0</v>
      </c>
      <c r="Z75" s="113">
        <f t="shared" si="5"/>
        <v>0</v>
      </c>
      <c r="AA75" s="113">
        <v>0</v>
      </c>
      <c r="AB75" s="114">
        <v>0</v>
      </c>
      <c r="AC75" s="11">
        <f t="shared" si="6"/>
        <v>0</v>
      </c>
      <c r="AD75" s="115">
        <f t="shared" si="7"/>
        <v>0</v>
      </c>
      <c r="AE75" s="115">
        <f t="shared" si="8"/>
        <v>0</v>
      </c>
      <c r="AF75" s="115">
        <f t="shared" si="9"/>
        <v>0</v>
      </c>
      <c r="AG75" s="11"/>
      <c r="AH75" s="115">
        <f t="shared" si="10"/>
        <v>0</v>
      </c>
      <c r="AI75" s="115">
        <f t="shared" si="11"/>
        <v>0</v>
      </c>
      <c r="AJ75" s="115">
        <f t="shared" si="12"/>
        <v>0</v>
      </c>
      <c r="AL75" s="11">
        <f t="shared" si="13"/>
        <v>0</v>
      </c>
      <c r="AM75" s="118" t="s">
        <v>130</v>
      </c>
    </row>
    <row r="76" spans="1:39" s="124" customFormat="1">
      <c r="A76" s="123"/>
      <c r="B76" s="123" t="s">
        <v>46</v>
      </c>
      <c r="C76" s="140"/>
      <c r="D76" s="121" t="s">
        <v>131</v>
      </c>
      <c r="E76" s="98"/>
      <c r="F76" s="99">
        <f>VLOOKUP(D76,'Feb14 Revenue'!D:V,19,FALSE)</f>
        <v>0</v>
      </c>
      <c r="G76" s="100"/>
      <c r="H76" s="100"/>
      <c r="I76" s="101"/>
      <c r="J76" s="102">
        <f t="shared" si="0"/>
        <v>0</v>
      </c>
      <c r="K76" s="103"/>
      <c r="L76" s="104"/>
      <c r="M76" s="105"/>
      <c r="N76" s="103">
        <v>0</v>
      </c>
      <c r="O76" s="106"/>
      <c r="P76" s="103">
        <v>0</v>
      </c>
      <c r="Q76" s="107">
        <f t="shared" si="1"/>
        <v>0</v>
      </c>
      <c r="R76" s="107"/>
      <c r="S76" s="107"/>
      <c r="T76" s="108"/>
      <c r="U76" s="119"/>
      <c r="V76" s="110" t="str">
        <f t="shared" si="2"/>
        <v/>
      </c>
      <c r="W76" s="103"/>
      <c r="X76" s="112">
        <f t="shared" si="3"/>
        <v>0</v>
      </c>
      <c r="Y76" s="112">
        <f t="shared" si="4"/>
        <v>0</v>
      </c>
      <c r="Z76" s="113">
        <f t="shared" si="5"/>
        <v>0</v>
      </c>
      <c r="AA76" s="113">
        <v>0</v>
      </c>
      <c r="AB76" s="114">
        <v>0</v>
      </c>
      <c r="AC76" s="11">
        <f t="shared" si="6"/>
        <v>0</v>
      </c>
      <c r="AD76" s="115">
        <f t="shared" si="7"/>
        <v>0</v>
      </c>
      <c r="AE76" s="115">
        <f t="shared" si="8"/>
        <v>0</v>
      </c>
      <c r="AF76" s="115">
        <f t="shared" si="9"/>
        <v>0</v>
      </c>
      <c r="AG76" s="11"/>
      <c r="AH76" s="115">
        <f t="shared" si="10"/>
        <v>0</v>
      </c>
      <c r="AI76" s="115">
        <f t="shared" si="11"/>
        <v>0</v>
      </c>
      <c r="AJ76" s="115">
        <f t="shared" si="12"/>
        <v>0</v>
      </c>
      <c r="AL76" s="11">
        <f t="shared" si="13"/>
        <v>0</v>
      </c>
      <c r="AM76" s="121" t="s">
        <v>131</v>
      </c>
    </row>
    <row r="77" spans="1:39" hidden="1">
      <c r="A77" s="116"/>
      <c r="B77" s="116" t="s">
        <v>49</v>
      </c>
      <c r="C77" s="122"/>
      <c r="D77" s="120" t="s">
        <v>132</v>
      </c>
      <c r="E77" s="98"/>
      <c r="F77" s="99">
        <f>VLOOKUP(D77,'Feb14 Revenue'!D:V,19,FALSE)</f>
        <v>0</v>
      </c>
      <c r="G77" s="100"/>
      <c r="H77" s="100"/>
      <c r="I77" s="101"/>
      <c r="J77" s="102">
        <f t="shared" si="0"/>
        <v>0</v>
      </c>
      <c r="K77" s="103"/>
      <c r="L77" s="104"/>
      <c r="M77" s="105"/>
      <c r="N77" s="103">
        <v>0</v>
      </c>
      <c r="O77" s="106"/>
      <c r="P77" s="103">
        <v>0</v>
      </c>
      <c r="Q77" s="107">
        <f t="shared" si="1"/>
        <v>0</v>
      </c>
      <c r="R77" s="107"/>
      <c r="S77" s="107"/>
      <c r="T77" s="108"/>
      <c r="U77" s="119"/>
      <c r="V77" s="110" t="str">
        <f t="shared" si="2"/>
        <v/>
      </c>
      <c r="W77" s="103"/>
      <c r="X77" s="112">
        <f t="shared" si="3"/>
        <v>0</v>
      </c>
      <c r="Y77" s="112">
        <f t="shared" si="4"/>
        <v>0</v>
      </c>
      <c r="Z77" s="113">
        <f t="shared" si="5"/>
        <v>0</v>
      </c>
      <c r="AA77" s="113">
        <v>0</v>
      </c>
      <c r="AB77" s="114">
        <v>0</v>
      </c>
      <c r="AC77" s="11">
        <f t="shared" si="6"/>
        <v>0</v>
      </c>
      <c r="AD77" s="115">
        <f t="shared" si="7"/>
        <v>0</v>
      </c>
      <c r="AE77" s="115">
        <f t="shared" si="8"/>
        <v>0</v>
      </c>
      <c r="AF77" s="115">
        <f t="shared" si="9"/>
        <v>0</v>
      </c>
      <c r="AG77" s="11"/>
      <c r="AH77" s="115">
        <f t="shared" si="10"/>
        <v>0</v>
      </c>
      <c r="AI77" s="115">
        <f t="shared" si="11"/>
        <v>0</v>
      </c>
      <c r="AJ77" s="115">
        <f t="shared" si="12"/>
        <v>0</v>
      </c>
      <c r="AL77" s="11">
        <f t="shared" si="13"/>
        <v>0</v>
      </c>
      <c r="AM77" s="120" t="s">
        <v>132</v>
      </c>
    </row>
    <row r="78" spans="1:39">
      <c r="A78" s="116"/>
      <c r="B78" s="116" t="s">
        <v>49</v>
      </c>
      <c r="C78" s="122"/>
      <c r="D78" s="120" t="s">
        <v>133</v>
      </c>
      <c r="E78" s="98"/>
      <c r="F78" s="99">
        <f>VLOOKUP(D78,'Feb14 Revenue'!D:V,19,FALSE)</f>
        <v>0</v>
      </c>
      <c r="G78" s="100"/>
      <c r="H78" s="100"/>
      <c r="I78" s="125">
        <v>360.86</v>
      </c>
      <c r="J78" s="102">
        <f t="shared" si="0"/>
        <v>360.86</v>
      </c>
      <c r="K78" s="103"/>
      <c r="L78" s="104"/>
      <c r="M78" s="105"/>
      <c r="N78" s="103">
        <v>0</v>
      </c>
      <c r="O78" s="106"/>
      <c r="P78" s="103">
        <v>0</v>
      </c>
      <c r="Q78" s="107">
        <f t="shared" si="1"/>
        <v>0</v>
      </c>
      <c r="R78" s="107"/>
      <c r="S78" s="107"/>
      <c r="T78" s="108"/>
      <c r="U78" s="119"/>
      <c r="V78" s="110" t="str">
        <f t="shared" si="2"/>
        <v/>
      </c>
      <c r="W78" s="103"/>
      <c r="X78" s="112">
        <f t="shared" si="3"/>
        <v>0</v>
      </c>
      <c r="Y78" s="112">
        <f t="shared" si="4"/>
        <v>0</v>
      </c>
      <c r="Z78" s="113">
        <f t="shared" si="5"/>
        <v>0</v>
      </c>
      <c r="AA78" s="113">
        <v>0</v>
      </c>
      <c r="AB78" s="114">
        <v>0</v>
      </c>
      <c r="AC78" s="11">
        <f t="shared" si="6"/>
        <v>0</v>
      </c>
      <c r="AD78" s="115">
        <f t="shared" si="7"/>
        <v>360.86</v>
      </c>
      <c r="AE78" s="115">
        <f t="shared" si="8"/>
        <v>0</v>
      </c>
      <c r="AF78" s="115">
        <f t="shared" si="9"/>
        <v>0</v>
      </c>
      <c r="AG78" s="11"/>
      <c r="AH78" s="115">
        <f t="shared" si="10"/>
        <v>0</v>
      </c>
      <c r="AI78" s="115">
        <f t="shared" si="11"/>
        <v>0</v>
      </c>
      <c r="AJ78" s="115">
        <f t="shared" si="12"/>
        <v>0</v>
      </c>
      <c r="AL78" s="11">
        <f t="shared" si="13"/>
        <v>360.86</v>
      </c>
      <c r="AM78" s="120" t="s">
        <v>133</v>
      </c>
    </row>
    <row r="79" spans="1:39">
      <c r="A79" s="116"/>
      <c r="B79" s="116" t="s">
        <v>49</v>
      </c>
      <c r="C79" s="126" t="s">
        <v>134</v>
      </c>
      <c r="D79" s="120" t="s">
        <v>135</v>
      </c>
      <c r="E79" s="98">
        <v>4871</v>
      </c>
      <c r="F79" s="99">
        <f>VLOOKUP(D79,'Feb14 Revenue'!D:V,19,FALSE)</f>
        <v>22661</v>
      </c>
      <c r="G79" s="100"/>
      <c r="H79" s="100"/>
      <c r="I79" s="101"/>
      <c r="J79" s="102">
        <f t="shared" si="0"/>
        <v>27532</v>
      </c>
      <c r="K79" s="103"/>
      <c r="L79" s="104"/>
      <c r="M79" s="105"/>
      <c r="N79" s="103">
        <v>0</v>
      </c>
      <c r="O79" s="106"/>
      <c r="P79" s="103">
        <v>0</v>
      </c>
      <c r="Q79" s="107">
        <f t="shared" si="1"/>
        <v>0</v>
      </c>
      <c r="R79" s="107"/>
      <c r="S79" s="107"/>
      <c r="T79" s="108"/>
      <c r="U79" s="119"/>
      <c r="V79" s="110" t="str">
        <f t="shared" si="2"/>
        <v/>
      </c>
      <c r="W79" s="103"/>
      <c r="X79" s="112">
        <f t="shared" si="3"/>
        <v>0</v>
      </c>
      <c r="Y79" s="112">
        <f t="shared" si="4"/>
        <v>0</v>
      </c>
      <c r="Z79" s="113">
        <f t="shared" si="5"/>
        <v>0</v>
      </c>
      <c r="AA79" s="113">
        <v>0</v>
      </c>
      <c r="AB79" s="114">
        <v>0</v>
      </c>
      <c r="AC79" s="11">
        <f t="shared" si="6"/>
        <v>0</v>
      </c>
      <c r="AD79" s="115">
        <f t="shared" si="7"/>
        <v>27532</v>
      </c>
      <c r="AE79" s="115">
        <f t="shared" si="8"/>
        <v>0</v>
      </c>
      <c r="AF79" s="115">
        <f t="shared" si="9"/>
        <v>0</v>
      </c>
      <c r="AG79" s="11"/>
      <c r="AH79" s="115">
        <f t="shared" si="10"/>
        <v>0</v>
      </c>
      <c r="AI79" s="115">
        <f t="shared" si="11"/>
        <v>0</v>
      </c>
      <c r="AJ79" s="115">
        <f t="shared" si="12"/>
        <v>0</v>
      </c>
      <c r="AL79" s="11">
        <f t="shared" si="13"/>
        <v>27532</v>
      </c>
      <c r="AM79" s="120" t="s">
        <v>135</v>
      </c>
    </row>
    <row r="80" spans="1:39">
      <c r="A80" s="116" t="s">
        <v>46</v>
      </c>
      <c r="B80" s="116" t="s">
        <v>46</v>
      </c>
      <c r="C80" s="122" t="s">
        <v>136</v>
      </c>
      <c r="D80" s="120" t="s">
        <v>137</v>
      </c>
      <c r="E80" s="98"/>
      <c r="F80" s="99">
        <f>VLOOKUP(D80,'Feb14 Revenue'!D:V,19,FALSE)</f>
        <v>0</v>
      </c>
      <c r="G80" s="100"/>
      <c r="H80" s="100"/>
      <c r="I80" s="101"/>
      <c r="J80" s="102">
        <f t="shared" si="0"/>
        <v>0</v>
      </c>
      <c r="K80" s="103"/>
      <c r="L80" s="104"/>
      <c r="M80" s="105"/>
      <c r="N80" s="103">
        <v>0</v>
      </c>
      <c r="O80" s="106"/>
      <c r="P80" s="103">
        <v>0</v>
      </c>
      <c r="Q80" s="107">
        <f t="shared" si="1"/>
        <v>0</v>
      </c>
      <c r="R80" s="107"/>
      <c r="S80" s="107"/>
      <c r="T80" s="108"/>
      <c r="U80" s="119"/>
      <c r="V80" s="110" t="str">
        <f t="shared" si="2"/>
        <v/>
      </c>
      <c r="W80" s="103"/>
      <c r="X80" s="112">
        <f t="shared" si="3"/>
        <v>0</v>
      </c>
      <c r="Y80" s="112">
        <f t="shared" si="4"/>
        <v>0</v>
      </c>
      <c r="Z80" s="113">
        <f t="shared" si="5"/>
        <v>0</v>
      </c>
      <c r="AA80" s="113">
        <v>0</v>
      </c>
      <c r="AB80" s="114">
        <v>0</v>
      </c>
      <c r="AC80" s="11">
        <f t="shared" si="6"/>
        <v>0</v>
      </c>
      <c r="AD80" s="115">
        <f t="shared" si="7"/>
        <v>0</v>
      </c>
      <c r="AE80" s="115">
        <f t="shared" si="8"/>
        <v>0</v>
      </c>
      <c r="AF80" s="115">
        <f t="shared" si="9"/>
        <v>0</v>
      </c>
      <c r="AG80" s="11"/>
      <c r="AH80" s="115">
        <f t="shared" si="10"/>
        <v>0</v>
      </c>
      <c r="AI80" s="115">
        <f t="shared" si="11"/>
        <v>0</v>
      </c>
      <c r="AJ80" s="115">
        <f t="shared" si="12"/>
        <v>0</v>
      </c>
      <c r="AL80" s="11">
        <f t="shared" si="13"/>
        <v>0</v>
      </c>
      <c r="AM80" s="120" t="s">
        <v>137</v>
      </c>
    </row>
    <row r="81" spans="1:39">
      <c r="A81" s="116"/>
      <c r="B81" s="116" t="s">
        <v>46</v>
      </c>
      <c r="C81" s="122"/>
      <c r="D81" s="120" t="s">
        <v>138</v>
      </c>
      <c r="E81" s="98"/>
      <c r="F81" s="99">
        <f>VLOOKUP(D81,'Feb14 Revenue'!D:V,19,FALSE)</f>
        <v>0</v>
      </c>
      <c r="G81" s="100"/>
      <c r="H81" s="100"/>
      <c r="I81" s="101"/>
      <c r="J81" s="102">
        <f t="shared" si="0"/>
        <v>0</v>
      </c>
      <c r="K81" s="103"/>
      <c r="L81" s="104"/>
      <c r="M81" s="105"/>
      <c r="N81" s="103">
        <v>0</v>
      </c>
      <c r="O81" s="106"/>
      <c r="P81" s="103">
        <v>0</v>
      </c>
      <c r="Q81" s="107">
        <f t="shared" si="1"/>
        <v>0</v>
      </c>
      <c r="R81" s="107"/>
      <c r="S81" s="107"/>
      <c r="T81" s="108"/>
      <c r="U81" s="119"/>
      <c r="V81" s="110" t="str">
        <f t="shared" si="2"/>
        <v/>
      </c>
      <c r="W81" s="103"/>
      <c r="X81" s="112">
        <f t="shared" si="3"/>
        <v>0</v>
      </c>
      <c r="Y81" s="112">
        <f t="shared" si="4"/>
        <v>0</v>
      </c>
      <c r="Z81" s="113">
        <f t="shared" si="5"/>
        <v>0</v>
      </c>
      <c r="AA81" s="113">
        <v>0</v>
      </c>
      <c r="AB81" s="114">
        <v>0</v>
      </c>
      <c r="AC81" s="11">
        <f t="shared" si="6"/>
        <v>0</v>
      </c>
      <c r="AD81" s="115">
        <f t="shared" si="7"/>
        <v>0</v>
      </c>
      <c r="AE81" s="115">
        <f t="shared" si="8"/>
        <v>0</v>
      </c>
      <c r="AF81" s="115">
        <f t="shared" si="9"/>
        <v>0</v>
      </c>
      <c r="AG81" s="11"/>
      <c r="AH81" s="115">
        <f t="shared" si="10"/>
        <v>0</v>
      </c>
      <c r="AI81" s="115">
        <f t="shared" si="11"/>
        <v>0</v>
      </c>
      <c r="AJ81" s="115">
        <f t="shared" si="12"/>
        <v>0</v>
      </c>
      <c r="AL81" s="11">
        <f t="shared" si="13"/>
        <v>0</v>
      </c>
      <c r="AM81" s="120" t="s">
        <v>138</v>
      </c>
    </row>
    <row r="82" spans="1:39">
      <c r="A82" s="116"/>
      <c r="B82" s="116" t="s">
        <v>49</v>
      </c>
      <c r="C82" s="122"/>
      <c r="D82" s="120" t="s">
        <v>139</v>
      </c>
      <c r="E82" s="98"/>
      <c r="F82" s="99">
        <f>VLOOKUP(D82,'Feb14 Revenue'!D:V,19,FALSE)</f>
        <v>-824995</v>
      </c>
      <c r="G82" s="100"/>
      <c r="H82" s="100"/>
      <c r="I82" s="101"/>
      <c r="J82" s="102">
        <f t="shared" si="0"/>
        <v>-824995</v>
      </c>
      <c r="K82" s="103"/>
      <c r="L82" s="104"/>
      <c r="M82" s="105">
        <v>800000</v>
      </c>
      <c r="N82" s="103">
        <v>0</v>
      </c>
      <c r="O82" s="106"/>
      <c r="P82" s="103">
        <v>0</v>
      </c>
      <c r="Q82" s="107">
        <f t="shared" si="1"/>
        <v>800000</v>
      </c>
      <c r="R82" s="107"/>
      <c r="S82" s="107"/>
      <c r="T82" s="108"/>
      <c r="U82" s="119"/>
      <c r="V82" s="110" t="str">
        <f t="shared" si="2"/>
        <v/>
      </c>
      <c r="W82" s="103"/>
      <c r="X82" s="112">
        <f t="shared" si="3"/>
        <v>800000</v>
      </c>
      <c r="Y82" s="112">
        <f t="shared" si="4"/>
        <v>0</v>
      </c>
      <c r="Z82" s="113">
        <f t="shared" si="5"/>
        <v>0</v>
      </c>
      <c r="AA82" s="113">
        <v>0</v>
      </c>
      <c r="AB82" s="114">
        <v>0</v>
      </c>
      <c r="AC82" s="11">
        <f t="shared" si="6"/>
        <v>0</v>
      </c>
      <c r="AD82" s="115">
        <f t="shared" si="7"/>
        <v>-824995</v>
      </c>
      <c r="AE82" s="115">
        <f t="shared" si="8"/>
        <v>0</v>
      </c>
      <c r="AF82" s="115">
        <f t="shared" si="9"/>
        <v>0</v>
      </c>
      <c r="AG82" s="11"/>
      <c r="AH82" s="115">
        <f t="shared" si="10"/>
        <v>800000</v>
      </c>
      <c r="AI82" s="115">
        <f t="shared" si="11"/>
        <v>0</v>
      </c>
      <c r="AJ82" s="115">
        <f t="shared" si="12"/>
        <v>0</v>
      </c>
      <c r="AL82" s="11">
        <f t="shared" si="13"/>
        <v>-24995</v>
      </c>
      <c r="AM82" s="120" t="s">
        <v>139</v>
      </c>
    </row>
    <row r="83" spans="1:39" s="124" customFormat="1">
      <c r="A83" s="123"/>
      <c r="B83" s="123" t="s">
        <v>46</v>
      </c>
      <c r="C83" s="122" t="s">
        <v>140</v>
      </c>
      <c r="D83" s="97" t="s">
        <v>141</v>
      </c>
      <c r="E83" s="98"/>
      <c r="F83" s="99">
        <f>VLOOKUP(D83,'Feb14 Revenue'!D:V,19,FALSE)</f>
        <v>0</v>
      </c>
      <c r="G83" s="100"/>
      <c r="H83" s="100"/>
      <c r="I83" s="101"/>
      <c r="J83" s="102">
        <f t="shared" si="0"/>
        <v>0</v>
      </c>
      <c r="K83" s="103"/>
      <c r="L83" s="104"/>
      <c r="M83" s="105"/>
      <c r="N83" s="103">
        <v>0</v>
      </c>
      <c r="O83" s="106"/>
      <c r="P83" s="103">
        <v>0</v>
      </c>
      <c r="Q83" s="107">
        <f t="shared" si="1"/>
        <v>0</v>
      </c>
      <c r="R83" s="107"/>
      <c r="S83" s="107"/>
      <c r="T83" s="108"/>
      <c r="U83" s="119"/>
      <c r="V83" s="110" t="str">
        <f t="shared" si="2"/>
        <v/>
      </c>
      <c r="W83" s="103"/>
      <c r="X83" s="112">
        <f t="shared" si="3"/>
        <v>0</v>
      </c>
      <c r="Y83" s="112">
        <f t="shared" si="4"/>
        <v>0</v>
      </c>
      <c r="Z83" s="113">
        <f t="shared" si="5"/>
        <v>0</v>
      </c>
      <c r="AA83" s="113">
        <v>0</v>
      </c>
      <c r="AB83" s="114">
        <v>0</v>
      </c>
      <c r="AC83" s="11">
        <f t="shared" si="6"/>
        <v>0</v>
      </c>
      <c r="AD83" s="115">
        <f t="shared" si="7"/>
        <v>0</v>
      </c>
      <c r="AE83" s="115">
        <f t="shared" si="8"/>
        <v>0</v>
      </c>
      <c r="AF83" s="115">
        <f t="shared" si="9"/>
        <v>0</v>
      </c>
      <c r="AG83" s="11"/>
      <c r="AH83" s="115">
        <f t="shared" si="10"/>
        <v>0</v>
      </c>
      <c r="AI83" s="115">
        <f t="shared" si="11"/>
        <v>0</v>
      </c>
      <c r="AJ83" s="115">
        <f t="shared" si="12"/>
        <v>0</v>
      </c>
      <c r="AL83" s="11">
        <f t="shared" si="13"/>
        <v>0</v>
      </c>
      <c r="AM83" s="97" t="s">
        <v>141</v>
      </c>
    </row>
    <row r="84" spans="1:39" s="124" customFormat="1">
      <c r="A84" s="123"/>
      <c r="B84" s="123" t="s">
        <v>46</v>
      </c>
      <c r="C84" s="122" t="s">
        <v>140</v>
      </c>
      <c r="D84" s="97" t="s">
        <v>142</v>
      </c>
      <c r="E84" s="98"/>
      <c r="F84" s="99">
        <f>VLOOKUP(D84,'Feb14 Revenue'!D:V,19,FALSE)</f>
        <v>0</v>
      </c>
      <c r="G84" s="100"/>
      <c r="H84" s="100"/>
      <c r="I84" s="101"/>
      <c r="J84" s="102">
        <f t="shared" si="0"/>
        <v>0</v>
      </c>
      <c r="K84" s="103"/>
      <c r="L84" s="104"/>
      <c r="M84" s="105"/>
      <c r="N84" s="103">
        <v>0</v>
      </c>
      <c r="O84" s="106"/>
      <c r="P84" s="103">
        <v>0</v>
      </c>
      <c r="Q84" s="107">
        <f t="shared" si="1"/>
        <v>0</v>
      </c>
      <c r="R84" s="107"/>
      <c r="S84" s="107"/>
      <c r="T84" s="108"/>
      <c r="U84" s="119"/>
      <c r="V84" s="110" t="str">
        <f t="shared" si="2"/>
        <v/>
      </c>
      <c r="W84" s="103"/>
      <c r="X84" s="112">
        <f t="shared" si="3"/>
        <v>0</v>
      </c>
      <c r="Y84" s="112">
        <f t="shared" si="4"/>
        <v>0</v>
      </c>
      <c r="Z84" s="113">
        <f t="shared" si="5"/>
        <v>0</v>
      </c>
      <c r="AA84" s="113">
        <v>0</v>
      </c>
      <c r="AB84" s="114">
        <v>0</v>
      </c>
      <c r="AC84" s="11">
        <f t="shared" si="6"/>
        <v>0</v>
      </c>
      <c r="AD84" s="115">
        <f t="shared" si="7"/>
        <v>0</v>
      </c>
      <c r="AE84" s="115">
        <f t="shared" si="8"/>
        <v>0</v>
      </c>
      <c r="AF84" s="115">
        <f t="shared" si="9"/>
        <v>0</v>
      </c>
      <c r="AG84" s="11"/>
      <c r="AH84" s="115">
        <f t="shared" si="10"/>
        <v>0</v>
      </c>
      <c r="AI84" s="115">
        <f t="shared" si="11"/>
        <v>0</v>
      </c>
      <c r="AJ84" s="115">
        <f t="shared" si="12"/>
        <v>0</v>
      </c>
      <c r="AL84" s="11">
        <f t="shared" si="13"/>
        <v>0</v>
      </c>
      <c r="AM84" s="97" t="s">
        <v>142</v>
      </c>
    </row>
    <row r="85" spans="1:39" s="124" customFormat="1">
      <c r="A85" s="123"/>
      <c r="B85" s="123" t="s">
        <v>46</v>
      </c>
      <c r="C85" s="122" t="s">
        <v>140</v>
      </c>
      <c r="D85" s="97" t="s">
        <v>143</v>
      </c>
      <c r="E85" s="98"/>
      <c r="F85" s="99">
        <f>VLOOKUP(D85,'Feb14 Revenue'!D:V,19,FALSE)</f>
        <v>0</v>
      </c>
      <c r="G85" s="100"/>
      <c r="H85" s="100"/>
      <c r="I85" s="101"/>
      <c r="J85" s="102">
        <f t="shared" si="0"/>
        <v>0</v>
      </c>
      <c r="K85" s="103"/>
      <c r="L85" s="104"/>
      <c r="M85" s="105"/>
      <c r="N85" s="103">
        <v>0</v>
      </c>
      <c r="O85" s="106"/>
      <c r="P85" s="103">
        <v>0</v>
      </c>
      <c r="Q85" s="107">
        <f t="shared" si="1"/>
        <v>0</v>
      </c>
      <c r="R85" s="107"/>
      <c r="S85" s="107"/>
      <c r="T85" s="108"/>
      <c r="U85" s="119"/>
      <c r="V85" s="110" t="str">
        <f t="shared" si="2"/>
        <v/>
      </c>
      <c r="W85" s="103"/>
      <c r="X85" s="112">
        <f t="shared" si="3"/>
        <v>0</v>
      </c>
      <c r="Y85" s="112">
        <f t="shared" si="4"/>
        <v>0</v>
      </c>
      <c r="Z85" s="113">
        <f t="shared" si="5"/>
        <v>0</v>
      </c>
      <c r="AA85" s="113">
        <v>0</v>
      </c>
      <c r="AB85" s="114">
        <v>0</v>
      </c>
      <c r="AC85" s="11">
        <f t="shared" si="6"/>
        <v>0</v>
      </c>
      <c r="AD85" s="115">
        <f t="shared" si="7"/>
        <v>0</v>
      </c>
      <c r="AE85" s="115">
        <f t="shared" si="8"/>
        <v>0</v>
      </c>
      <c r="AF85" s="115">
        <f t="shared" si="9"/>
        <v>0</v>
      </c>
      <c r="AG85" s="11"/>
      <c r="AH85" s="115">
        <f t="shared" si="10"/>
        <v>0</v>
      </c>
      <c r="AI85" s="115">
        <f t="shared" si="11"/>
        <v>0</v>
      </c>
      <c r="AJ85" s="115">
        <f t="shared" si="12"/>
        <v>0</v>
      </c>
      <c r="AL85" s="11">
        <f t="shared" si="13"/>
        <v>0</v>
      </c>
      <c r="AM85" s="97" t="s">
        <v>143</v>
      </c>
    </row>
    <row r="86" spans="1:39">
      <c r="A86" s="116"/>
      <c r="B86" s="116" t="s">
        <v>49</v>
      </c>
      <c r="C86" s="122" t="s">
        <v>144</v>
      </c>
      <c r="D86" s="121" t="s">
        <v>145</v>
      </c>
      <c r="E86" s="98"/>
      <c r="F86" s="99">
        <f>VLOOKUP(D86,'Feb14 Revenue'!D:V,19,FALSE)</f>
        <v>0</v>
      </c>
      <c r="G86" s="100"/>
      <c r="H86" s="100"/>
      <c r="I86" s="101"/>
      <c r="J86" s="102">
        <f t="shared" si="0"/>
        <v>0</v>
      </c>
      <c r="K86" s="103"/>
      <c r="L86" s="104"/>
      <c r="M86" s="105"/>
      <c r="N86" s="103">
        <v>0</v>
      </c>
      <c r="O86" s="106"/>
      <c r="P86" s="103">
        <v>0</v>
      </c>
      <c r="Q86" s="107">
        <f t="shared" si="1"/>
        <v>0</v>
      </c>
      <c r="R86" s="107"/>
      <c r="S86" s="107"/>
      <c r="T86" s="108"/>
      <c r="U86" s="119"/>
      <c r="V86" s="110" t="str">
        <f t="shared" si="2"/>
        <v/>
      </c>
      <c r="W86" s="103"/>
      <c r="X86" s="112">
        <f t="shared" si="3"/>
        <v>0</v>
      </c>
      <c r="Y86" s="112">
        <f t="shared" si="4"/>
        <v>0</v>
      </c>
      <c r="Z86" s="113">
        <f t="shared" si="5"/>
        <v>0</v>
      </c>
      <c r="AA86" s="113">
        <v>0</v>
      </c>
      <c r="AB86" s="114">
        <v>0</v>
      </c>
      <c r="AC86" s="11">
        <f t="shared" si="6"/>
        <v>0</v>
      </c>
      <c r="AD86" s="115">
        <f t="shared" si="7"/>
        <v>0</v>
      </c>
      <c r="AE86" s="115">
        <f t="shared" si="8"/>
        <v>0</v>
      </c>
      <c r="AF86" s="115">
        <f t="shared" si="9"/>
        <v>0</v>
      </c>
      <c r="AG86" s="11"/>
      <c r="AH86" s="115">
        <f t="shared" si="10"/>
        <v>0</v>
      </c>
      <c r="AI86" s="115">
        <f t="shared" si="11"/>
        <v>0</v>
      </c>
      <c r="AJ86" s="115">
        <f t="shared" si="12"/>
        <v>0</v>
      </c>
      <c r="AL86" s="11">
        <f t="shared" si="13"/>
        <v>0</v>
      </c>
      <c r="AM86" s="121" t="s">
        <v>145</v>
      </c>
    </row>
    <row r="87" spans="1:39">
      <c r="A87" s="116"/>
      <c r="B87" s="116" t="s">
        <v>49</v>
      </c>
      <c r="C87" s="122" t="s">
        <v>144</v>
      </c>
      <c r="D87" s="121" t="s">
        <v>146</v>
      </c>
      <c r="E87" s="98"/>
      <c r="F87" s="99">
        <f>VLOOKUP(D87,'Feb14 Revenue'!D:V,19,FALSE)</f>
        <v>0</v>
      </c>
      <c r="G87" s="100"/>
      <c r="H87" s="100"/>
      <c r="I87" s="101"/>
      <c r="J87" s="102">
        <f t="shared" ref="J87:J155" si="14">SUM(E87:I87)</f>
        <v>0</v>
      </c>
      <c r="K87" s="103"/>
      <c r="L87" s="104"/>
      <c r="M87" s="105"/>
      <c r="N87" s="103">
        <v>0</v>
      </c>
      <c r="O87" s="106"/>
      <c r="P87" s="103">
        <v>0</v>
      </c>
      <c r="Q87" s="107">
        <f t="shared" si="1"/>
        <v>0</v>
      </c>
      <c r="R87" s="107"/>
      <c r="S87" s="107"/>
      <c r="T87" s="108"/>
      <c r="U87" s="119"/>
      <c r="V87" s="110" t="str">
        <f t="shared" si="2"/>
        <v/>
      </c>
      <c r="W87" s="103"/>
      <c r="X87" s="112">
        <f t="shared" si="3"/>
        <v>0</v>
      </c>
      <c r="Y87" s="112">
        <f t="shared" si="4"/>
        <v>0</v>
      </c>
      <c r="Z87" s="113">
        <f t="shared" si="5"/>
        <v>0</v>
      </c>
      <c r="AA87" s="113">
        <v>0</v>
      </c>
      <c r="AB87" s="114">
        <v>0</v>
      </c>
      <c r="AC87" s="11">
        <f t="shared" si="6"/>
        <v>0</v>
      </c>
      <c r="AD87" s="115">
        <f t="shared" ref="AD87:AD155" si="15">IF(B87="D",J87,0)</f>
        <v>0</v>
      </c>
      <c r="AE87" s="115">
        <f t="shared" ref="AE87:AE155" si="16">IF(B87="M",J87,0)</f>
        <v>0</v>
      </c>
      <c r="AF87" s="115">
        <f t="shared" ref="AF87:AF155" si="17">IF(B87="V",J87,0)</f>
        <v>0</v>
      </c>
      <c r="AG87" s="11"/>
      <c r="AH87" s="115">
        <f t="shared" si="10"/>
        <v>0</v>
      </c>
      <c r="AI87" s="115">
        <f t="shared" si="11"/>
        <v>0</v>
      </c>
      <c r="AJ87" s="115">
        <f t="shared" si="12"/>
        <v>0</v>
      </c>
      <c r="AL87" s="11">
        <f t="shared" si="13"/>
        <v>0</v>
      </c>
      <c r="AM87" s="121" t="s">
        <v>146</v>
      </c>
    </row>
    <row r="88" spans="1:39">
      <c r="A88" s="116"/>
      <c r="B88" s="116" t="s">
        <v>49</v>
      </c>
      <c r="C88" s="122" t="s">
        <v>147</v>
      </c>
      <c r="D88" s="120" t="s">
        <v>148</v>
      </c>
      <c r="E88" s="98"/>
      <c r="F88" s="99">
        <f>VLOOKUP(D88,'Feb14 Revenue'!D:V,19,FALSE)</f>
        <v>-3001.55</v>
      </c>
      <c r="G88" s="100"/>
      <c r="H88" s="100"/>
      <c r="I88" s="101"/>
      <c r="J88" s="102">
        <f t="shared" si="14"/>
        <v>-3001.55</v>
      </c>
      <c r="K88" s="103"/>
      <c r="L88" s="104"/>
      <c r="M88" s="105"/>
      <c r="N88" s="103">
        <v>0</v>
      </c>
      <c r="O88" s="106"/>
      <c r="P88" s="103">
        <v>0</v>
      </c>
      <c r="Q88" s="107">
        <f t="shared" si="1"/>
        <v>0</v>
      </c>
      <c r="R88" s="107"/>
      <c r="S88" s="107"/>
      <c r="T88" s="108"/>
      <c r="U88" s="119"/>
      <c r="V88" s="110" t="str">
        <f t="shared" ref="V88:V157" si="18">IF(T88="","",T88-Q88)</f>
        <v/>
      </c>
      <c r="W88" s="103"/>
      <c r="X88" s="112">
        <f t="shared" ref="X88:X157" si="19">IF(B88="D",Q88,0)</f>
        <v>0</v>
      </c>
      <c r="Y88" s="112">
        <f t="shared" ref="Y88:Y157" si="20">IF(B88="M",Q88,0)</f>
        <v>0</v>
      </c>
      <c r="Z88" s="113">
        <f t="shared" ref="Z88:Z157" si="21">IF(B88="V",Q88,0)</f>
        <v>0</v>
      </c>
      <c r="AA88" s="113">
        <v>0</v>
      </c>
      <c r="AB88" s="114">
        <v>0</v>
      </c>
      <c r="AC88" s="11">
        <f t="shared" ref="AC88:AC157" si="22">(L88+M88)-(X88+Y88+Z88+AA88+AB88)</f>
        <v>0</v>
      </c>
      <c r="AD88" s="115">
        <f t="shared" si="15"/>
        <v>-3001.55</v>
      </c>
      <c r="AE88" s="115">
        <f t="shared" si="16"/>
        <v>0</v>
      </c>
      <c r="AF88" s="115">
        <f t="shared" si="17"/>
        <v>0</v>
      </c>
      <c r="AG88" s="11"/>
      <c r="AH88" s="115">
        <f t="shared" ref="AH88:AH156" si="23">IF(B88="D",Q88,0)</f>
        <v>0</v>
      </c>
      <c r="AI88" s="115">
        <f t="shared" ref="AI88:AI156" si="24">IF(B88="M",Q88,0)</f>
        <v>0</v>
      </c>
      <c r="AJ88" s="115">
        <f t="shared" ref="AJ88:AJ156" si="25">IF(B88="V",Q88,0)</f>
        <v>0</v>
      </c>
      <c r="AL88" s="11">
        <f t="shared" si="13"/>
        <v>-3001.55</v>
      </c>
      <c r="AM88" s="120" t="s">
        <v>148</v>
      </c>
    </row>
    <row r="89" spans="1:39">
      <c r="A89" s="116"/>
      <c r="B89" s="116" t="s">
        <v>49</v>
      </c>
      <c r="C89" s="122" t="s">
        <v>149</v>
      </c>
      <c r="D89" s="120" t="s">
        <v>150</v>
      </c>
      <c r="E89" s="98"/>
      <c r="F89" s="99">
        <f>VLOOKUP(D89,'Feb14 Revenue'!D:V,19,FALSE)</f>
        <v>0</v>
      </c>
      <c r="G89" s="100"/>
      <c r="H89" s="100"/>
      <c r="I89" s="101"/>
      <c r="J89" s="102">
        <f t="shared" si="14"/>
        <v>0</v>
      </c>
      <c r="K89" s="103"/>
      <c r="L89" s="104"/>
      <c r="M89" s="105"/>
      <c r="N89" s="103">
        <v>0</v>
      </c>
      <c r="O89" s="106"/>
      <c r="P89" s="103">
        <v>0</v>
      </c>
      <c r="Q89" s="107">
        <f t="shared" si="1"/>
        <v>0</v>
      </c>
      <c r="R89" s="107"/>
      <c r="S89" s="107"/>
      <c r="T89" s="108"/>
      <c r="U89" s="119"/>
      <c r="V89" s="110" t="str">
        <f t="shared" si="18"/>
        <v/>
      </c>
      <c r="W89" s="103"/>
      <c r="X89" s="112">
        <f t="shared" si="19"/>
        <v>0</v>
      </c>
      <c r="Y89" s="112">
        <f t="shared" si="20"/>
        <v>0</v>
      </c>
      <c r="Z89" s="113">
        <f t="shared" si="21"/>
        <v>0</v>
      </c>
      <c r="AA89" s="113">
        <v>0</v>
      </c>
      <c r="AB89" s="114">
        <v>0</v>
      </c>
      <c r="AC89" s="11">
        <f t="shared" si="22"/>
        <v>0</v>
      </c>
      <c r="AD89" s="115">
        <f t="shared" si="15"/>
        <v>0</v>
      </c>
      <c r="AE89" s="115">
        <f t="shared" si="16"/>
        <v>0</v>
      </c>
      <c r="AF89" s="115">
        <f t="shared" si="17"/>
        <v>0</v>
      </c>
      <c r="AG89" s="11"/>
      <c r="AH89" s="115">
        <f t="shared" si="23"/>
        <v>0</v>
      </c>
      <c r="AI89" s="115">
        <f t="shared" si="24"/>
        <v>0</v>
      </c>
      <c r="AJ89" s="115">
        <f t="shared" si="25"/>
        <v>0</v>
      </c>
      <c r="AL89" s="11">
        <f t="shared" ref="AL89:AL155" si="26">SUM(AD89:AJ89)</f>
        <v>0</v>
      </c>
      <c r="AM89" s="120" t="s">
        <v>150</v>
      </c>
    </row>
    <row r="90" spans="1:39">
      <c r="A90" s="116"/>
      <c r="B90" s="116" t="s">
        <v>49</v>
      </c>
      <c r="C90" s="122" t="s">
        <v>149</v>
      </c>
      <c r="D90" s="120" t="s">
        <v>151</v>
      </c>
      <c r="E90" s="98"/>
      <c r="F90" s="99">
        <f>VLOOKUP(D90,'Feb14 Revenue'!D:V,19,FALSE)</f>
        <v>0</v>
      </c>
      <c r="G90" s="100"/>
      <c r="H90" s="100"/>
      <c r="I90" s="101"/>
      <c r="J90" s="102">
        <f t="shared" si="14"/>
        <v>0</v>
      </c>
      <c r="K90" s="103"/>
      <c r="L90" s="104"/>
      <c r="M90" s="105"/>
      <c r="N90" s="103">
        <v>0</v>
      </c>
      <c r="O90" s="106"/>
      <c r="P90" s="103">
        <v>0</v>
      </c>
      <c r="Q90" s="107">
        <f t="shared" si="1"/>
        <v>0</v>
      </c>
      <c r="R90" s="107"/>
      <c r="S90" s="107"/>
      <c r="T90" s="108"/>
      <c r="U90" s="119"/>
      <c r="V90" s="110" t="str">
        <f t="shared" si="18"/>
        <v/>
      </c>
      <c r="W90" s="103"/>
      <c r="X90" s="112">
        <f t="shared" si="19"/>
        <v>0</v>
      </c>
      <c r="Y90" s="112">
        <f t="shared" si="20"/>
        <v>0</v>
      </c>
      <c r="Z90" s="113">
        <f t="shared" si="21"/>
        <v>0</v>
      </c>
      <c r="AA90" s="113">
        <v>0</v>
      </c>
      <c r="AB90" s="114">
        <v>0</v>
      </c>
      <c r="AC90" s="11">
        <f t="shared" si="22"/>
        <v>0</v>
      </c>
      <c r="AD90" s="115">
        <f t="shared" si="15"/>
        <v>0</v>
      </c>
      <c r="AE90" s="115">
        <f t="shared" si="16"/>
        <v>0</v>
      </c>
      <c r="AF90" s="115">
        <f t="shared" si="17"/>
        <v>0</v>
      </c>
      <c r="AG90" s="11"/>
      <c r="AH90" s="115">
        <f t="shared" si="23"/>
        <v>0</v>
      </c>
      <c r="AI90" s="115">
        <f t="shared" si="24"/>
        <v>0</v>
      </c>
      <c r="AJ90" s="115">
        <f t="shared" si="25"/>
        <v>0</v>
      </c>
      <c r="AL90" s="11">
        <f t="shared" si="26"/>
        <v>0</v>
      </c>
      <c r="AM90" s="120" t="s">
        <v>151</v>
      </c>
    </row>
    <row r="91" spans="1:39">
      <c r="A91" s="116"/>
      <c r="B91" s="116" t="s">
        <v>49</v>
      </c>
      <c r="C91" s="122" t="s">
        <v>149</v>
      </c>
      <c r="D91" s="120" t="s">
        <v>152</v>
      </c>
      <c r="E91" s="98"/>
      <c r="F91" s="99">
        <f>VLOOKUP(D91,'Feb14 Revenue'!D:V,19,FALSE)</f>
        <v>0</v>
      </c>
      <c r="G91" s="100"/>
      <c r="H91" s="100"/>
      <c r="I91" s="101"/>
      <c r="J91" s="102">
        <f t="shared" si="14"/>
        <v>0</v>
      </c>
      <c r="K91" s="103"/>
      <c r="L91" s="104"/>
      <c r="M91" s="105"/>
      <c r="N91" s="103">
        <v>0</v>
      </c>
      <c r="O91" s="106"/>
      <c r="P91" s="103">
        <v>0</v>
      </c>
      <c r="Q91" s="107">
        <f t="shared" si="1"/>
        <v>0</v>
      </c>
      <c r="R91" s="107"/>
      <c r="S91" s="107"/>
      <c r="T91" s="108"/>
      <c r="U91" s="119"/>
      <c r="V91" s="110" t="str">
        <f t="shared" si="18"/>
        <v/>
      </c>
      <c r="W91" s="103"/>
      <c r="X91" s="112">
        <f t="shared" si="19"/>
        <v>0</v>
      </c>
      <c r="Y91" s="112">
        <f t="shared" si="20"/>
        <v>0</v>
      </c>
      <c r="Z91" s="113">
        <f t="shared" si="21"/>
        <v>0</v>
      </c>
      <c r="AA91" s="113">
        <v>0</v>
      </c>
      <c r="AB91" s="114">
        <v>0</v>
      </c>
      <c r="AC91" s="11">
        <f t="shared" si="22"/>
        <v>0</v>
      </c>
      <c r="AD91" s="115">
        <f t="shared" si="15"/>
        <v>0</v>
      </c>
      <c r="AE91" s="115">
        <f t="shared" si="16"/>
        <v>0</v>
      </c>
      <c r="AF91" s="115">
        <f t="shared" si="17"/>
        <v>0</v>
      </c>
      <c r="AG91" s="11"/>
      <c r="AH91" s="115">
        <f t="shared" si="23"/>
        <v>0</v>
      </c>
      <c r="AI91" s="115">
        <f t="shared" si="24"/>
        <v>0</v>
      </c>
      <c r="AJ91" s="115">
        <f t="shared" si="25"/>
        <v>0</v>
      </c>
      <c r="AL91" s="11">
        <f t="shared" si="26"/>
        <v>0</v>
      </c>
      <c r="AM91" s="120" t="s">
        <v>152</v>
      </c>
    </row>
    <row r="92" spans="1:39">
      <c r="A92" s="129"/>
      <c r="B92" s="129" t="s">
        <v>49</v>
      </c>
      <c r="C92" s="96"/>
      <c r="D92" s="120" t="s">
        <v>153</v>
      </c>
      <c r="E92" s="98"/>
      <c r="F92" s="99">
        <f>VLOOKUP(D92,'Feb14 Revenue'!D:V,19,FALSE)</f>
        <v>0</v>
      </c>
      <c r="G92" s="100"/>
      <c r="H92" s="100"/>
      <c r="I92" s="101"/>
      <c r="J92" s="102">
        <f t="shared" si="14"/>
        <v>0</v>
      </c>
      <c r="K92" s="103"/>
      <c r="L92" s="104"/>
      <c r="M92" s="105"/>
      <c r="N92" s="103">
        <v>0</v>
      </c>
      <c r="O92" s="106"/>
      <c r="P92" s="103">
        <v>0</v>
      </c>
      <c r="Q92" s="107">
        <f t="shared" si="1"/>
        <v>0</v>
      </c>
      <c r="R92" s="107"/>
      <c r="S92" s="107"/>
      <c r="T92" s="108"/>
      <c r="U92" s="119"/>
      <c r="V92" s="110" t="str">
        <f t="shared" si="18"/>
        <v/>
      </c>
      <c r="W92" s="103"/>
      <c r="X92" s="112">
        <f t="shared" si="19"/>
        <v>0</v>
      </c>
      <c r="Y92" s="112">
        <f t="shared" si="20"/>
        <v>0</v>
      </c>
      <c r="Z92" s="113">
        <f t="shared" si="21"/>
        <v>0</v>
      </c>
      <c r="AA92" s="113">
        <v>0</v>
      </c>
      <c r="AB92" s="114">
        <v>0</v>
      </c>
      <c r="AC92" s="11">
        <f t="shared" si="22"/>
        <v>0</v>
      </c>
      <c r="AD92" s="115">
        <f t="shared" si="15"/>
        <v>0</v>
      </c>
      <c r="AE92" s="115">
        <f t="shared" si="16"/>
        <v>0</v>
      </c>
      <c r="AF92" s="115">
        <f t="shared" si="17"/>
        <v>0</v>
      </c>
      <c r="AG92" s="11"/>
      <c r="AH92" s="115">
        <f t="shared" si="23"/>
        <v>0</v>
      </c>
      <c r="AI92" s="115">
        <f t="shared" si="24"/>
        <v>0</v>
      </c>
      <c r="AJ92" s="115">
        <f t="shared" si="25"/>
        <v>0</v>
      </c>
      <c r="AL92" s="11">
        <f t="shared" si="26"/>
        <v>0</v>
      </c>
      <c r="AM92" s="120" t="s">
        <v>122</v>
      </c>
    </row>
    <row r="93" spans="1:39">
      <c r="A93" s="116" t="s">
        <v>154</v>
      </c>
      <c r="B93" s="116" t="s">
        <v>81</v>
      </c>
      <c r="C93" s="122"/>
      <c r="D93" s="120" t="s">
        <v>155</v>
      </c>
      <c r="E93" s="98"/>
      <c r="F93" s="99">
        <f>VLOOKUP(D93,'Feb14 Revenue'!D:V,19,FALSE)</f>
        <v>2979.1899999999987</v>
      </c>
      <c r="G93" s="100"/>
      <c r="H93" s="100"/>
      <c r="I93" s="101"/>
      <c r="J93" s="102">
        <f t="shared" si="14"/>
        <v>2979.1899999999987</v>
      </c>
      <c r="K93" s="103"/>
      <c r="L93" s="104"/>
      <c r="M93" s="105">
        <v>25000</v>
      </c>
      <c r="N93" s="103">
        <v>0</v>
      </c>
      <c r="O93" s="106"/>
      <c r="P93" s="103">
        <v>0</v>
      </c>
      <c r="Q93" s="107">
        <f t="shared" si="1"/>
        <v>25000</v>
      </c>
      <c r="R93" s="107"/>
      <c r="S93" s="107"/>
      <c r="T93" s="108"/>
      <c r="U93" s="119"/>
      <c r="V93" s="110" t="str">
        <f t="shared" si="18"/>
        <v/>
      </c>
      <c r="W93" s="103"/>
      <c r="X93" s="112">
        <f t="shared" si="19"/>
        <v>0</v>
      </c>
      <c r="Y93" s="112">
        <f t="shared" si="20"/>
        <v>0</v>
      </c>
      <c r="Z93" s="113">
        <f t="shared" si="21"/>
        <v>25000</v>
      </c>
      <c r="AA93" s="113">
        <v>0</v>
      </c>
      <c r="AB93" s="114">
        <v>0</v>
      </c>
      <c r="AC93" s="11">
        <f t="shared" si="22"/>
        <v>0</v>
      </c>
      <c r="AD93" s="115">
        <f t="shared" si="15"/>
        <v>0</v>
      </c>
      <c r="AE93" s="115">
        <f t="shared" si="16"/>
        <v>0</v>
      </c>
      <c r="AF93" s="115">
        <f t="shared" si="17"/>
        <v>2979.1899999999987</v>
      </c>
      <c r="AG93" s="11"/>
      <c r="AH93" s="115">
        <f t="shared" si="23"/>
        <v>0</v>
      </c>
      <c r="AI93" s="115">
        <f t="shared" si="24"/>
        <v>0</v>
      </c>
      <c r="AJ93" s="115">
        <f t="shared" si="25"/>
        <v>25000</v>
      </c>
      <c r="AL93" s="11">
        <f t="shared" si="26"/>
        <v>27979.19</v>
      </c>
      <c r="AM93" s="120" t="s">
        <v>155</v>
      </c>
    </row>
    <row r="94" spans="1:39" hidden="1">
      <c r="A94" s="116" t="s">
        <v>154</v>
      </c>
      <c r="B94" s="116" t="s">
        <v>81</v>
      </c>
      <c r="C94" s="122"/>
      <c r="D94" s="120" t="s">
        <v>156</v>
      </c>
      <c r="E94" s="98"/>
      <c r="F94" s="99">
        <f>VLOOKUP(D94,'Feb14 Revenue'!D:V,19,FALSE)</f>
        <v>0</v>
      </c>
      <c r="G94" s="100"/>
      <c r="H94" s="100"/>
      <c r="I94" s="101"/>
      <c r="J94" s="102">
        <f t="shared" si="14"/>
        <v>0</v>
      </c>
      <c r="K94" s="103"/>
      <c r="L94" s="104"/>
      <c r="M94" s="105"/>
      <c r="N94" s="103"/>
      <c r="O94" s="106"/>
      <c r="P94" s="103"/>
      <c r="Q94" s="107">
        <f t="shared" si="1"/>
        <v>0</v>
      </c>
      <c r="R94" s="107"/>
      <c r="S94" s="107"/>
      <c r="T94" s="108"/>
      <c r="U94" s="119"/>
      <c r="V94" s="110" t="str">
        <f t="shared" si="18"/>
        <v/>
      </c>
      <c r="W94" s="103"/>
      <c r="X94" s="112">
        <f t="shared" si="19"/>
        <v>0</v>
      </c>
      <c r="Y94" s="112">
        <f t="shared" si="20"/>
        <v>0</v>
      </c>
      <c r="Z94" s="113">
        <f t="shared" si="21"/>
        <v>0</v>
      </c>
      <c r="AA94" s="113">
        <v>0</v>
      </c>
      <c r="AB94" s="114">
        <v>0</v>
      </c>
      <c r="AC94" s="11">
        <f t="shared" si="22"/>
        <v>0</v>
      </c>
      <c r="AD94" s="115">
        <f t="shared" si="15"/>
        <v>0</v>
      </c>
      <c r="AE94" s="115">
        <f t="shared" si="16"/>
        <v>0</v>
      </c>
      <c r="AF94" s="115">
        <f t="shared" si="17"/>
        <v>0</v>
      </c>
      <c r="AG94" s="11"/>
      <c r="AH94" s="115">
        <f t="shared" si="23"/>
        <v>0</v>
      </c>
      <c r="AI94" s="115">
        <f t="shared" si="24"/>
        <v>0</v>
      </c>
      <c r="AJ94" s="115">
        <f t="shared" si="25"/>
        <v>0</v>
      </c>
      <c r="AL94" s="11">
        <f t="shared" si="26"/>
        <v>0</v>
      </c>
      <c r="AM94" s="120" t="s">
        <v>156</v>
      </c>
    </row>
    <row r="95" spans="1:39" hidden="1">
      <c r="A95" s="116" t="s">
        <v>46</v>
      </c>
      <c r="B95" s="116" t="s">
        <v>46</v>
      </c>
      <c r="C95" s="122" t="s">
        <v>157</v>
      </c>
      <c r="D95" s="120" t="s">
        <v>158</v>
      </c>
      <c r="E95" s="98"/>
      <c r="F95" s="99">
        <f>VLOOKUP(D95,'Feb14 Revenue'!D:V,19,FALSE)</f>
        <v>0</v>
      </c>
      <c r="G95" s="100"/>
      <c r="H95" s="100"/>
      <c r="I95" s="101"/>
      <c r="J95" s="102">
        <f t="shared" si="14"/>
        <v>0</v>
      </c>
      <c r="K95" s="103"/>
      <c r="L95" s="104"/>
      <c r="M95" s="105"/>
      <c r="N95" s="103">
        <v>0</v>
      </c>
      <c r="O95" s="106"/>
      <c r="P95" s="103">
        <v>0</v>
      </c>
      <c r="Q95" s="107">
        <f t="shared" si="1"/>
        <v>0</v>
      </c>
      <c r="R95" s="107"/>
      <c r="S95" s="107"/>
      <c r="T95" s="108"/>
      <c r="U95" s="119"/>
      <c r="V95" s="110" t="str">
        <f t="shared" si="18"/>
        <v/>
      </c>
      <c r="W95" s="103"/>
      <c r="X95" s="112">
        <f t="shared" si="19"/>
        <v>0</v>
      </c>
      <c r="Y95" s="112">
        <f t="shared" si="20"/>
        <v>0</v>
      </c>
      <c r="Z95" s="113">
        <f t="shared" si="21"/>
        <v>0</v>
      </c>
      <c r="AA95" s="113">
        <v>0</v>
      </c>
      <c r="AB95" s="114">
        <v>0</v>
      </c>
      <c r="AC95" s="11">
        <f t="shared" si="22"/>
        <v>0</v>
      </c>
      <c r="AD95" s="115">
        <f t="shared" si="15"/>
        <v>0</v>
      </c>
      <c r="AE95" s="115">
        <f t="shared" si="16"/>
        <v>0</v>
      </c>
      <c r="AF95" s="115">
        <f t="shared" si="17"/>
        <v>0</v>
      </c>
      <c r="AG95" s="11"/>
      <c r="AH95" s="115">
        <f t="shared" si="23"/>
        <v>0</v>
      </c>
      <c r="AI95" s="115">
        <f t="shared" si="24"/>
        <v>0</v>
      </c>
      <c r="AJ95" s="115">
        <f t="shared" si="25"/>
        <v>0</v>
      </c>
      <c r="AL95" s="11">
        <f t="shared" si="26"/>
        <v>0</v>
      </c>
      <c r="AM95" s="120" t="s">
        <v>158</v>
      </c>
    </row>
    <row r="96" spans="1:39" hidden="1">
      <c r="A96" s="129" t="s">
        <v>60</v>
      </c>
      <c r="B96" s="129" t="s">
        <v>46</v>
      </c>
      <c r="C96" s="96" t="s">
        <v>159</v>
      </c>
      <c r="D96" s="120" t="s">
        <v>160</v>
      </c>
      <c r="E96" s="98"/>
      <c r="F96" s="99">
        <f>VLOOKUP(D96,'Feb14 Revenue'!D:V,19,FALSE)</f>
        <v>0</v>
      </c>
      <c r="G96" s="100"/>
      <c r="H96" s="100"/>
      <c r="I96" s="101"/>
      <c r="J96" s="102">
        <f t="shared" si="14"/>
        <v>0</v>
      </c>
      <c r="K96" s="103"/>
      <c r="L96" s="104"/>
      <c r="M96" s="105"/>
      <c r="N96" s="103">
        <v>0</v>
      </c>
      <c r="O96" s="106"/>
      <c r="P96" s="103">
        <v>0</v>
      </c>
      <c r="Q96" s="107">
        <f t="shared" si="1"/>
        <v>0</v>
      </c>
      <c r="R96" s="107"/>
      <c r="S96" s="107"/>
      <c r="T96" s="108"/>
      <c r="U96" s="119"/>
      <c r="V96" s="110" t="str">
        <f t="shared" si="18"/>
        <v/>
      </c>
      <c r="W96" s="103"/>
      <c r="X96" s="112">
        <f t="shared" si="19"/>
        <v>0</v>
      </c>
      <c r="Y96" s="112">
        <f t="shared" si="20"/>
        <v>0</v>
      </c>
      <c r="Z96" s="113">
        <f t="shared" si="21"/>
        <v>0</v>
      </c>
      <c r="AA96" s="113">
        <v>0</v>
      </c>
      <c r="AB96" s="114">
        <v>0</v>
      </c>
      <c r="AC96" s="11">
        <f t="shared" si="22"/>
        <v>0</v>
      </c>
      <c r="AD96" s="115">
        <f t="shared" si="15"/>
        <v>0</v>
      </c>
      <c r="AE96" s="115">
        <f t="shared" si="16"/>
        <v>0</v>
      </c>
      <c r="AF96" s="115">
        <f t="shared" si="17"/>
        <v>0</v>
      </c>
      <c r="AG96" s="11"/>
      <c r="AH96" s="115">
        <f t="shared" si="23"/>
        <v>0</v>
      </c>
      <c r="AI96" s="115">
        <f t="shared" si="24"/>
        <v>0</v>
      </c>
      <c r="AJ96" s="115">
        <f t="shared" si="25"/>
        <v>0</v>
      </c>
      <c r="AL96" s="11">
        <f t="shared" si="26"/>
        <v>0</v>
      </c>
      <c r="AM96" s="120" t="s">
        <v>160</v>
      </c>
    </row>
    <row r="97" spans="1:39" hidden="1">
      <c r="A97" s="129" t="s">
        <v>60</v>
      </c>
      <c r="B97" s="129" t="s">
        <v>49</v>
      </c>
      <c r="C97" s="96"/>
      <c r="D97" s="120" t="s">
        <v>161</v>
      </c>
      <c r="E97" s="98"/>
      <c r="F97" s="99">
        <f>VLOOKUP(D97,'Feb14 Revenue'!D:V,19,FALSE)</f>
        <v>0</v>
      </c>
      <c r="G97" s="100"/>
      <c r="H97" s="100"/>
      <c r="I97" s="101"/>
      <c r="J97" s="102">
        <f t="shared" si="14"/>
        <v>0</v>
      </c>
      <c r="K97" s="103"/>
      <c r="L97" s="104"/>
      <c r="M97" s="105"/>
      <c r="N97" s="103">
        <v>0</v>
      </c>
      <c r="O97" s="106"/>
      <c r="P97" s="103">
        <v>0</v>
      </c>
      <c r="Q97" s="107">
        <f t="shared" si="1"/>
        <v>0</v>
      </c>
      <c r="R97" s="107"/>
      <c r="S97" s="107"/>
      <c r="T97" s="108"/>
      <c r="U97" s="119"/>
      <c r="V97" s="110" t="str">
        <f t="shared" si="18"/>
        <v/>
      </c>
      <c r="W97" s="103"/>
      <c r="X97" s="112">
        <f t="shared" si="19"/>
        <v>0</v>
      </c>
      <c r="Y97" s="112">
        <f t="shared" si="20"/>
        <v>0</v>
      </c>
      <c r="Z97" s="113">
        <f t="shared" si="21"/>
        <v>0</v>
      </c>
      <c r="AA97" s="113">
        <v>0</v>
      </c>
      <c r="AB97" s="114">
        <v>0</v>
      </c>
      <c r="AC97" s="11">
        <f t="shared" si="22"/>
        <v>0</v>
      </c>
      <c r="AD97" s="115">
        <f t="shared" si="15"/>
        <v>0</v>
      </c>
      <c r="AE97" s="115">
        <f t="shared" si="16"/>
        <v>0</v>
      </c>
      <c r="AF97" s="115">
        <f t="shared" si="17"/>
        <v>0</v>
      </c>
      <c r="AG97" s="11"/>
      <c r="AH97" s="115">
        <f t="shared" si="23"/>
        <v>0</v>
      </c>
      <c r="AI97" s="115">
        <f t="shared" si="24"/>
        <v>0</v>
      </c>
      <c r="AJ97" s="115">
        <f t="shared" si="25"/>
        <v>0</v>
      </c>
      <c r="AL97" s="11">
        <f t="shared" si="26"/>
        <v>0</v>
      </c>
      <c r="AM97" s="120" t="s">
        <v>161</v>
      </c>
    </row>
    <row r="98" spans="1:39">
      <c r="A98" s="116" t="s">
        <v>60</v>
      </c>
      <c r="B98" s="116" t="s">
        <v>46</v>
      </c>
      <c r="C98" s="122" t="s">
        <v>162</v>
      </c>
      <c r="D98" s="120" t="s">
        <v>163</v>
      </c>
      <c r="E98" s="98"/>
      <c r="F98" s="99">
        <f>VLOOKUP(D98,'Feb14 Revenue'!D:V,19,FALSE)</f>
        <v>0</v>
      </c>
      <c r="G98" s="100"/>
      <c r="H98" s="100"/>
      <c r="I98" s="101"/>
      <c r="J98" s="102">
        <f t="shared" si="14"/>
        <v>0</v>
      </c>
      <c r="K98" s="103"/>
      <c r="L98" s="104"/>
      <c r="M98" s="105"/>
      <c r="N98" s="103">
        <v>0</v>
      </c>
      <c r="O98" s="106"/>
      <c r="P98" s="103">
        <v>0</v>
      </c>
      <c r="Q98" s="107">
        <f t="shared" si="1"/>
        <v>0</v>
      </c>
      <c r="R98" s="107"/>
      <c r="S98" s="107"/>
      <c r="T98" s="108"/>
      <c r="U98" s="119"/>
      <c r="V98" s="110" t="str">
        <f t="shared" si="18"/>
        <v/>
      </c>
      <c r="W98" s="103"/>
      <c r="X98" s="112">
        <f t="shared" si="19"/>
        <v>0</v>
      </c>
      <c r="Y98" s="112">
        <f t="shared" si="20"/>
        <v>0</v>
      </c>
      <c r="Z98" s="113">
        <f t="shared" si="21"/>
        <v>0</v>
      </c>
      <c r="AA98" s="113">
        <v>0</v>
      </c>
      <c r="AB98" s="114">
        <v>0</v>
      </c>
      <c r="AC98" s="11">
        <f t="shared" si="22"/>
        <v>0</v>
      </c>
      <c r="AD98" s="115">
        <f t="shared" si="15"/>
        <v>0</v>
      </c>
      <c r="AE98" s="115">
        <f t="shared" si="16"/>
        <v>0</v>
      </c>
      <c r="AF98" s="115">
        <f t="shared" si="17"/>
        <v>0</v>
      </c>
      <c r="AG98" s="11"/>
      <c r="AH98" s="115">
        <f t="shared" si="23"/>
        <v>0</v>
      </c>
      <c r="AI98" s="115">
        <f t="shared" si="24"/>
        <v>0</v>
      </c>
      <c r="AJ98" s="115">
        <f t="shared" si="25"/>
        <v>0</v>
      </c>
      <c r="AL98" s="11">
        <f t="shared" si="26"/>
        <v>0</v>
      </c>
      <c r="AM98" s="120" t="s">
        <v>163</v>
      </c>
    </row>
    <row r="99" spans="1:39">
      <c r="A99" s="116" t="s">
        <v>60</v>
      </c>
      <c r="B99" s="116" t="s">
        <v>46</v>
      </c>
      <c r="C99" s="122" t="s">
        <v>162</v>
      </c>
      <c r="D99" s="120" t="s">
        <v>164</v>
      </c>
      <c r="E99" s="98"/>
      <c r="F99" s="99">
        <f>VLOOKUP(D99,'Feb14 Revenue'!D:V,19,FALSE)</f>
        <v>0</v>
      </c>
      <c r="G99" s="100"/>
      <c r="H99" s="100"/>
      <c r="I99" s="101"/>
      <c r="J99" s="102">
        <f t="shared" si="14"/>
        <v>0</v>
      </c>
      <c r="K99" s="103"/>
      <c r="L99" s="104"/>
      <c r="M99" s="105"/>
      <c r="N99" s="103">
        <v>0</v>
      </c>
      <c r="O99" s="106"/>
      <c r="P99" s="103">
        <v>0</v>
      </c>
      <c r="Q99" s="107">
        <f t="shared" si="1"/>
        <v>0</v>
      </c>
      <c r="R99" s="107"/>
      <c r="S99" s="107"/>
      <c r="T99" s="108"/>
      <c r="U99" s="119"/>
      <c r="V99" s="110" t="str">
        <f t="shared" si="18"/>
        <v/>
      </c>
      <c r="W99" s="103"/>
      <c r="X99" s="112">
        <f t="shared" si="19"/>
        <v>0</v>
      </c>
      <c r="Y99" s="112">
        <f t="shared" si="20"/>
        <v>0</v>
      </c>
      <c r="Z99" s="113">
        <f t="shared" si="21"/>
        <v>0</v>
      </c>
      <c r="AA99" s="113">
        <v>0</v>
      </c>
      <c r="AB99" s="114">
        <v>0</v>
      </c>
      <c r="AC99" s="11">
        <f t="shared" si="22"/>
        <v>0</v>
      </c>
      <c r="AD99" s="115">
        <f t="shared" si="15"/>
        <v>0</v>
      </c>
      <c r="AE99" s="115">
        <f t="shared" si="16"/>
        <v>0</v>
      </c>
      <c r="AF99" s="115">
        <f t="shared" si="17"/>
        <v>0</v>
      </c>
      <c r="AG99" s="11"/>
      <c r="AH99" s="115">
        <f t="shared" si="23"/>
        <v>0</v>
      </c>
      <c r="AI99" s="115">
        <f t="shared" si="24"/>
        <v>0</v>
      </c>
      <c r="AJ99" s="115">
        <f t="shared" si="25"/>
        <v>0</v>
      </c>
      <c r="AL99" s="11">
        <f t="shared" si="26"/>
        <v>0</v>
      </c>
      <c r="AM99" s="120" t="s">
        <v>164</v>
      </c>
    </row>
    <row r="100" spans="1:39">
      <c r="A100" s="116"/>
      <c r="B100" s="116" t="s">
        <v>46</v>
      </c>
      <c r="C100" s="122"/>
      <c r="D100" s="120" t="s">
        <v>165</v>
      </c>
      <c r="E100" s="98"/>
      <c r="F100" s="99">
        <f>VLOOKUP(D100,'Feb14 Revenue'!D:V,19,FALSE)</f>
        <v>0</v>
      </c>
      <c r="G100" s="100"/>
      <c r="H100" s="100"/>
      <c r="I100" s="101"/>
      <c r="J100" s="102">
        <f t="shared" si="14"/>
        <v>0</v>
      </c>
      <c r="K100" s="103"/>
      <c r="L100" s="104"/>
      <c r="M100" s="105"/>
      <c r="N100" s="103">
        <v>0</v>
      </c>
      <c r="O100" s="106"/>
      <c r="P100" s="103">
        <v>0</v>
      </c>
      <c r="Q100" s="107">
        <f t="shared" si="1"/>
        <v>0</v>
      </c>
      <c r="R100" s="107"/>
      <c r="S100" s="107"/>
      <c r="T100" s="108"/>
      <c r="U100" s="119"/>
      <c r="V100" s="110" t="str">
        <f t="shared" si="18"/>
        <v/>
      </c>
      <c r="W100" s="103"/>
      <c r="X100" s="112">
        <f t="shared" si="19"/>
        <v>0</v>
      </c>
      <c r="Y100" s="112">
        <f t="shared" si="20"/>
        <v>0</v>
      </c>
      <c r="Z100" s="113">
        <f t="shared" si="21"/>
        <v>0</v>
      </c>
      <c r="AA100" s="113">
        <v>0</v>
      </c>
      <c r="AB100" s="114">
        <v>0</v>
      </c>
      <c r="AC100" s="11">
        <f t="shared" si="22"/>
        <v>0</v>
      </c>
      <c r="AD100" s="115">
        <f t="shared" si="15"/>
        <v>0</v>
      </c>
      <c r="AE100" s="115">
        <f t="shared" si="16"/>
        <v>0</v>
      </c>
      <c r="AF100" s="115">
        <f t="shared" si="17"/>
        <v>0</v>
      </c>
      <c r="AG100" s="11"/>
      <c r="AH100" s="115">
        <f t="shared" si="23"/>
        <v>0</v>
      </c>
      <c r="AI100" s="115">
        <f t="shared" si="24"/>
        <v>0</v>
      </c>
      <c r="AJ100" s="115">
        <f t="shared" si="25"/>
        <v>0</v>
      </c>
      <c r="AL100" s="11">
        <f t="shared" si="26"/>
        <v>0</v>
      </c>
      <c r="AM100" s="120" t="s">
        <v>165</v>
      </c>
    </row>
    <row r="101" spans="1:39">
      <c r="A101" s="116" t="s">
        <v>46</v>
      </c>
      <c r="B101" s="116" t="s">
        <v>46</v>
      </c>
      <c r="C101" s="122"/>
      <c r="D101" s="120" t="s">
        <v>166</v>
      </c>
      <c r="E101" s="98"/>
      <c r="F101" s="99">
        <f>VLOOKUP(D101,'Feb14 Revenue'!D:V,19,FALSE)</f>
        <v>0</v>
      </c>
      <c r="G101" s="100"/>
      <c r="H101" s="100"/>
      <c r="I101" s="101"/>
      <c r="J101" s="102">
        <f t="shared" si="14"/>
        <v>0</v>
      </c>
      <c r="K101" s="103"/>
      <c r="L101" s="104"/>
      <c r="M101" s="105"/>
      <c r="N101" s="103">
        <v>0</v>
      </c>
      <c r="O101" s="106"/>
      <c r="P101" s="103">
        <v>0</v>
      </c>
      <c r="Q101" s="107">
        <f t="shared" si="1"/>
        <v>0</v>
      </c>
      <c r="R101" s="107"/>
      <c r="S101" s="107"/>
      <c r="T101" s="108"/>
      <c r="U101" s="119"/>
      <c r="V101" s="110" t="str">
        <f t="shared" si="18"/>
        <v/>
      </c>
      <c r="W101" s="103"/>
      <c r="X101" s="112">
        <f t="shared" si="19"/>
        <v>0</v>
      </c>
      <c r="Y101" s="112">
        <f t="shared" si="20"/>
        <v>0</v>
      </c>
      <c r="Z101" s="113">
        <f t="shared" si="21"/>
        <v>0</v>
      </c>
      <c r="AA101" s="113">
        <v>0</v>
      </c>
      <c r="AB101" s="114">
        <v>0</v>
      </c>
      <c r="AC101" s="11">
        <f t="shared" si="22"/>
        <v>0</v>
      </c>
      <c r="AD101" s="115">
        <f t="shared" si="15"/>
        <v>0</v>
      </c>
      <c r="AE101" s="115">
        <f t="shared" si="16"/>
        <v>0</v>
      </c>
      <c r="AF101" s="115">
        <f t="shared" si="17"/>
        <v>0</v>
      </c>
      <c r="AG101" s="11"/>
      <c r="AH101" s="115">
        <f t="shared" si="23"/>
        <v>0</v>
      </c>
      <c r="AI101" s="115">
        <f t="shared" si="24"/>
        <v>0</v>
      </c>
      <c r="AJ101" s="115">
        <f t="shared" si="25"/>
        <v>0</v>
      </c>
      <c r="AL101" s="11">
        <f t="shared" si="26"/>
        <v>0</v>
      </c>
      <c r="AM101" s="120" t="s">
        <v>166</v>
      </c>
    </row>
    <row r="102" spans="1:39">
      <c r="A102" s="129"/>
      <c r="B102" s="129" t="s">
        <v>49</v>
      </c>
      <c r="C102" s="96"/>
      <c r="D102" s="120" t="s">
        <v>167</v>
      </c>
      <c r="E102" s="98"/>
      <c r="F102" s="99">
        <f>VLOOKUP(D102,'Feb14 Revenue'!D:V,19,FALSE)</f>
        <v>0</v>
      </c>
      <c r="G102" s="100"/>
      <c r="H102" s="100"/>
      <c r="I102" s="125">
        <v>110.56</v>
      </c>
      <c r="J102" s="102">
        <f t="shared" si="14"/>
        <v>110.56</v>
      </c>
      <c r="K102" s="103"/>
      <c r="L102" s="104"/>
      <c r="M102" s="105"/>
      <c r="N102" s="103">
        <v>0</v>
      </c>
      <c r="O102" s="106"/>
      <c r="P102" s="103">
        <v>0</v>
      </c>
      <c r="Q102" s="107">
        <f t="shared" si="1"/>
        <v>0</v>
      </c>
      <c r="R102" s="107"/>
      <c r="S102" s="107"/>
      <c r="T102" s="108"/>
      <c r="U102" s="119"/>
      <c r="V102" s="110" t="str">
        <f t="shared" si="18"/>
        <v/>
      </c>
      <c r="W102" s="103"/>
      <c r="X102" s="112">
        <f t="shared" si="19"/>
        <v>0</v>
      </c>
      <c r="Y102" s="112">
        <f t="shared" si="20"/>
        <v>0</v>
      </c>
      <c r="Z102" s="113">
        <f t="shared" si="21"/>
        <v>0</v>
      </c>
      <c r="AA102" s="113">
        <v>0</v>
      </c>
      <c r="AB102" s="114">
        <v>0</v>
      </c>
      <c r="AC102" s="11">
        <f t="shared" si="22"/>
        <v>0</v>
      </c>
      <c r="AD102" s="115">
        <f t="shared" si="15"/>
        <v>110.56</v>
      </c>
      <c r="AE102" s="115">
        <f t="shared" si="16"/>
        <v>0</v>
      </c>
      <c r="AF102" s="115">
        <f t="shared" si="17"/>
        <v>0</v>
      </c>
      <c r="AG102" s="11"/>
      <c r="AH102" s="115">
        <f t="shared" si="23"/>
        <v>0</v>
      </c>
      <c r="AI102" s="115">
        <f t="shared" si="24"/>
        <v>0</v>
      </c>
      <c r="AJ102" s="115">
        <f t="shared" si="25"/>
        <v>0</v>
      </c>
      <c r="AL102" s="11">
        <f t="shared" si="26"/>
        <v>110.56</v>
      </c>
      <c r="AM102" s="120" t="s">
        <v>167</v>
      </c>
    </row>
    <row r="103" spans="1:39">
      <c r="A103" s="129"/>
      <c r="B103" s="129" t="s">
        <v>81</v>
      </c>
      <c r="C103" s="96"/>
      <c r="D103" s="120" t="s">
        <v>168</v>
      </c>
      <c r="E103" s="98">
        <v>21849.27</v>
      </c>
      <c r="F103" s="99">
        <f>VLOOKUP(D103,'Feb14 Revenue'!D:V,19,FALSE)</f>
        <v>0</v>
      </c>
      <c r="G103" s="100"/>
      <c r="H103" s="100"/>
      <c r="I103" s="101"/>
      <c r="J103" s="102">
        <f t="shared" si="14"/>
        <v>21849.27</v>
      </c>
      <c r="K103" s="103"/>
      <c r="L103" s="104"/>
      <c r="M103" s="105">
        <v>10000</v>
      </c>
      <c r="N103" s="103">
        <v>0</v>
      </c>
      <c r="O103" s="106"/>
      <c r="P103" s="103">
        <v>0</v>
      </c>
      <c r="Q103" s="107">
        <f t="shared" si="1"/>
        <v>10000</v>
      </c>
      <c r="R103" s="107"/>
      <c r="S103" s="107"/>
      <c r="T103" s="108"/>
      <c r="U103" s="119"/>
      <c r="V103" s="110" t="str">
        <f t="shared" si="18"/>
        <v/>
      </c>
      <c r="W103" s="103"/>
      <c r="X103" s="112">
        <f t="shared" si="19"/>
        <v>0</v>
      </c>
      <c r="Y103" s="112">
        <f t="shared" si="20"/>
        <v>0</v>
      </c>
      <c r="Z103" s="113">
        <f t="shared" si="21"/>
        <v>10000</v>
      </c>
      <c r="AA103" s="113">
        <v>0</v>
      </c>
      <c r="AB103" s="114">
        <v>0</v>
      </c>
      <c r="AC103" s="11">
        <f t="shared" si="22"/>
        <v>0</v>
      </c>
      <c r="AD103" s="115">
        <f t="shared" si="15"/>
        <v>0</v>
      </c>
      <c r="AE103" s="115">
        <f t="shared" si="16"/>
        <v>0</v>
      </c>
      <c r="AF103" s="115">
        <f t="shared" si="17"/>
        <v>21849.27</v>
      </c>
      <c r="AG103" s="11"/>
      <c r="AH103" s="115">
        <f t="shared" si="23"/>
        <v>0</v>
      </c>
      <c r="AI103" s="115">
        <f t="shared" si="24"/>
        <v>0</v>
      </c>
      <c r="AJ103" s="115">
        <f t="shared" si="25"/>
        <v>10000</v>
      </c>
      <c r="AL103" s="11">
        <f t="shared" si="26"/>
        <v>31849.27</v>
      </c>
      <c r="AM103" s="120" t="s">
        <v>169</v>
      </c>
    </row>
    <row r="104" spans="1:39">
      <c r="A104" s="129"/>
      <c r="B104" s="129" t="s">
        <v>49</v>
      </c>
      <c r="C104" s="96" t="s">
        <v>170</v>
      </c>
      <c r="D104" s="120" t="s">
        <v>171</v>
      </c>
      <c r="E104" s="98"/>
      <c r="F104" s="99">
        <f>VLOOKUP(D104,'Feb14 Revenue'!D:V,19,FALSE)</f>
        <v>0</v>
      </c>
      <c r="G104" s="100"/>
      <c r="H104" s="100"/>
      <c r="I104" s="101"/>
      <c r="J104" s="102">
        <f t="shared" si="14"/>
        <v>0</v>
      </c>
      <c r="K104" s="103"/>
      <c r="L104" s="104"/>
      <c r="M104" s="105"/>
      <c r="N104" s="103">
        <v>0</v>
      </c>
      <c r="O104" s="106"/>
      <c r="P104" s="103">
        <v>0</v>
      </c>
      <c r="Q104" s="107">
        <f t="shared" si="1"/>
        <v>0</v>
      </c>
      <c r="R104" s="107"/>
      <c r="S104" s="107"/>
      <c r="T104" s="108"/>
      <c r="U104" s="119"/>
      <c r="V104" s="110" t="str">
        <f t="shared" si="18"/>
        <v/>
      </c>
      <c r="W104" s="103"/>
      <c r="X104" s="112">
        <f t="shared" si="19"/>
        <v>0</v>
      </c>
      <c r="Y104" s="112">
        <f t="shared" si="20"/>
        <v>0</v>
      </c>
      <c r="Z104" s="113">
        <f t="shared" si="21"/>
        <v>0</v>
      </c>
      <c r="AA104" s="113">
        <v>0</v>
      </c>
      <c r="AB104" s="114">
        <v>0</v>
      </c>
      <c r="AC104" s="11">
        <f t="shared" si="22"/>
        <v>0</v>
      </c>
      <c r="AD104" s="115">
        <f t="shared" si="15"/>
        <v>0</v>
      </c>
      <c r="AE104" s="115">
        <f t="shared" si="16"/>
        <v>0</v>
      </c>
      <c r="AF104" s="115">
        <f t="shared" si="17"/>
        <v>0</v>
      </c>
      <c r="AG104" s="11"/>
      <c r="AH104" s="115">
        <f t="shared" si="23"/>
        <v>0</v>
      </c>
      <c r="AI104" s="115">
        <f t="shared" si="24"/>
        <v>0</v>
      </c>
      <c r="AJ104" s="115">
        <f t="shared" si="25"/>
        <v>0</v>
      </c>
      <c r="AL104" s="11">
        <f t="shared" si="26"/>
        <v>0</v>
      </c>
      <c r="AM104" s="120" t="s">
        <v>171</v>
      </c>
    </row>
    <row r="105" spans="1:39">
      <c r="A105" s="116" t="s">
        <v>60</v>
      </c>
      <c r="B105" s="116" t="s">
        <v>49</v>
      </c>
      <c r="C105" s="126" t="s">
        <v>172</v>
      </c>
      <c r="D105" s="97" t="s">
        <v>173</v>
      </c>
      <c r="E105" s="98"/>
      <c r="F105" s="99">
        <f>VLOOKUP(D105,'Feb14 Revenue'!D:V,19,FALSE)</f>
        <v>0</v>
      </c>
      <c r="G105" s="100"/>
      <c r="H105" s="100"/>
      <c r="I105" s="101"/>
      <c r="J105" s="102">
        <f t="shared" si="14"/>
        <v>0</v>
      </c>
      <c r="K105" s="103"/>
      <c r="L105" s="104"/>
      <c r="M105" s="105"/>
      <c r="N105" s="103">
        <v>0</v>
      </c>
      <c r="O105" s="106"/>
      <c r="P105" s="103">
        <v>0</v>
      </c>
      <c r="Q105" s="107">
        <f t="shared" si="1"/>
        <v>0</v>
      </c>
      <c r="R105" s="107"/>
      <c r="S105" s="107"/>
      <c r="T105" s="108"/>
      <c r="U105" s="119"/>
      <c r="V105" s="110" t="str">
        <f t="shared" si="18"/>
        <v/>
      </c>
      <c r="W105" s="103"/>
      <c r="X105" s="112">
        <f t="shared" si="19"/>
        <v>0</v>
      </c>
      <c r="Y105" s="112">
        <f t="shared" si="20"/>
        <v>0</v>
      </c>
      <c r="Z105" s="113">
        <f t="shared" si="21"/>
        <v>0</v>
      </c>
      <c r="AA105" s="113">
        <v>0</v>
      </c>
      <c r="AB105" s="114">
        <v>0</v>
      </c>
      <c r="AC105" s="11">
        <f t="shared" si="22"/>
        <v>0</v>
      </c>
      <c r="AD105" s="115">
        <f t="shared" si="15"/>
        <v>0</v>
      </c>
      <c r="AE105" s="115">
        <f t="shared" si="16"/>
        <v>0</v>
      </c>
      <c r="AF105" s="115">
        <f t="shared" si="17"/>
        <v>0</v>
      </c>
      <c r="AG105" s="11"/>
      <c r="AH105" s="115">
        <f t="shared" si="23"/>
        <v>0</v>
      </c>
      <c r="AI105" s="115">
        <f t="shared" si="24"/>
        <v>0</v>
      </c>
      <c r="AJ105" s="115">
        <f t="shared" si="25"/>
        <v>0</v>
      </c>
      <c r="AL105" s="11">
        <f t="shared" si="26"/>
        <v>0</v>
      </c>
      <c r="AM105" s="97" t="s">
        <v>173</v>
      </c>
    </row>
    <row r="106" spans="1:39">
      <c r="A106" s="116"/>
      <c r="B106" s="116" t="s">
        <v>49</v>
      </c>
      <c r="C106" s="122"/>
      <c r="D106" s="97" t="s">
        <v>174</v>
      </c>
      <c r="E106" s="98"/>
      <c r="F106" s="99">
        <f>VLOOKUP(D106,'Feb14 Revenue'!D:V,19,FALSE)</f>
        <v>0</v>
      </c>
      <c r="G106" s="100"/>
      <c r="H106" s="100"/>
      <c r="I106" s="101"/>
      <c r="J106" s="102">
        <f t="shared" si="14"/>
        <v>0</v>
      </c>
      <c r="K106" s="103"/>
      <c r="L106" s="104"/>
      <c r="M106" s="105"/>
      <c r="N106" s="103">
        <v>0</v>
      </c>
      <c r="O106" s="106"/>
      <c r="P106" s="103">
        <v>0</v>
      </c>
      <c r="Q106" s="107">
        <f t="shared" si="1"/>
        <v>0</v>
      </c>
      <c r="R106" s="107"/>
      <c r="S106" s="107"/>
      <c r="T106" s="108"/>
      <c r="U106" s="119"/>
      <c r="V106" s="110" t="str">
        <f t="shared" si="18"/>
        <v/>
      </c>
      <c r="W106" s="103"/>
      <c r="X106" s="112">
        <f t="shared" si="19"/>
        <v>0</v>
      </c>
      <c r="Y106" s="112">
        <f t="shared" si="20"/>
        <v>0</v>
      </c>
      <c r="Z106" s="113">
        <f t="shared" si="21"/>
        <v>0</v>
      </c>
      <c r="AA106" s="113">
        <v>0</v>
      </c>
      <c r="AB106" s="114">
        <v>0</v>
      </c>
      <c r="AC106" s="11">
        <f t="shared" si="22"/>
        <v>0</v>
      </c>
      <c r="AD106" s="115">
        <f t="shared" si="15"/>
        <v>0</v>
      </c>
      <c r="AE106" s="115">
        <f t="shared" si="16"/>
        <v>0</v>
      </c>
      <c r="AF106" s="115">
        <f t="shared" si="17"/>
        <v>0</v>
      </c>
      <c r="AG106" s="11"/>
      <c r="AH106" s="115">
        <f t="shared" si="23"/>
        <v>0</v>
      </c>
      <c r="AI106" s="115">
        <f t="shared" si="24"/>
        <v>0</v>
      </c>
      <c r="AJ106" s="115">
        <f t="shared" si="25"/>
        <v>0</v>
      </c>
      <c r="AL106" s="11">
        <f t="shared" si="26"/>
        <v>0</v>
      </c>
      <c r="AM106" s="97" t="s">
        <v>174</v>
      </c>
    </row>
    <row r="107" spans="1:39" s="124" customFormat="1" ht="12.75" customHeight="1">
      <c r="A107" s="123"/>
      <c r="B107" s="123" t="s">
        <v>49</v>
      </c>
      <c r="C107" s="122"/>
      <c r="D107" s="118" t="s">
        <v>175</v>
      </c>
      <c r="E107" s="98"/>
      <c r="F107" s="99">
        <f>VLOOKUP(D107,'Feb14 Revenue'!D:V,19,FALSE)</f>
        <v>0</v>
      </c>
      <c r="G107" s="100"/>
      <c r="H107" s="100"/>
      <c r="I107" s="125">
        <v>5614980.9500000002</v>
      </c>
      <c r="J107" s="102">
        <f t="shared" si="14"/>
        <v>5614980.9500000002</v>
      </c>
      <c r="K107" s="103"/>
      <c r="L107" s="104"/>
      <c r="M107" s="105"/>
      <c r="N107" s="103">
        <v>0</v>
      </c>
      <c r="O107" s="106"/>
      <c r="P107" s="103">
        <v>0</v>
      </c>
      <c r="Q107" s="107">
        <f t="shared" si="1"/>
        <v>0</v>
      </c>
      <c r="R107" s="107"/>
      <c r="S107" s="107"/>
      <c r="T107" s="108"/>
      <c r="U107" s="119"/>
      <c r="V107" s="110" t="str">
        <f t="shared" si="18"/>
        <v/>
      </c>
      <c r="W107" s="103"/>
      <c r="X107" s="112">
        <f t="shared" si="19"/>
        <v>0</v>
      </c>
      <c r="Y107" s="112">
        <f t="shared" si="20"/>
        <v>0</v>
      </c>
      <c r="Z107" s="113">
        <f t="shared" si="21"/>
        <v>0</v>
      </c>
      <c r="AA107" s="113">
        <v>0</v>
      </c>
      <c r="AB107" s="114">
        <v>0</v>
      </c>
      <c r="AC107" s="11">
        <f t="shared" si="22"/>
        <v>0</v>
      </c>
      <c r="AD107" s="115">
        <f t="shared" si="15"/>
        <v>5614980.9500000002</v>
      </c>
      <c r="AE107" s="115">
        <f t="shared" si="16"/>
        <v>0</v>
      </c>
      <c r="AF107" s="115">
        <f t="shared" si="17"/>
        <v>0</v>
      </c>
      <c r="AG107" s="11"/>
      <c r="AH107" s="115">
        <f t="shared" si="23"/>
        <v>0</v>
      </c>
      <c r="AI107" s="115">
        <f t="shared" si="24"/>
        <v>0</v>
      </c>
      <c r="AJ107" s="115">
        <f t="shared" si="25"/>
        <v>0</v>
      </c>
      <c r="AL107" s="11">
        <f t="shared" si="26"/>
        <v>5614980.9500000002</v>
      </c>
      <c r="AM107" s="118" t="s">
        <v>175</v>
      </c>
    </row>
    <row r="108" spans="1:39" s="124" customFormat="1" ht="12.75" customHeight="1">
      <c r="A108" s="123"/>
      <c r="B108" s="123" t="s">
        <v>49</v>
      </c>
      <c r="C108" s="122"/>
      <c r="D108" s="118" t="s">
        <v>176</v>
      </c>
      <c r="E108" s="98"/>
      <c r="F108" s="99">
        <f>VLOOKUP(D108,'Feb14 Revenue'!D:V,19,FALSE)</f>
        <v>0</v>
      </c>
      <c r="G108" s="100"/>
      <c r="H108" s="100"/>
      <c r="I108" s="125">
        <v>2968652.1</v>
      </c>
      <c r="J108" s="102">
        <f t="shared" si="14"/>
        <v>2968652.1</v>
      </c>
      <c r="K108" s="103"/>
      <c r="L108" s="104"/>
      <c r="M108" s="105"/>
      <c r="N108" s="103">
        <v>0</v>
      </c>
      <c r="O108" s="106"/>
      <c r="P108" s="103">
        <v>0</v>
      </c>
      <c r="Q108" s="107">
        <f t="shared" si="1"/>
        <v>0</v>
      </c>
      <c r="R108" s="107"/>
      <c r="S108" s="107"/>
      <c r="T108" s="108"/>
      <c r="U108" s="119"/>
      <c r="V108" s="110" t="str">
        <f t="shared" si="18"/>
        <v/>
      </c>
      <c r="W108" s="103"/>
      <c r="X108" s="112">
        <f t="shared" si="19"/>
        <v>0</v>
      </c>
      <c r="Y108" s="112">
        <f t="shared" si="20"/>
        <v>0</v>
      </c>
      <c r="Z108" s="113">
        <f t="shared" si="21"/>
        <v>0</v>
      </c>
      <c r="AA108" s="113">
        <v>0</v>
      </c>
      <c r="AB108" s="114">
        <v>0</v>
      </c>
      <c r="AC108" s="11">
        <f t="shared" si="22"/>
        <v>0</v>
      </c>
      <c r="AD108" s="115">
        <f t="shared" si="15"/>
        <v>2968652.1</v>
      </c>
      <c r="AE108" s="115">
        <f t="shared" si="16"/>
        <v>0</v>
      </c>
      <c r="AF108" s="115">
        <f t="shared" si="17"/>
        <v>0</v>
      </c>
      <c r="AG108" s="11"/>
      <c r="AH108" s="115">
        <f t="shared" si="23"/>
        <v>0</v>
      </c>
      <c r="AI108" s="115">
        <f t="shared" si="24"/>
        <v>0</v>
      </c>
      <c r="AJ108" s="115">
        <f t="shared" si="25"/>
        <v>0</v>
      </c>
      <c r="AL108" s="11">
        <f t="shared" si="26"/>
        <v>2968652.1</v>
      </c>
      <c r="AM108" s="118" t="s">
        <v>176</v>
      </c>
    </row>
    <row r="109" spans="1:39" s="124" customFormat="1" ht="12.75" customHeight="1">
      <c r="A109" s="123"/>
      <c r="B109" s="123" t="s">
        <v>49</v>
      </c>
      <c r="C109" s="122"/>
      <c r="D109" s="118" t="s">
        <v>177</v>
      </c>
      <c r="E109" s="98"/>
      <c r="F109" s="99">
        <f>VLOOKUP(D109,'Feb14 Revenue'!D:V,19,FALSE)</f>
        <v>0</v>
      </c>
      <c r="G109" s="100"/>
      <c r="H109" s="100"/>
      <c r="I109" s="125">
        <v>164345.73000000001</v>
      </c>
      <c r="J109" s="102">
        <f t="shared" si="14"/>
        <v>164345.73000000001</v>
      </c>
      <c r="K109" s="103"/>
      <c r="L109" s="104"/>
      <c r="M109" s="105"/>
      <c r="N109" s="103">
        <v>0</v>
      </c>
      <c r="O109" s="106"/>
      <c r="P109" s="103">
        <v>0</v>
      </c>
      <c r="Q109" s="107">
        <f t="shared" si="1"/>
        <v>0</v>
      </c>
      <c r="R109" s="107"/>
      <c r="S109" s="107"/>
      <c r="T109" s="108"/>
      <c r="U109" s="119"/>
      <c r="V109" s="110" t="str">
        <f t="shared" si="18"/>
        <v/>
      </c>
      <c r="W109" s="103"/>
      <c r="X109" s="112">
        <f t="shared" si="19"/>
        <v>0</v>
      </c>
      <c r="Y109" s="112">
        <f t="shared" si="20"/>
        <v>0</v>
      </c>
      <c r="Z109" s="113">
        <f t="shared" si="21"/>
        <v>0</v>
      </c>
      <c r="AA109" s="113">
        <v>0</v>
      </c>
      <c r="AB109" s="114">
        <v>0</v>
      </c>
      <c r="AC109" s="11">
        <f t="shared" si="22"/>
        <v>0</v>
      </c>
      <c r="AD109" s="115">
        <f t="shared" si="15"/>
        <v>164345.73000000001</v>
      </c>
      <c r="AE109" s="115">
        <f t="shared" si="16"/>
        <v>0</v>
      </c>
      <c r="AF109" s="115">
        <f t="shared" si="17"/>
        <v>0</v>
      </c>
      <c r="AG109" s="11"/>
      <c r="AH109" s="115">
        <f t="shared" si="23"/>
        <v>0</v>
      </c>
      <c r="AI109" s="115">
        <f t="shared" si="24"/>
        <v>0</v>
      </c>
      <c r="AJ109" s="115">
        <f t="shared" si="25"/>
        <v>0</v>
      </c>
      <c r="AL109" s="11">
        <f t="shared" si="26"/>
        <v>164345.73000000001</v>
      </c>
      <c r="AM109" s="118" t="s">
        <v>177</v>
      </c>
    </row>
    <row r="110" spans="1:39" s="124" customFormat="1" ht="12.75" customHeight="1">
      <c r="A110" s="123"/>
      <c r="B110" s="123" t="s">
        <v>49</v>
      </c>
      <c r="C110" s="122"/>
      <c r="D110" s="118" t="s">
        <v>178</v>
      </c>
      <c r="E110" s="98"/>
      <c r="F110" s="99">
        <f>VLOOKUP(D110,'Feb14 Revenue'!D:V,19,FALSE)</f>
        <v>0</v>
      </c>
      <c r="G110" s="100"/>
      <c r="H110" s="100"/>
      <c r="I110" s="125">
        <v>14538.23</v>
      </c>
      <c r="J110" s="102">
        <f>SUM(E110:I110)</f>
        <v>14538.23</v>
      </c>
      <c r="K110" s="103"/>
      <c r="L110" s="104"/>
      <c r="M110" s="105"/>
      <c r="N110" s="103">
        <v>0</v>
      </c>
      <c r="O110" s="106"/>
      <c r="P110" s="103">
        <v>0</v>
      </c>
      <c r="Q110" s="107">
        <f>L110+M110</f>
        <v>0</v>
      </c>
      <c r="R110" s="107"/>
      <c r="S110" s="107"/>
      <c r="T110" s="108"/>
      <c r="U110" s="119"/>
      <c r="V110" s="110" t="str">
        <f>IF(T110="","",T110-Q110)</f>
        <v/>
      </c>
      <c r="W110" s="103"/>
      <c r="X110" s="112">
        <f>IF(B110="D",Q110,0)</f>
        <v>0</v>
      </c>
      <c r="Y110" s="112">
        <f>IF(B110="M",Q110,0)</f>
        <v>0</v>
      </c>
      <c r="Z110" s="113">
        <f>IF(B110="V",Q110,0)</f>
        <v>0</v>
      </c>
      <c r="AA110" s="113">
        <v>0</v>
      </c>
      <c r="AB110" s="114">
        <v>0</v>
      </c>
      <c r="AC110" s="11">
        <f>(L110+M110)-(X110+Y110+Z110+AA110+AB110)</f>
        <v>0</v>
      </c>
      <c r="AD110" s="115">
        <f>IF(B110="D",J110,0)</f>
        <v>14538.23</v>
      </c>
      <c r="AE110" s="115">
        <f>IF(B110="M",J110,0)</f>
        <v>0</v>
      </c>
      <c r="AF110" s="115">
        <f>IF(B110="V",J110,0)</f>
        <v>0</v>
      </c>
      <c r="AG110" s="11"/>
      <c r="AH110" s="115">
        <f>IF(B110="D",Q110,0)</f>
        <v>0</v>
      </c>
      <c r="AI110" s="115">
        <f>IF(B110="M",Q110,0)</f>
        <v>0</v>
      </c>
      <c r="AJ110" s="115">
        <f>IF(B110="V",Q110,0)</f>
        <v>0</v>
      </c>
      <c r="AL110" s="11">
        <f>SUM(AD110:AJ110)</f>
        <v>14538.23</v>
      </c>
      <c r="AM110" s="118" t="s">
        <v>178</v>
      </c>
    </row>
    <row r="111" spans="1:39" s="124" customFormat="1" ht="12.75" customHeight="1">
      <c r="A111" s="123"/>
      <c r="B111" s="123" t="s">
        <v>49</v>
      </c>
      <c r="C111" s="122"/>
      <c r="D111" s="118" t="s">
        <v>179</v>
      </c>
      <c r="E111" s="98"/>
      <c r="F111" s="99">
        <f>VLOOKUP(D111,'Feb14 Revenue'!D:V,19,FALSE)</f>
        <v>0</v>
      </c>
      <c r="G111" s="100"/>
      <c r="H111" s="100"/>
      <c r="I111" s="125">
        <v>16283.67</v>
      </c>
      <c r="J111" s="102">
        <f t="shared" si="14"/>
        <v>16283.67</v>
      </c>
      <c r="K111" s="103"/>
      <c r="L111" s="104"/>
      <c r="M111" s="105"/>
      <c r="N111" s="103">
        <v>0</v>
      </c>
      <c r="O111" s="106"/>
      <c r="P111" s="103">
        <v>0</v>
      </c>
      <c r="Q111" s="107">
        <f t="shared" si="1"/>
        <v>0</v>
      </c>
      <c r="R111" s="107"/>
      <c r="S111" s="107"/>
      <c r="T111" s="108"/>
      <c r="U111" s="119"/>
      <c r="V111" s="110" t="str">
        <f t="shared" si="18"/>
        <v/>
      </c>
      <c r="W111" s="103"/>
      <c r="X111" s="112">
        <f t="shared" si="19"/>
        <v>0</v>
      </c>
      <c r="Y111" s="112">
        <f t="shared" si="20"/>
        <v>0</v>
      </c>
      <c r="Z111" s="113">
        <f t="shared" si="21"/>
        <v>0</v>
      </c>
      <c r="AA111" s="113">
        <v>0</v>
      </c>
      <c r="AB111" s="114">
        <v>0</v>
      </c>
      <c r="AC111" s="11">
        <f t="shared" si="22"/>
        <v>0</v>
      </c>
      <c r="AD111" s="115">
        <f t="shared" si="15"/>
        <v>16283.67</v>
      </c>
      <c r="AE111" s="115">
        <f t="shared" si="16"/>
        <v>0</v>
      </c>
      <c r="AF111" s="115">
        <f t="shared" si="17"/>
        <v>0</v>
      </c>
      <c r="AG111" s="11"/>
      <c r="AH111" s="115">
        <f t="shared" si="23"/>
        <v>0</v>
      </c>
      <c r="AI111" s="115">
        <f t="shared" si="24"/>
        <v>0</v>
      </c>
      <c r="AJ111" s="115">
        <f t="shared" si="25"/>
        <v>0</v>
      </c>
      <c r="AL111" s="11">
        <f t="shared" si="26"/>
        <v>16283.67</v>
      </c>
      <c r="AM111" s="118" t="s">
        <v>179</v>
      </c>
    </row>
    <row r="112" spans="1:39" s="124" customFormat="1" ht="12.75" customHeight="1">
      <c r="A112" s="123"/>
      <c r="B112" s="123" t="s">
        <v>49</v>
      </c>
      <c r="C112" s="122"/>
      <c r="D112" s="118" t="s">
        <v>180</v>
      </c>
      <c r="E112" s="98"/>
      <c r="F112" s="99">
        <f>VLOOKUP(D112,'Feb14 Revenue'!D:V,19,FALSE)</f>
        <v>0</v>
      </c>
      <c r="G112" s="100"/>
      <c r="H112" s="100"/>
      <c r="I112" s="125">
        <v>24666.84</v>
      </c>
      <c r="J112" s="102">
        <f t="shared" si="14"/>
        <v>24666.84</v>
      </c>
      <c r="K112" s="103"/>
      <c r="L112" s="104"/>
      <c r="M112" s="105"/>
      <c r="N112" s="103">
        <v>0</v>
      </c>
      <c r="O112" s="106"/>
      <c r="P112" s="103">
        <v>0</v>
      </c>
      <c r="Q112" s="107">
        <f t="shared" si="1"/>
        <v>0</v>
      </c>
      <c r="R112" s="107"/>
      <c r="S112" s="107"/>
      <c r="T112" s="108"/>
      <c r="U112" s="119"/>
      <c r="V112" s="110" t="str">
        <f t="shared" si="18"/>
        <v/>
      </c>
      <c r="W112" s="103"/>
      <c r="X112" s="112">
        <f t="shared" si="19"/>
        <v>0</v>
      </c>
      <c r="Y112" s="112">
        <f t="shared" si="20"/>
        <v>0</v>
      </c>
      <c r="Z112" s="113">
        <f t="shared" si="21"/>
        <v>0</v>
      </c>
      <c r="AA112" s="113">
        <v>0</v>
      </c>
      <c r="AB112" s="114">
        <v>0</v>
      </c>
      <c r="AC112" s="11">
        <f t="shared" si="22"/>
        <v>0</v>
      </c>
      <c r="AD112" s="115">
        <f t="shared" si="15"/>
        <v>24666.84</v>
      </c>
      <c r="AE112" s="115">
        <f t="shared" si="16"/>
        <v>0</v>
      </c>
      <c r="AF112" s="115">
        <f t="shared" si="17"/>
        <v>0</v>
      </c>
      <c r="AG112" s="11"/>
      <c r="AH112" s="115">
        <f t="shared" si="23"/>
        <v>0</v>
      </c>
      <c r="AI112" s="115">
        <f t="shared" si="24"/>
        <v>0</v>
      </c>
      <c r="AJ112" s="115">
        <f t="shared" si="25"/>
        <v>0</v>
      </c>
      <c r="AL112" s="11">
        <f t="shared" si="26"/>
        <v>24666.84</v>
      </c>
      <c r="AM112" s="118" t="s">
        <v>180</v>
      </c>
    </row>
    <row r="113" spans="1:39" s="124" customFormat="1" ht="12" customHeight="1">
      <c r="A113" s="123"/>
      <c r="B113" s="123" t="s">
        <v>49</v>
      </c>
      <c r="C113" s="122"/>
      <c r="D113" s="118" t="s">
        <v>181</v>
      </c>
      <c r="E113" s="98"/>
      <c r="F113" s="99">
        <f>VLOOKUP(D113,'Feb14 Revenue'!D:V,19,FALSE)</f>
        <v>0</v>
      </c>
      <c r="G113" s="100"/>
      <c r="H113" s="100"/>
      <c r="I113" s="125">
        <v>9893.5400000000009</v>
      </c>
      <c r="J113" s="102">
        <f t="shared" si="14"/>
        <v>9893.5400000000009</v>
      </c>
      <c r="K113" s="103"/>
      <c r="L113" s="104"/>
      <c r="M113" s="105"/>
      <c r="N113" s="103">
        <v>0</v>
      </c>
      <c r="O113" s="106"/>
      <c r="P113" s="103">
        <v>0</v>
      </c>
      <c r="Q113" s="107">
        <f t="shared" si="1"/>
        <v>0</v>
      </c>
      <c r="R113" s="107"/>
      <c r="S113" s="107"/>
      <c r="T113" s="108"/>
      <c r="U113" s="119"/>
      <c r="V113" s="110" t="str">
        <f t="shared" si="18"/>
        <v/>
      </c>
      <c r="W113" s="103"/>
      <c r="X113" s="112">
        <f t="shared" si="19"/>
        <v>0</v>
      </c>
      <c r="Y113" s="112">
        <f t="shared" si="20"/>
        <v>0</v>
      </c>
      <c r="Z113" s="113">
        <f t="shared" si="21"/>
        <v>0</v>
      </c>
      <c r="AA113" s="113">
        <v>0</v>
      </c>
      <c r="AB113" s="114">
        <v>0</v>
      </c>
      <c r="AC113" s="11">
        <f t="shared" si="22"/>
        <v>0</v>
      </c>
      <c r="AD113" s="115">
        <f t="shared" si="15"/>
        <v>9893.5400000000009</v>
      </c>
      <c r="AE113" s="115">
        <f t="shared" si="16"/>
        <v>0</v>
      </c>
      <c r="AF113" s="115">
        <f t="shared" si="17"/>
        <v>0</v>
      </c>
      <c r="AG113" s="11"/>
      <c r="AH113" s="115">
        <f t="shared" si="23"/>
        <v>0</v>
      </c>
      <c r="AI113" s="115">
        <f t="shared" si="24"/>
        <v>0</v>
      </c>
      <c r="AJ113" s="115">
        <f t="shared" si="25"/>
        <v>0</v>
      </c>
      <c r="AL113" s="11">
        <f t="shared" si="26"/>
        <v>9893.5400000000009</v>
      </c>
      <c r="AM113" s="118" t="s">
        <v>181</v>
      </c>
    </row>
    <row r="114" spans="1:39" s="124" customFormat="1" ht="12" customHeight="1">
      <c r="A114" s="123"/>
      <c r="B114" s="123" t="s">
        <v>49</v>
      </c>
      <c r="C114" s="122"/>
      <c r="D114" s="118" t="s">
        <v>182</v>
      </c>
      <c r="E114" s="98"/>
      <c r="F114" s="99">
        <f>VLOOKUP(D114,'Feb14 Revenue'!D:V,19,FALSE)</f>
        <v>0</v>
      </c>
      <c r="G114" s="100"/>
      <c r="H114" s="100"/>
      <c r="I114" s="125">
        <f>8560.31+4796.96</f>
        <v>13357.27</v>
      </c>
      <c r="J114" s="102">
        <f t="shared" si="14"/>
        <v>13357.27</v>
      </c>
      <c r="K114" s="103"/>
      <c r="L114" s="104"/>
      <c r="M114" s="105"/>
      <c r="N114" s="103">
        <v>0</v>
      </c>
      <c r="O114" s="106"/>
      <c r="P114" s="103">
        <v>0</v>
      </c>
      <c r="Q114" s="107">
        <f t="shared" si="1"/>
        <v>0</v>
      </c>
      <c r="R114" s="107"/>
      <c r="S114" s="107"/>
      <c r="T114" s="108"/>
      <c r="U114" s="119"/>
      <c r="V114" s="110" t="str">
        <f t="shared" si="18"/>
        <v/>
      </c>
      <c r="W114" s="103"/>
      <c r="X114" s="112">
        <f t="shared" si="19"/>
        <v>0</v>
      </c>
      <c r="Y114" s="112">
        <f t="shared" si="20"/>
        <v>0</v>
      </c>
      <c r="Z114" s="113">
        <f t="shared" si="21"/>
        <v>0</v>
      </c>
      <c r="AA114" s="113">
        <v>0</v>
      </c>
      <c r="AB114" s="114">
        <v>0</v>
      </c>
      <c r="AC114" s="11">
        <f t="shared" si="22"/>
        <v>0</v>
      </c>
      <c r="AD114" s="115">
        <f t="shared" si="15"/>
        <v>13357.27</v>
      </c>
      <c r="AE114" s="115">
        <f t="shared" si="16"/>
        <v>0</v>
      </c>
      <c r="AF114" s="115">
        <f t="shared" si="17"/>
        <v>0</v>
      </c>
      <c r="AG114" s="11"/>
      <c r="AH114" s="115">
        <f t="shared" si="23"/>
        <v>0</v>
      </c>
      <c r="AI114" s="115">
        <f t="shared" si="24"/>
        <v>0</v>
      </c>
      <c r="AJ114" s="115">
        <f t="shared" si="25"/>
        <v>0</v>
      </c>
      <c r="AL114" s="11">
        <f t="shared" si="26"/>
        <v>13357.27</v>
      </c>
      <c r="AM114" s="118" t="s">
        <v>182</v>
      </c>
    </row>
    <row r="115" spans="1:39" s="124" customFormat="1" ht="12" customHeight="1">
      <c r="A115" s="123"/>
      <c r="B115" s="123" t="s">
        <v>49</v>
      </c>
      <c r="C115" s="122"/>
      <c r="D115" s="118" t="s">
        <v>183</v>
      </c>
      <c r="E115" s="98"/>
      <c r="F115" s="99">
        <f>VLOOKUP(D115,'Feb14 Revenue'!D:V,19,FALSE)</f>
        <v>0</v>
      </c>
      <c r="G115" s="100"/>
      <c r="H115" s="100"/>
      <c r="I115" s="101"/>
      <c r="J115" s="102">
        <f t="shared" si="14"/>
        <v>0</v>
      </c>
      <c r="K115" s="103"/>
      <c r="L115" s="104"/>
      <c r="M115" s="105"/>
      <c r="N115" s="103">
        <v>0</v>
      </c>
      <c r="O115" s="106"/>
      <c r="P115" s="103">
        <v>0</v>
      </c>
      <c r="Q115" s="107">
        <f t="shared" si="1"/>
        <v>0</v>
      </c>
      <c r="R115" s="107"/>
      <c r="S115" s="107"/>
      <c r="T115" s="108"/>
      <c r="U115" s="119"/>
      <c r="V115" s="110" t="str">
        <f t="shared" si="18"/>
        <v/>
      </c>
      <c r="W115" s="103"/>
      <c r="X115" s="112">
        <f t="shared" si="19"/>
        <v>0</v>
      </c>
      <c r="Y115" s="112">
        <f t="shared" si="20"/>
        <v>0</v>
      </c>
      <c r="Z115" s="113">
        <f t="shared" si="21"/>
        <v>0</v>
      </c>
      <c r="AA115" s="113">
        <v>0</v>
      </c>
      <c r="AB115" s="114">
        <v>0</v>
      </c>
      <c r="AC115" s="11">
        <f t="shared" si="22"/>
        <v>0</v>
      </c>
      <c r="AD115" s="115">
        <f t="shared" si="15"/>
        <v>0</v>
      </c>
      <c r="AE115" s="115">
        <f t="shared" si="16"/>
        <v>0</v>
      </c>
      <c r="AF115" s="115">
        <f t="shared" si="17"/>
        <v>0</v>
      </c>
      <c r="AG115" s="11"/>
      <c r="AH115" s="115">
        <f t="shared" si="23"/>
        <v>0</v>
      </c>
      <c r="AI115" s="115">
        <f t="shared" si="24"/>
        <v>0</v>
      </c>
      <c r="AJ115" s="115">
        <f t="shared" si="25"/>
        <v>0</v>
      </c>
      <c r="AL115" s="11">
        <f t="shared" si="26"/>
        <v>0</v>
      </c>
      <c r="AM115" s="118" t="s">
        <v>183</v>
      </c>
    </row>
    <row r="116" spans="1:39" s="14" customFormat="1" ht="12" customHeight="1">
      <c r="A116" s="130"/>
      <c r="B116" s="130" t="s">
        <v>49</v>
      </c>
      <c r="C116" s="122"/>
      <c r="D116" s="120" t="s">
        <v>184</v>
      </c>
      <c r="E116" s="98"/>
      <c r="F116" s="99">
        <f>VLOOKUP(D116,'Feb14 Revenue'!D:V,19,FALSE)</f>
        <v>0</v>
      </c>
      <c r="G116" s="100"/>
      <c r="H116" s="100"/>
      <c r="I116" s="101"/>
      <c r="J116" s="102">
        <f t="shared" si="14"/>
        <v>0</v>
      </c>
      <c r="K116" s="103"/>
      <c r="L116" s="104"/>
      <c r="M116" s="105"/>
      <c r="N116" s="133"/>
      <c r="O116" s="136"/>
      <c r="P116" s="133"/>
      <c r="Q116" s="107">
        <f t="shared" si="1"/>
        <v>0</v>
      </c>
      <c r="R116" s="107"/>
      <c r="S116" s="107"/>
      <c r="T116" s="108"/>
      <c r="U116" s="119"/>
      <c r="V116" s="110" t="str">
        <f t="shared" si="18"/>
        <v/>
      </c>
      <c r="W116" s="103"/>
      <c r="X116" s="112">
        <f t="shared" si="19"/>
        <v>0</v>
      </c>
      <c r="Y116" s="112">
        <f t="shared" si="20"/>
        <v>0</v>
      </c>
      <c r="Z116" s="113">
        <f t="shared" si="21"/>
        <v>0</v>
      </c>
      <c r="AA116" s="113">
        <v>0</v>
      </c>
      <c r="AB116" s="114">
        <v>0</v>
      </c>
      <c r="AC116" s="11">
        <f t="shared" si="22"/>
        <v>0</v>
      </c>
      <c r="AD116" s="115">
        <f t="shared" si="15"/>
        <v>0</v>
      </c>
      <c r="AE116" s="115">
        <f t="shared" si="16"/>
        <v>0</v>
      </c>
      <c r="AF116" s="115">
        <f t="shared" si="17"/>
        <v>0</v>
      </c>
      <c r="AG116" s="11"/>
      <c r="AH116" s="115">
        <f t="shared" si="23"/>
        <v>0</v>
      </c>
      <c r="AI116" s="115">
        <f t="shared" si="24"/>
        <v>0</v>
      </c>
      <c r="AJ116" s="115">
        <f t="shared" si="25"/>
        <v>0</v>
      </c>
      <c r="AL116" s="11">
        <f t="shared" si="26"/>
        <v>0</v>
      </c>
      <c r="AM116" s="120" t="s">
        <v>184</v>
      </c>
    </row>
    <row r="117" spans="1:39" s="14" customFormat="1" ht="12" customHeight="1">
      <c r="A117" s="130"/>
      <c r="B117" s="130" t="s">
        <v>49</v>
      </c>
      <c r="C117" s="122"/>
      <c r="D117" s="120" t="s">
        <v>185</v>
      </c>
      <c r="E117" s="98"/>
      <c r="F117" s="99">
        <f>VLOOKUP(D117,'Feb14 Revenue'!D:V,19,FALSE)</f>
        <v>-5000</v>
      </c>
      <c r="G117" s="100"/>
      <c r="H117" s="100"/>
      <c r="I117" s="101"/>
      <c r="J117" s="102">
        <f t="shared" si="14"/>
        <v>-5000</v>
      </c>
      <c r="K117" s="103"/>
      <c r="L117" s="104"/>
      <c r="M117" s="105">
        <v>10000</v>
      </c>
      <c r="N117" s="133"/>
      <c r="O117" s="136"/>
      <c r="P117" s="133"/>
      <c r="Q117" s="107">
        <f t="shared" si="1"/>
        <v>10000</v>
      </c>
      <c r="R117" s="107"/>
      <c r="S117" s="107"/>
      <c r="T117" s="108"/>
      <c r="U117" s="119"/>
      <c r="V117" s="110" t="str">
        <f t="shared" si="18"/>
        <v/>
      </c>
      <c r="W117" s="103"/>
      <c r="X117" s="112">
        <f t="shared" si="19"/>
        <v>10000</v>
      </c>
      <c r="Y117" s="112">
        <f t="shared" si="20"/>
        <v>0</v>
      </c>
      <c r="Z117" s="113">
        <f t="shared" si="21"/>
        <v>0</v>
      </c>
      <c r="AA117" s="113">
        <v>0</v>
      </c>
      <c r="AB117" s="114">
        <v>0</v>
      </c>
      <c r="AC117" s="11">
        <f t="shared" si="22"/>
        <v>0</v>
      </c>
      <c r="AD117" s="115">
        <f t="shared" si="15"/>
        <v>-5000</v>
      </c>
      <c r="AE117" s="115">
        <f t="shared" si="16"/>
        <v>0</v>
      </c>
      <c r="AF117" s="115">
        <f t="shared" si="17"/>
        <v>0</v>
      </c>
      <c r="AG117" s="11"/>
      <c r="AH117" s="115">
        <f t="shared" si="23"/>
        <v>10000</v>
      </c>
      <c r="AI117" s="115">
        <f t="shared" si="24"/>
        <v>0</v>
      </c>
      <c r="AJ117" s="115">
        <f t="shared" si="25"/>
        <v>0</v>
      </c>
      <c r="AL117" s="11">
        <f t="shared" si="26"/>
        <v>5000</v>
      </c>
      <c r="AM117" s="120" t="s">
        <v>185</v>
      </c>
    </row>
    <row r="118" spans="1:39" ht="12" customHeight="1">
      <c r="A118" s="129"/>
      <c r="B118" s="129" t="s">
        <v>46</v>
      </c>
      <c r="C118" s="96" t="s">
        <v>186</v>
      </c>
      <c r="D118" s="120" t="s">
        <v>187</v>
      </c>
      <c r="E118" s="98">
        <v>549.42999999999995</v>
      </c>
      <c r="F118" s="99">
        <f>VLOOKUP(D118,'Feb14 Revenue'!D:V,19,FALSE)</f>
        <v>347.87</v>
      </c>
      <c r="G118" s="100"/>
      <c r="H118" s="100"/>
      <c r="I118" s="101"/>
      <c r="J118" s="102">
        <f t="shared" si="14"/>
        <v>897.3</v>
      </c>
      <c r="K118" s="103"/>
      <c r="L118" s="104"/>
      <c r="M118" s="105"/>
      <c r="N118" s="103">
        <v>0</v>
      </c>
      <c r="O118" s="106"/>
      <c r="P118" s="103">
        <v>0</v>
      </c>
      <c r="Q118" s="107">
        <f t="shared" si="1"/>
        <v>0</v>
      </c>
      <c r="R118" s="107"/>
      <c r="S118" s="107"/>
      <c r="T118" s="108"/>
      <c r="U118" s="119"/>
      <c r="V118" s="110" t="str">
        <f t="shared" si="18"/>
        <v/>
      </c>
      <c r="W118" s="103"/>
      <c r="X118" s="112">
        <f t="shared" si="19"/>
        <v>0</v>
      </c>
      <c r="Y118" s="112">
        <f t="shared" si="20"/>
        <v>0</v>
      </c>
      <c r="Z118" s="113">
        <f t="shared" si="21"/>
        <v>0</v>
      </c>
      <c r="AA118" s="113">
        <v>0</v>
      </c>
      <c r="AB118" s="114">
        <v>0</v>
      </c>
      <c r="AC118" s="11">
        <f t="shared" si="22"/>
        <v>0</v>
      </c>
      <c r="AD118" s="115">
        <f t="shared" si="15"/>
        <v>0</v>
      </c>
      <c r="AE118" s="115">
        <f t="shared" si="16"/>
        <v>897.3</v>
      </c>
      <c r="AF118" s="115">
        <f t="shared" si="17"/>
        <v>0</v>
      </c>
      <c r="AG118" s="11"/>
      <c r="AH118" s="115">
        <f t="shared" si="23"/>
        <v>0</v>
      </c>
      <c r="AI118" s="115">
        <f t="shared" si="24"/>
        <v>0</v>
      </c>
      <c r="AJ118" s="115">
        <f t="shared" si="25"/>
        <v>0</v>
      </c>
      <c r="AL118" s="11">
        <f t="shared" si="26"/>
        <v>897.3</v>
      </c>
      <c r="AM118" s="120" t="s">
        <v>187</v>
      </c>
    </row>
    <row r="119" spans="1:39">
      <c r="A119" s="116"/>
      <c r="B119" s="116" t="s">
        <v>46</v>
      </c>
      <c r="C119" s="122" t="s">
        <v>188</v>
      </c>
      <c r="D119" s="120" t="s">
        <v>189</v>
      </c>
      <c r="E119" s="98"/>
      <c r="F119" s="99">
        <f>VLOOKUP(D119,'Feb14 Revenue'!D:V,19,FALSE)</f>
        <v>0</v>
      </c>
      <c r="G119" s="100"/>
      <c r="H119" s="100"/>
      <c r="I119" s="101"/>
      <c r="J119" s="102">
        <f t="shared" si="14"/>
        <v>0</v>
      </c>
      <c r="K119" s="103"/>
      <c r="L119" s="104"/>
      <c r="M119" s="105"/>
      <c r="N119" s="103">
        <v>0</v>
      </c>
      <c r="O119" s="106"/>
      <c r="P119" s="103">
        <v>0</v>
      </c>
      <c r="Q119" s="107">
        <f t="shared" si="1"/>
        <v>0</v>
      </c>
      <c r="R119" s="107"/>
      <c r="S119" s="107"/>
      <c r="T119" s="108"/>
      <c r="U119" s="119"/>
      <c r="V119" s="110" t="str">
        <f t="shared" si="18"/>
        <v/>
      </c>
      <c r="W119" s="103"/>
      <c r="X119" s="112">
        <f t="shared" si="19"/>
        <v>0</v>
      </c>
      <c r="Y119" s="112">
        <f t="shared" si="20"/>
        <v>0</v>
      </c>
      <c r="Z119" s="113">
        <f t="shared" si="21"/>
        <v>0</v>
      </c>
      <c r="AA119" s="113">
        <v>0</v>
      </c>
      <c r="AB119" s="114">
        <v>0</v>
      </c>
      <c r="AC119" s="11">
        <f t="shared" si="22"/>
        <v>0</v>
      </c>
      <c r="AD119" s="115">
        <f t="shared" si="15"/>
        <v>0</v>
      </c>
      <c r="AE119" s="115">
        <f t="shared" si="16"/>
        <v>0</v>
      </c>
      <c r="AF119" s="115">
        <f t="shared" si="17"/>
        <v>0</v>
      </c>
      <c r="AG119" s="11"/>
      <c r="AH119" s="115">
        <f t="shared" si="23"/>
        <v>0</v>
      </c>
      <c r="AI119" s="115">
        <f t="shared" si="24"/>
        <v>0</v>
      </c>
      <c r="AJ119" s="115">
        <f t="shared" si="25"/>
        <v>0</v>
      </c>
      <c r="AL119" s="11">
        <f t="shared" si="26"/>
        <v>0</v>
      </c>
      <c r="AM119" s="120" t="s">
        <v>189</v>
      </c>
    </row>
    <row r="120" spans="1:39">
      <c r="A120" s="116"/>
      <c r="B120" s="116" t="s">
        <v>49</v>
      </c>
      <c r="C120" s="122"/>
      <c r="D120" s="120" t="s">
        <v>190</v>
      </c>
      <c r="E120" s="98"/>
      <c r="F120" s="99">
        <f>VLOOKUP(D120,'Feb14 Revenue'!D:V,19,FALSE)</f>
        <v>-659.90999999999985</v>
      </c>
      <c r="G120" s="100"/>
      <c r="H120" s="100"/>
      <c r="I120" s="101"/>
      <c r="J120" s="102">
        <f t="shared" si="14"/>
        <v>-659.90999999999985</v>
      </c>
      <c r="K120" s="103"/>
      <c r="L120" s="104"/>
      <c r="M120" s="105">
        <v>10000</v>
      </c>
      <c r="N120" s="103">
        <v>0</v>
      </c>
      <c r="O120" s="106"/>
      <c r="P120" s="103">
        <v>0</v>
      </c>
      <c r="Q120" s="107">
        <f t="shared" si="1"/>
        <v>10000</v>
      </c>
      <c r="R120" s="107"/>
      <c r="S120" s="107"/>
      <c r="T120" s="108"/>
      <c r="U120" s="119"/>
      <c r="V120" s="110" t="str">
        <f t="shared" si="18"/>
        <v/>
      </c>
      <c r="W120" s="103"/>
      <c r="X120" s="112">
        <f t="shared" si="19"/>
        <v>10000</v>
      </c>
      <c r="Y120" s="112">
        <f t="shared" si="20"/>
        <v>0</v>
      </c>
      <c r="Z120" s="113">
        <f t="shared" si="21"/>
        <v>0</v>
      </c>
      <c r="AA120" s="113">
        <v>0</v>
      </c>
      <c r="AB120" s="114">
        <v>0</v>
      </c>
      <c r="AC120" s="11">
        <f t="shared" si="22"/>
        <v>0</v>
      </c>
      <c r="AD120" s="115">
        <f t="shared" si="15"/>
        <v>-659.90999999999985</v>
      </c>
      <c r="AE120" s="115">
        <f t="shared" si="16"/>
        <v>0</v>
      </c>
      <c r="AF120" s="115">
        <f t="shared" si="17"/>
        <v>0</v>
      </c>
      <c r="AG120" s="11"/>
      <c r="AH120" s="115">
        <f t="shared" si="23"/>
        <v>10000</v>
      </c>
      <c r="AI120" s="115">
        <f t="shared" si="24"/>
        <v>0</v>
      </c>
      <c r="AJ120" s="115">
        <f t="shared" si="25"/>
        <v>0</v>
      </c>
      <c r="AL120" s="11">
        <f t="shared" si="26"/>
        <v>9340.09</v>
      </c>
      <c r="AM120" s="120" t="s">
        <v>190</v>
      </c>
    </row>
    <row r="121" spans="1:39">
      <c r="A121" s="129"/>
      <c r="B121" s="129" t="s">
        <v>49</v>
      </c>
      <c r="C121" s="96"/>
      <c r="D121" s="120" t="s">
        <v>191</v>
      </c>
      <c r="E121" s="98"/>
      <c r="F121" s="99">
        <f>VLOOKUP(D121,'Feb14 Revenue'!D:V,19,FALSE)</f>
        <v>0</v>
      </c>
      <c r="G121" s="100"/>
      <c r="H121" s="100"/>
      <c r="I121" s="101"/>
      <c r="J121" s="102">
        <f t="shared" si="14"/>
        <v>0</v>
      </c>
      <c r="K121" s="103"/>
      <c r="L121" s="104"/>
      <c r="M121" s="105"/>
      <c r="N121" s="103">
        <v>0</v>
      </c>
      <c r="O121" s="106"/>
      <c r="P121" s="103">
        <v>0</v>
      </c>
      <c r="Q121" s="107">
        <f t="shared" si="1"/>
        <v>0</v>
      </c>
      <c r="R121" s="107"/>
      <c r="S121" s="107"/>
      <c r="T121" s="108"/>
      <c r="U121" s="119"/>
      <c r="V121" s="110" t="str">
        <f t="shared" si="18"/>
        <v/>
      </c>
      <c r="W121" s="103"/>
      <c r="X121" s="112">
        <f t="shared" si="19"/>
        <v>0</v>
      </c>
      <c r="Y121" s="112">
        <f t="shared" si="20"/>
        <v>0</v>
      </c>
      <c r="Z121" s="113">
        <f t="shared" si="21"/>
        <v>0</v>
      </c>
      <c r="AA121" s="113">
        <v>0</v>
      </c>
      <c r="AB121" s="114">
        <v>0</v>
      </c>
      <c r="AC121" s="11">
        <f t="shared" si="22"/>
        <v>0</v>
      </c>
      <c r="AD121" s="115">
        <f t="shared" si="15"/>
        <v>0</v>
      </c>
      <c r="AE121" s="115">
        <f t="shared" si="16"/>
        <v>0</v>
      </c>
      <c r="AF121" s="115">
        <f t="shared" si="17"/>
        <v>0</v>
      </c>
      <c r="AG121" s="11"/>
      <c r="AH121" s="115">
        <f t="shared" si="23"/>
        <v>0</v>
      </c>
      <c r="AI121" s="115">
        <f t="shared" si="24"/>
        <v>0</v>
      </c>
      <c r="AJ121" s="115">
        <f t="shared" si="25"/>
        <v>0</v>
      </c>
      <c r="AL121" s="11">
        <f t="shared" si="26"/>
        <v>0</v>
      </c>
      <c r="AM121" s="120" t="s">
        <v>191</v>
      </c>
    </row>
    <row r="122" spans="1:39">
      <c r="A122" s="129"/>
      <c r="B122" s="129" t="s">
        <v>49</v>
      </c>
      <c r="C122" s="96"/>
      <c r="D122" s="120" t="s">
        <v>192</v>
      </c>
      <c r="E122" s="98"/>
      <c r="F122" s="99">
        <f>VLOOKUP(D122,'Feb14 Revenue'!D:V,19,FALSE)</f>
        <v>-20000</v>
      </c>
      <c r="G122" s="100"/>
      <c r="H122" s="100"/>
      <c r="I122" s="125">
        <v>11343.61</v>
      </c>
      <c r="J122" s="102">
        <f t="shared" si="14"/>
        <v>-8656.39</v>
      </c>
      <c r="K122" s="103"/>
      <c r="L122" s="104"/>
      <c r="M122" s="105"/>
      <c r="N122" s="103">
        <v>0</v>
      </c>
      <c r="O122" s="106"/>
      <c r="P122" s="103">
        <v>0</v>
      </c>
      <c r="Q122" s="107">
        <f t="shared" si="1"/>
        <v>0</v>
      </c>
      <c r="R122" s="107"/>
      <c r="S122" s="107"/>
      <c r="T122" s="108"/>
      <c r="U122" s="119"/>
      <c r="V122" s="110" t="str">
        <f t="shared" si="18"/>
        <v/>
      </c>
      <c r="W122" s="103"/>
      <c r="X122" s="112">
        <f t="shared" si="19"/>
        <v>0</v>
      </c>
      <c r="Y122" s="112">
        <f t="shared" si="20"/>
        <v>0</v>
      </c>
      <c r="Z122" s="113">
        <f t="shared" si="21"/>
        <v>0</v>
      </c>
      <c r="AA122" s="113">
        <v>0</v>
      </c>
      <c r="AB122" s="114">
        <v>0</v>
      </c>
      <c r="AC122" s="11">
        <f t="shared" si="22"/>
        <v>0</v>
      </c>
      <c r="AD122" s="115">
        <f t="shared" si="15"/>
        <v>-8656.39</v>
      </c>
      <c r="AE122" s="115">
        <f t="shared" si="16"/>
        <v>0</v>
      </c>
      <c r="AF122" s="115">
        <f t="shared" si="17"/>
        <v>0</v>
      </c>
      <c r="AG122" s="11"/>
      <c r="AH122" s="115">
        <f t="shared" si="23"/>
        <v>0</v>
      </c>
      <c r="AI122" s="115">
        <f t="shared" si="24"/>
        <v>0</v>
      </c>
      <c r="AJ122" s="115">
        <f t="shared" si="25"/>
        <v>0</v>
      </c>
      <c r="AL122" s="11">
        <f t="shared" si="26"/>
        <v>-8656.39</v>
      </c>
      <c r="AM122" s="120" t="s">
        <v>192</v>
      </c>
    </row>
    <row r="123" spans="1:39">
      <c r="A123" s="129"/>
      <c r="B123" s="129" t="s">
        <v>49</v>
      </c>
      <c r="C123" s="96"/>
      <c r="D123" s="120" t="s">
        <v>193</v>
      </c>
      <c r="E123" s="98"/>
      <c r="F123" s="99">
        <f>VLOOKUP(D123,'Feb14 Revenue'!D:V,19,FALSE)</f>
        <v>-140000</v>
      </c>
      <c r="G123" s="100"/>
      <c r="H123" s="100"/>
      <c r="I123" s="101"/>
      <c r="J123" s="102">
        <f t="shared" si="14"/>
        <v>-140000</v>
      </c>
      <c r="K123" s="103"/>
      <c r="L123" s="104"/>
      <c r="M123" s="105">
        <v>210000</v>
      </c>
      <c r="N123" s="103">
        <v>0</v>
      </c>
      <c r="O123" s="106"/>
      <c r="P123" s="103">
        <v>0</v>
      </c>
      <c r="Q123" s="107">
        <f t="shared" si="1"/>
        <v>210000</v>
      </c>
      <c r="R123" s="107"/>
      <c r="S123" s="107"/>
      <c r="T123" s="108"/>
      <c r="U123" s="119"/>
      <c r="V123" s="110" t="str">
        <f t="shared" si="18"/>
        <v/>
      </c>
      <c r="W123" s="103"/>
      <c r="X123" s="112">
        <f t="shared" si="19"/>
        <v>210000</v>
      </c>
      <c r="Y123" s="112">
        <f t="shared" si="20"/>
        <v>0</v>
      </c>
      <c r="Z123" s="113">
        <f t="shared" si="21"/>
        <v>0</v>
      </c>
      <c r="AA123" s="113">
        <v>0</v>
      </c>
      <c r="AB123" s="114">
        <v>0</v>
      </c>
      <c r="AC123" s="11">
        <f t="shared" si="22"/>
        <v>0</v>
      </c>
      <c r="AD123" s="115">
        <f t="shared" si="15"/>
        <v>-140000</v>
      </c>
      <c r="AE123" s="115">
        <f t="shared" si="16"/>
        <v>0</v>
      </c>
      <c r="AF123" s="115">
        <f t="shared" si="17"/>
        <v>0</v>
      </c>
      <c r="AG123" s="11"/>
      <c r="AH123" s="115">
        <f t="shared" si="23"/>
        <v>210000</v>
      </c>
      <c r="AI123" s="115">
        <f t="shared" si="24"/>
        <v>0</v>
      </c>
      <c r="AJ123" s="115">
        <f t="shared" si="25"/>
        <v>0</v>
      </c>
      <c r="AL123" s="11">
        <f t="shared" si="26"/>
        <v>70000</v>
      </c>
      <c r="AM123" s="120" t="s">
        <v>193</v>
      </c>
    </row>
    <row r="124" spans="1:39">
      <c r="A124" s="129"/>
      <c r="B124" s="129" t="s">
        <v>49</v>
      </c>
      <c r="C124" s="96"/>
      <c r="D124" s="120" t="s">
        <v>194</v>
      </c>
      <c r="E124" s="98"/>
      <c r="F124" s="99">
        <f>VLOOKUP(D124,'Feb14 Revenue'!D:V,19,FALSE)</f>
        <v>0</v>
      </c>
      <c r="G124" s="100"/>
      <c r="H124" s="100"/>
      <c r="I124" s="101"/>
      <c r="J124" s="102">
        <f t="shared" si="14"/>
        <v>0</v>
      </c>
      <c r="K124" s="103"/>
      <c r="L124" s="104"/>
      <c r="M124" s="105"/>
      <c r="N124" s="103">
        <v>0</v>
      </c>
      <c r="O124" s="106"/>
      <c r="P124" s="103">
        <v>0</v>
      </c>
      <c r="Q124" s="107">
        <f t="shared" si="1"/>
        <v>0</v>
      </c>
      <c r="R124" s="107"/>
      <c r="S124" s="107"/>
      <c r="T124" s="108"/>
      <c r="U124" s="119"/>
      <c r="V124" s="110" t="str">
        <f t="shared" si="18"/>
        <v/>
      </c>
      <c r="W124" s="103"/>
      <c r="X124" s="112">
        <f t="shared" si="19"/>
        <v>0</v>
      </c>
      <c r="Y124" s="112">
        <f t="shared" si="20"/>
        <v>0</v>
      </c>
      <c r="Z124" s="113">
        <f t="shared" si="21"/>
        <v>0</v>
      </c>
      <c r="AA124" s="113">
        <v>0</v>
      </c>
      <c r="AB124" s="114">
        <v>0</v>
      </c>
      <c r="AC124" s="11">
        <f t="shared" si="22"/>
        <v>0</v>
      </c>
      <c r="AD124" s="115">
        <f t="shared" si="15"/>
        <v>0</v>
      </c>
      <c r="AE124" s="115">
        <f t="shared" si="16"/>
        <v>0</v>
      </c>
      <c r="AF124" s="115">
        <f t="shared" si="17"/>
        <v>0</v>
      </c>
      <c r="AG124" s="11"/>
      <c r="AH124" s="115">
        <f t="shared" si="23"/>
        <v>0</v>
      </c>
      <c r="AI124" s="115">
        <f t="shared" si="24"/>
        <v>0</v>
      </c>
      <c r="AJ124" s="115">
        <f t="shared" si="25"/>
        <v>0</v>
      </c>
      <c r="AL124" s="11">
        <f t="shared" si="26"/>
        <v>0</v>
      </c>
      <c r="AM124" s="120" t="s">
        <v>194</v>
      </c>
    </row>
    <row r="125" spans="1:39">
      <c r="A125" s="116"/>
      <c r="B125" s="116" t="s">
        <v>49</v>
      </c>
      <c r="C125" s="122"/>
      <c r="D125" s="120" t="s">
        <v>195</v>
      </c>
      <c r="E125" s="98"/>
      <c r="F125" s="99">
        <f>VLOOKUP(D125,'Feb14 Revenue'!D:V,19,FALSE)</f>
        <v>379.51</v>
      </c>
      <c r="G125" s="100"/>
      <c r="H125" s="100"/>
      <c r="I125" s="101"/>
      <c r="J125" s="102">
        <f t="shared" si="14"/>
        <v>379.51</v>
      </c>
      <c r="K125" s="103"/>
      <c r="L125" s="104"/>
      <c r="M125" s="105"/>
      <c r="N125" s="103">
        <v>0</v>
      </c>
      <c r="O125" s="106"/>
      <c r="P125" s="103">
        <v>0</v>
      </c>
      <c r="Q125" s="107">
        <f t="shared" si="1"/>
        <v>0</v>
      </c>
      <c r="R125" s="107"/>
      <c r="S125" s="107"/>
      <c r="T125" s="108"/>
      <c r="U125" s="119"/>
      <c r="V125" s="110" t="str">
        <f t="shared" si="18"/>
        <v/>
      </c>
      <c r="W125" s="103"/>
      <c r="X125" s="112">
        <f t="shared" si="19"/>
        <v>0</v>
      </c>
      <c r="Y125" s="112">
        <f t="shared" si="20"/>
        <v>0</v>
      </c>
      <c r="Z125" s="113">
        <f t="shared" si="21"/>
        <v>0</v>
      </c>
      <c r="AA125" s="113">
        <v>0</v>
      </c>
      <c r="AB125" s="114">
        <v>0</v>
      </c>
      <c r="AC125" s="11">
        <f t="shared" si="22"/>
        <v>0</v>
      </c>
      <c r="AD125" s="115">
        <f t="shared" si="15"/>
        <v>379.51</v>
      </c>
      <c r="AE125" s="115">
        <f t="shared" si="16"/>
        <v>0</v>
      </c>
      <c r="AF125" s="115">
        <f t="shared" si="17"/>
        <v>0</v>
      </c>
      <c r="AG125" s="11"/>
      <c r="AH125" s="115">
        <f t="shared" si="23"/>
        <v>0</v>
      </c>
      <c r="AI125" s="115">
        <f t="shared" si="24"/>
        <v>0</v>
      </c>
      <c r="AJ125" s="115">
        <f t="shared" si="25"/>
        <v>0</v>
      </c>
      <c r="AL125" s="11">
        <f t="shared" si="26"/>
        <v>379.51</v>
      </c>
      <c r="AM125" s="120" t="s">
        <v>195</v>
      </c>
    </row>
    <row r="126" spans="1:39">
      <c r="A126" s="129"/>
      <c r="B126" s="129" t="s">
        <v>49</v>
      </c>
      <c r="C126" s="96" t="s">
        <v>196</v>
      </c>
      <c r="D126" s="120" t="s">
        <v>197</v>
      </c>
      <c r="E126" s="98"/>
      <c r="F126" s="99">
        <f>VLOOKUP(D126,'Feb14 Revenue'!D:V,19,FALSE)</f>
        <v>-55000</v>
      </c>
      <c r="G126" s="100"/>
      <c r="H126" s="100"/>
      <c r="I126" s="101"/>
      <c r="J126" s="102">
        <f t="shared" si="14"/>
        <v>-55000</v>
      </c>
      <c r="K126" s="103"/>
      <c r="L126" s="104"/>
      <c r="M126" s="105">
        <v>110000</v>
      </c>
      <c r="N126" s="103">
        <v>0</v>
      </c>
      <c r="O126" s="106"/>
      <c r="P126" s="103">
        <v>0</v>
      </c>
      <c r="Q126" s="107">
        <f t="shared" si="1"/>
        <v>110000</v>
      </c>
      <c r="R126" s="107"/>
      <c r="S126" s="107"/>
      <c r="T126" s="108"/>
      <c r="U126" s="119"/>
      <c r="V126" s="110" t="str">
        <f t="shared" si="18"/>
        <v/>
      </c>
      <c r="W126" s="103"/>
      <c r="X126" s="112">
        <f t="shared" si="19"/>
        <v>110000</v>
      </c>
      <c r="Y126" s="112">
        <f t="shared" si="20"/>
        <v>0</v>
      </c>
      <c r="Z126" s="113">
        <f t="shared" si="21"/>
        <v>0</v>
      </c>
      <c r="AA126" s="113">
        <v>0</v>
      </c>
      <c r="AB126" s="114">
        <v>0</v>
      </c>
      <c r="AC126" s="11">
        <f t="shared" si="22"/>
        <v>0</v>
      </c>
      <c r="AD126" s="115">
        <f t="shared" si="15"/>
        <v>-55000</v>
      </c>
      <c r="AE126" s="115">
        <f t="shared" si="16"/>
        <v>0</v>
      </c>
      <c r="AF126" s="115">
        <f t="shared" si="17"/>
        <v>0</v>
      </c>
      <c r="AG126" s="11"/>
      <c r="AH126" s="115">
        <f t="shared" si="23"/>
        <v>110000</v>
      </c>
      <c r="AI126" s="115">
        <f t="shared" si="24"/>
        <v>0</v>
      </c>
      <c r="AJ126" s="115">
        <f t="shared" si="25"/>
        <v>0</v>
      </c>
      <c r="AL126" s="11">
        <f t="shared" si="26"/>
        <v>55000</v>
      </c>
      <c r="AM126" s="120" t="s">
        <v>197</v>
      </c>
    </row>
    <row r="127" spans="1:39">
      <c r="A127" s="129"/>
      <c r="B127" s="129" t="s">
        <v>46</v>
      </c>
      <c r="C127" s="96" t="s">
        <v>198</v>
      </c>
      <c r="D127" s="120" t="s">
        <v>199</v>
      </c>
      <c r="E127" s="98"/>
      <c r="F127" s="99">
        <f>VLOOKUP(D127,'Feb14 Revenue'!D:V,19,FALSE)</f>
        <v>0</v>
      </c>
      <c r="G127" s="100"/>
      <c r="H127" s="100"/>
      <c r="I127" s="101"/>
      <c r="J127" s="102">
        <f t="shared" si="14"/>
        <v>0</v>
      </c>
      <c r="K127" s="103"/>
      <c r="L127" s="104"/>
      <c r="M127" s="105"/>
      <c r="N127" s="103">
        <v>0</v>
      </c>
      <c r="O127" s="106"/>
      <c r="P127" s="103">
        <v>0</v>
      </c>
      <c r="Q127" s="107">
        <f t="shared" si="1"/>
        <v>0</v>
      </c>
      <c r="R127" s="107"/>
      <c r="S127" s="107"/>
      <c r="T127" s="108"/>
      <c r="U127" s="119"/>
      <c r="V127" s="110" t="str">
        <f t="shared" si="18"/>
        <v/>
      </c>
      <c r="W127" s="103"/>
      <c r="X127" s="112">
        <f t="shared" si="19"/>
        <v>0</v>
      </c>
      <c r="Y127" s="112">
        <f t="shared" si="20"/>
        <v>0</v>
      </c>
      <c r="Z127" s="113">
        <f t="shared" si="21"/>
        <v>0</v>
      </c>
      <c r="AA127" s="113">
        <v>0</v>
      </c>
      <c r="AB127" s="114">
        <v>0</v>
      </c>
      <c r="AC127" s="11">
        <f t="shared" si="22"/>
        <v>0</v>
      </c>
      <c r="AD127" s="115">
        <f t="shared" si="15"/>
        <v>0</v>
      </c>
      <c r="AE127" s="115">
        <f t="shared" si="16"/>
        <v>0</v>
      </c>
      <c r="AF127" s="115">
        <f t="shared" si="17"/>
        <v>0</v>
      </c>
      <c r="AG127" s="11"/>
      <c r="AH127" s="115">
        <f t="shared" si="23"/>
        <v>0</v>
      </c>
      <c r="AI127" s="115">
        <f t="shared" si="24"/>
        <v>0</v>
      </c>
      <c r="AJ127" s="115">
        <f t="shared" si="25"/>
        <v>0</v>
      </c>
      <c r="AL127" s="11">
        <f t="shared" si="26"/>
        <v>0</v>
      </c>
      <c r="AM127" s="120" t="s">
        <v>199</v>
      </c>
    </row>
    <row r="128" spans="1:39">
      <c r="A128" s="129"/>
      <c r="B128" s="129" t="s">
        <v>49</v>
      </c>
      <c r="C128" s="96"/>
      <c r="D128" s="120" t="s">
        <v>200</v>
      </c>
      <c r="E128" s="98"/>
      <c r="F128" s="99">
        <f>VLOOKUP(D128,'Feb14 Revenue'!D:V,19,FALSE)</f>
        <v>0</v>
      </c>
      <c r="G128" s="100"/>
      <c r="H128" s="100"/>
      <c r="I128" s="101"/>
      <c r="J128" s="102">
        <f t="shared" si="14"/>
        <v>0</v>
      </c>
      <c r="K128" s="103"/>
      <c r="L128" s="104"/>
      <c r="M128" s="105"/>
      <c r="N128" s="103">
        <v>0</v>
      </c>
      <c r="O128" s="106"/>
      <c r="P128" s="103">
        <v>0</v>
      </c>
      <c r="Q128" s="107">
        <f t="shared" si="1"/>
        <v>0</v>
      </c>
      <c r="R128" s="107"/>
      <c r="S128" s="107"/>
      <c r="T128" s="108"/>
      <c r="U128" s="119"/>
      <c r="V128" s="110" t="str">
        <f t="shared" si="18"/>
        <v/>
      </c>
      <c r="W128" s="103"/>
      <c r="X128" s="112">
        <f t="shared" si="19"/>
        <v>0</v>
      </c>
      <c r="Y128" s="112">
        <f t="shared" si="20"/>
        <v>0</v>
      </c>
      <c r="Z128" s="113">
        <f t="shared" si="21"/>
        <v>0</v>
      </c>
      <c r="AA128" s="113">
        <v>0</v>
      </c>
      <c r="AB128" s="114">
        <v>0</v>
      </c>
      <c r="AC128" s="11">
        <f t="shared" si="22"/>
        <v>0</v>
      </c>
      <c r="AD128" s="115">
        <f t="shared" si="15"/>
        <v>0</v>
      </c>
      <c r="AE128" s="115">
        <f t="shared" si="16"/>
        <v>0</v>
      </c>
      <c r="AF128" s="115">
        <f t="shared" si="17"/>
        <v>0</v>
      </c>
      <c r="AG128" s="11"/>
      <c r="AH128" s="115">
        <f t="shared" si="23"/>
        <v>0</v>
      </c>
      <c r="AI128" s="115">
        <f t="shared" si="24"/>
        <v>0</v>
      </c>
      <c r="AJ128" s="115">
        <f t="shared" si="25"/>
        <v>0</v>
      </c>
      <c r="AL128" s="11">
        <f t="shared" si="26"/>
        <v>0</v>
      </c>
      <c r="AM128" s="120" t="s">
        <v>191</v>
      </c>
    </row>
    <row r="129" spans="1:39">
      <c r="A129" s="129"/>
      <c r="B129" s="129" t="s">
        <v>49</v>
      </c>
      <c r="C129" s="96"/>
      <c r="D129" s="120" t="s">
        <v>201</v>
      </c>
      <c r="E129" s="98"/>
      <c r="F129" s="99">
        <f>VLOOKUP(D129,'Feb14 Revenue'!D:V,19,FALSE)</f>
        <v>14881.3</v>
      </c>
      <c r="G129" s="100"/>
      <c r="H129" s="100"/>
      <c r="I129" s="125">
        <v>17030.3</v>
      </c>
      <c r="J129" s="102">
        <f t="shared" si="14"/>
        <v>31911.599999999999</v>
      </c>
      <c r="K129" s="103"/>
      <c r="L129" s="104"/>
      <c r="M129" s="105"/>
      <c r="N129" s="103">
        <v>0</v>
      </c>
      <c r="O129" s="106"/>
      <c r="P129" s="103">
        <v>0</v>
      </c>
      <c r="Q129" s="107">
        <f t="shared" si="1"/>
        <v>0</v>
      </c>
      <c r="R129" s="107"/>
      <c r="S129" s="107"/>
      <c r="T129" s="108"/>
      <c r="U129" s="119"/>
      <c r="V129" s="110" t="str">
        <f t="shared" si="18"/>
        <v/>
      </c>
      <c r="W129" s="103"/>
      <c r="X129" s="112">
        <f t="shared" si="19"/>
        <v>0</v>
      </c>
      <c r="Y129" s="112">
        <f t="shared" si="20"/>
        <v>0</v>
      </c>
      <c r="Z129" s="113">
        <f t="shared" si="21"/>
        <v>0</v>
      </c>
      <c r="AA129" s="113">
        <v>0</v>
      </c>
      <c r="AB129" s="114">
        <v>0</v>
      </c>
      <c r="AC129" s="11">
        <f t="shared" si="22"/>
        <v>0</v>
      </c>
      <c r="AD129" s="115">
        <f t="shared" si="15"/>
        <v>31911.599999999999</v>
      </c>
      <c r="AE129" s="115">
        <f t="shared" si="16"/>
        <v>0</v>
      </c>
      <c r="AF129" s="115">
        <f t="shared" si="17"/>
        <v>0</v>
      </c>
      <c r="AG129" s="11"/>
      <c r="AH129" s="115">
        <f t="shared" si="23"/>
        <v>0</v>
      </c>
      <c r="AI129" s="115">
        <f t="shared" si="24"/>
        <v>0</v>
      </c>
      <c r="AJ129" s="115">
        <f t="shared" si="25"/>
        <v>0</v>
      </c>
      <c r="AL129" s="11">
        <f t="shared" si="26"/>
        <v>31911.599999999999</v>
      </c>
      <c r="AM129" s="120" t="s">
        <v>201</v>
      </c>
    </row>
    <row r="130" spans="1:39">
      <c r="A130" s="129"/>
      <c r="B130" s="129" t="s">
        <v>81</v>
      </c>
      <c r="C130" s="96" t="s">
        <v>202</v>
      </c>
      <c r="D130" s="120" t="s">
        <v>203</v>
      </c>
      <c r="E130" s="98"/>
      <c r="F130" s="99">
        <f>VLOOKUP(D130,'Feb14 Revenue'!D:V,19,FALSE)</f>
        <v>-5000</v>
      </c>
      <c r="G130" s="100"/>
      <c r="H130" s="100"/>
      <c r="I130" s="101"/>
      <c r="J130" s="102">
        <f t="shared" si="14"/>
        <v>-5000</v>
      </c>
      <c r="K130" s="103"/>
      <c r="L130" s="104"/>
      <c r="M130" s="105">
        <v>6000</v>
      </c>
      <c r="N130" s="103">
        <v>0</v>
      </c>
      <c r="O130" s="106"/>
      <c r="P130" s="103">
        <v>0</v>
      </c>
      <c r="Q130" s="107">
        <f>L130+M130</f>
        <v>6000</v>
      </c>
      <c r="R130" s="107"/>
      <c r="S130" s="107"/>
      <c r="T130" s="108"/>
      <c r="U130" s="119"/>
      <c r="V130" s="110"/>
      <c r="W130" s="103"/>
      <c r="X130" s="112">
        <f t="shared" si="19"/>
        <v>0</v>
      </c>
      <c r="Y130" s="112">
        <f t="shared" si="20"/>
        <v>0</v>
      </c>
      <c r="Z130" s="113">
        <f t="shared" si="21"/>
        <v>6000</v>
      </c>
      <c r="AA130" s="113">
        <v>0</v>
      </c>
      <c r="AB130" s="114">
        <v>0</v>
      </c>
      <c r="AC130" s="11">
        <f t="shared" si="22"/>
        <v>0</v>
      </c>
      <c r="AD130" s="115">
        <f t="shared" si="15"/>
        <v>0</v>
      </c>
      <c r="AE130" s="115">
        <f t="shared" si="16"/>
        <v>0</v>
      </c>
      <c r="AF130" s="115">
        <f t="shared" si="17"/>
        <v>-5000</v>
      </c>
      <c r="AG130" s="11"/>
      <c r="AH130" s="115">
        <f t="shared" si="23"/>
        <v>0</v>
      </c>
      <c r="AI130" s="115">
        <f t="shared" si="24"/>
        <v>0</v>
      </c>
      <c r="AJ130" s="115">
        <f t="shared" si="25"/>
        <v>6000</v>
      </c>
      <c r="AL130" s="11">
        <f t="shared" si="26"/>
        <v>1000</v>
      </c>
      <c r="AM130" s="120" t="s">
        <v>203</v>
      </c>
    </row>
    <row r="131" spans="1:39">
      <c r="A131" s="129"/>
      <c r="B131" s="129" t="s">
        <v>46</v>
      </c>
      <c r="C131" s="96" t="s">
        <v>204</v>
      </c>
      <c r="D131" s="120" t="s">
        <v>205</v>
      </c>
      <c r="E131" s="98">
        <v>85.01</v>
      </c>
      <c r="F131" s="99">
        <f>VLOOKUP(D131,'Feb14 Revenue'!D:V,19,FALSE)</f>
        <v>787.16</v>
      </c>
      <c r="G131" s="100"/>
      <c r="H131" s="100"/>
      <c r="I131" s="101"/>
      <c r="J131" s="102">
        <f t="shared" si="14"/>
        <v>872.17</v>
      </c>
      <c r="K131" s="103"/>
      <c r="L131" s="104"/>
      <c r="M131" s="105"/>
      <c r="N131" s="103">
        <v>0</v>
      </c>
      <c r="O131" s="106"/>
      <c r="P131" s="103">
        <v>0</v>
      </c>
      <c r="Q131" s="107">
        <f t="shared" si="1"/>
        <v>0</v>
      </c>
      <c r="R131" s="107"/>
      <c r="S131" s="107"/>
      <c r="T131" s="108"/>
      <c r="U131" s="119"/>
      <c r="V131" s="110" t="str">
        <f t="shared" si="18"/>
        <v/>
      </c>
      <c r="W131" s="103"/>
      <c r="X131" s="112">
        <f t="shared" si="19"/>
        <v>0</v>
      </c>
      <c r="Y131" s="112">
        <f t="shared" si="20"/>
        <v>0</v>
      </c>
      <c r="Z131" s="113">
        <f t="shared" si="21"/>
        <v>0</v>
      </c>
      <c r="AA131" s="113">
        <v>0</v>
      </c>
      <c r="AB131" s="114">
        <v>0</v>
      </c>
      <c r="AC131" s="11">
        <f t="shared" si="22"/>
        <v>0</v>
      </c>
      <c r="AD131" s="115">
        <f t="shared" si="15"/>
        <v>0</v>
      </c>
      <c r="AE131" s="115">
        <f t="shared" si="16"/>
        <v>872.17</v>
      </c>
      <c r="AF131" s="115">
        <f t="shared" si="17"/>
        <v>0</v>
      </c>
      <c r="AG131" s="11"/>
      <c r="AH131" s="115">
        <f t="shared" si="23"/>
        <v>0</v>
      </c>
      <c r="AI131" s="115">
        <f t="shared" si="24"/>
        <v>0</v>
      </c>
      <c r="AJ131" s="115">
        <f t="shared" si="25"/>
        <v>0</v>
      </c>
      <c r="AL131" s="11">
        <f t="shared" si="26"/>
        <v>872.17</v>
      </c>
      <c r="AM131" s="120" t="s">
        <v>205</v>
      </c>
    </row>
    <row r="132" spans="1:39" s="124" customFormat="1">
      <c r="A132" s="123" t="s">
        <v>60</v>
      </c>
      <c r="B132" s="123" t="s">
        <v>46</v>
      </c>
      <c r="C132" s="122" t="s">
        <v>206</v>
      </c>
      <c r="D132" s="118" t="s">
        <v>207</v>
      </c>
      <c r="E132" s="98"/>
      <c r="F132" s="99">
        <f>VLOOKUP(D132,'Feb14 Revenue'!D:V,19,FALSE)</f>
        <v>0</v>
      </c>
      <c r="G132" s="100"/>
      <c r="H132" s="100"/>
      <c r="I132" s="101"/>
      <c r="J132" s="102">
        <f t="shared" si="14"/>
        <v>0</v>
      </c>
      <c r="K132" s="103"/>
      <c r="L132" s="104"/>
      <c r="M132" s="105"/>
      <c r="N132" s="103">
        <v>0</v>
      </c>
      <c r="O132" s="106"/>
      <c r="P132" s="103">
        <v>0</v>
      </c>
      <c r="Q132" s="107">
        <f t="shared" si="1"/>
        <v>0</v>
      </c>
      <c r="R132" s="107"/>
      <c r="S132" s="107"/>
      <c r="T132" s="108"/>
      <c r="U132" s="119"/>
      <c r="V132" s="110" t="str">
        <f t="shared" si="18"/>
        <v/>
      </c>
      <c r="W132" s="103"/>
      <c r="X132" s="112">
        <f t="shared" si="19"/>
        <v>0</v>
      </c>
      <c r="Y132" s="112">
        <f t="shared" si="20"/>
        <v>0</v>
      </c>
      <c r="Z132" s="113">
        <f t="shared" si="21"/>
        <v>0</v>
      </c>
      <c r="AA132" s="113">
        <v>0</v>
      </c>
      <c r="AB132" s="114">
        <v>0</v>
      </c>
      <c r="AC132" s="11">
        <f t="shared" si="22"/>
        <v>0</v>
      </c>
      <c r="AD132" s="115">
        <f t="shared" si="15"/>
        <v>0</v>
      </c>
      <c r="AE132" s="115">
        <f t="shared" si="16"/>
        <v>0</v>
      </c>
      <c r="AF132" s="115">
        <f t="shared" si="17"/>
        <v>0</v>
      </c>
      <c r="AG132" s="11"/>
      <c r="AH132" s="115">
        <f t="shared" si="23"/>
        <v>0</v>
      </c>
      <c r="AI132" s="115">
        <f t="shared" si="24"/>
        <v>0</v>
      </c>
      <c r="AJ132" s="115">
        <f t="shared" si="25"/>
        <v>0</v>
      </c>
      <c r="AL132" s="11">
        <f t="shared" si="26"/>
        <v>0</v>
      </c>
      <c r="AM132" s="118" t="s">
        <v>207</v>
      </c>
    </row>
    <row r="133" spans="1:39" s="124" customFormat="1">
      <c r="A133" s="123"/>
      <c r="B133" s="123" t="s">
        <v>49</v>
      </c>
      <c r="C133" s="122"/>
      <c r="D133" s="118" t="s">
        <v>208</v>
      </c>
      <c r="E133" s="98"/>
      <c r="F133" s="99">
        <f>VLOOKUP(D133,'Feb14 Revenue'!D:V,19,FALSE)</f>
        <v>-2661.26</v>
      </c>
      <c r="G133" s="100"/>
      <c r="H133" s="100"/>
      <c r="I133" s="101"/>
      <c r="J133" s="102">
        <f t="shared" si="14"/>
        <v>-2661.26</v>
      </c>
      <c r="K133" s="103"/>
      <c r="L133" s="104"/>
      <c r="M133" s="105">
        <v>5000</v>
      </c>
      <c r="N133" s="103">
        <v>0</v>
      </c>
      <c r="O133" s="106"/>
      <c r="P133" s="103">
        <v>0</v>
      </c>
      <c r="Q133" s="107">
        <f t="shared" si="1"/>
        <v>5000</v>
      </c>
      <c r="R133" s="107"/>
      <c r="S133" s="107"/>
      <c r="T133" s="108"/>
      <c r="U133" s="119"/>
      <c r="V133" s="110"/>
      <c r="W133" s="103"/>
      <c r="X133" s="112">
        <f t="shared" si="19"/>
        <v>5000</v>
      </c>
      <c r="Y133" s="112">
        <f t="shared" si="20"/>
        <v>0</v>
      </c>
      <c r="Z133" s="113">
        <f t="shared" si="21"/>
        <v>0</v>
      </c>
      <c r="AA133" s="113">
        <v>0</v>
      </c>
      <c r="AB133" s="114">
        <v>0</v>
      </c>
      <c r="AC133" s="11">
        <f t="shared" si="22"/>
        <v>0</v>
      </c>
      <c r="AD133" s="115">
        <f t="shared" si="15"/>
        <v>-2661.26</v>
      </c>
      <c r="AE133" s="115">
        <f t="shared" si="16"/>
        <v>0</v>
      </c>
      <c r="AF133" s="115">
        <f t="shared" si="17"/>
        <v>0</v>
      </c>
      <c r="AG133" s="11"/>
      <c r="AH133" s="115">
        <f t="shared" si="23"/>
        <v>5000</v>
      </c>
      <c r="AI133" s="115">
        <f t="shared" si="24"/>
        <v>0</v>
      </c>
      <c r="AJ133" s="115">
        <f t="shared" si="25"/>
        <v>0</v>
      </c>
      <c r="AL133" s="11">
        <f t="shared" si="26"/>
        <v>2338.7399999999998</v>
      </c>
      <c r="AM133" s="118" t="s">
        <v>208</v>
      </c>
    </row>
    <row r="134" spans="1:39" s="124" customFormat="1">
      <c r="A134" s="123"/>
      <c r="B134" s="123" t="s">
        <v>46</v>
      </c>
      <c r="C134" s="122"/>
      <c r="D134" s="118" t="s">
        <v>209</v>
      </c>
      <c r="E134" s="98"/>
      <c r="F134" s="99">
        <f>VLOOKUP(D134,'Feb14 Revenue'!D:V,19,FALSE)</f>
        <v>-631.66000000000349</v>
      </c>
      <c r="G134" s="100"/>
      <c r="H134" s="100"/>
      <c r="I134" s="101"/>
      <c r="J134" s="102">
        <f t="shared" si="14"/>
        <v>-631.66000000000349</v>
      </c>
      <c r="K134" s="103"/>
      <c r="L134" s="104"/>
      <c r="M134" s="105">
        <v>40000</v>
      </c>
      <c r="N134" s="103">
        <v>0</v>
      </c>
      <c r="O134" s="106"/>
      <c r="P134" s="103">
        <v>0</v>
      </c>
      <c r="Q134" s="107">
        <f t="shared" si="1"/>
        <v>40000</v>
      </c>
      <c r="R134" s="107"/>
      <c r="S134" s="107"/>
      <c r="T134" s="108"/>
      <c r="U134" s="119"/>
      <c r="V134" s="110"/>
      <c r="W134" s="103"/>
      <c r="X134" s="112">
        <f t="shared" si="19"/>
        <v>0</v>
      </c>
      <c r="Y134" s="112">
        <f t="shared" si="20"/>
        <v>40000</v>
      </c>
      <c r="Z134" s="113">
        <f t="shared" si="21"/>
        <v>0</v>
      </c>
      <c r="AA134" s="113">
        <v>0</v>
      </c>
      <c r="AB134" s="114">
        <v>0</v>
      </c>
      <c r="AC134" s="11">
        <f t="shared" si="22"/>
        <v>0</v>
      </c>
      <c r="AD134" s="115">
        <f t="shared" si="15"/>
        <v>0</v>
      </c>
      <c r="AE134" s="115">
        <f t="shared" si="16"/>
        <v>-631.66000000000349</v>
      </c>
      <c r="AF134" s="115">
        <f t="shared" si="17"/>
        <v>0</v>
      </c>
      <c r="AG134" s="11"/>
      <c r="AH134" s="115">
        <f t="shared" si="23"/>
        <v>0</v>
      </c>
      <c r="AI134" s="115">
        <f t="shared" si="24"/>
        <v>40000</v>
      </c>
      <c r="AJ134" s="115">
        <f t="shared" si="25"/>
        <v>0</v>
      </c>
      <c r="AL134" s="11">
        <f t="shared" si="26"/>
        <v>39368.339999999997</v>
      </c>
      <c r="AM134" s="118" t="s">
        <v>209</v>
      </c>
    </row>
    <row r="135" spans="1:39" s="124" customFormat="1">
      <c r="A135" s="127"/>
      <c r="B135" s="127" t="s">
        <v>49</v>
      </c>
      <c r="C135" s="96" t="s">
        <v>210</v>
      </c>
      <c r="D135" s="118" t="s">
        <v>211</v>
      </c>
      <c r="E135" s="98"/>
      <c r="F135" s="99">
        <f>VLOOKUP(D135,'Feb14 Revenue'!D:V,19,FALSE)</f>
        <v>0</v>
      </c>
      <c r="G135" s="100"/>
      <c r="H135" s="100"/>
      <c r="I135" s="101"/>
      <c r="J135" s="102">
        <f t="shared" si="14"/>
        <v>0</v>
      </c>
      <c r="K135" s="103"/>
      <c r="L135" s="104"/>
      <c r="M135" s="105"/>
      <c r="N135" s="103">
        <v>0</v>
      </c>
      <c r="O135" s="106"/>
      <c r="P135" s="103">
        <v>0</v>
      </c>
      <c r="Q135" s="107">
        <f t="shared" si="1"/>
        <v>0</v>
      </c>
      <c r="R135" s="107"/>
      <c r="S135" s="107"/>
      <c r="T135" s="108"/>
      <c r="U135" s="119"/>
      <c r="V135" s="110" t="str">
        <f t="shared" ref="V135" si="27">IF(T135="","",T135-Q135)</f>
        <v/>
      </c>
      <c r="W135" s="103"/>
      <c r="X135" s="112">
        <f t="shared" si="19"/>
        <v>0</v>
      </c>
      <c r="Y135" s="112">
        <f t="shared" si="20"/>
        <v>0</v>
      </c>
      <c r="Z135" s="113">
        <f t="shared" si="21"/>
        <v>0</v>
      </c>
      <c r="AA135" s="113">
        <v>0</v>
      </c>
      <c r="AB135" s="114">
        <v>0</v>
      </c>
      <c r="AC135" s="11">
        <f t="shared" si="22"/>
        <v>0</v>
      </c>
      <c r="AD135" s="115">
        <f t="shared" si="15"/>
        <v>0</v>
      </c>
      <c r="AE135" s="115">
        <f t="shared" si="16"/>
        <v>0</v>
      </c>
      <c r="AF135" s="115">
        <f t="shared" si="17"/>
        <v>0</v>
      </c>
      <c r="AG135" s="11"/>
      <c r="AH135" s="115">
        <f t="shared" si="23"/>
        <v>0</v>
      </c>
      <c r="AI135" s="115">
        <f t="shared" si="24"/>
        <v>0</v>
      </c>
      <c r="AJ135" s="115">
        <f t="shared" si="25"/>
        <v>0</v>
      </c>
      <c r="AL135" s="11">
        <f t="shared" si="26"/>
        <v>0</v>
      </c>
      <c r="AM135" s="118" t="s">
        <v>211</v>
      </c>
    </row>
    <row r="136" spans="1:39" s="124" customFormat="1">
      <c r="A136" s="123"/>
      <c r="B136" s="123" t="s">
        <v>49</v>
      </c>
      <c r="C136" s="122"/>
      <c r="D136" s="120" t="s">
        <v>212</v>
      </c>
      <c r="E136" s="98"/>
      <c r="F136" s="99">
        <f>VLOOKUP(D136,'Feb14 Revenue'!D:V,19,FALSE)</f>
        <v>0</v>
      </c>
      <c r="G136" s="100"/>
      <c r="H136" s="100"/>
      <c r="I136" s="101"/>
      <c r="J136" s="102">
        <f t="shared" si="14"/>
        <v>0</v>
      </c>
      <c r="K136" s="103"/>
      <c r="L136" s="104"/>
      <c r="M136" s="105"/>
      <c r="N136" s="103">
        <v>0</v>
      </c>
      <c r="O136" s="106"/>
      <c r="P136" s="103">
        <v>0</v>
      </c>
      <c r="Q136" s="107">
        <f t="shared" si="1"/>
        <v>0</v>
      </c>
      <c r="R136" s="107"/>
      <c r="S136" s="107"/>
      <c r="T136" s="108"/>
      <c r="U136" s="119"/>
      <c r="V136" s="110" t="str">
        <f t="shared" si="18"/>
        <v/>
      </c>
      <c r="W136" s="103"/>
      <c r="X136" s="112">
        <f t="shared" si="19"/>
        <v>0</v>
      </c>
      <c r="Y136" s="112">
        <f t="shared" si="20"/>
        <v>0</v>
      </c>
      <c r="Z136" s="113">
        <f t="shared" si="21"/>
        <v>0</v>
      </c>
      <c r="AA136" s="113">
        <v>0</v>
      </c>
      <c r="AB136" s="114">
        <v>0</v>
      </c>
      <c r="AC136" s="11">
        <f t="shared" si="22"/>
        <v>0</v>
      </c>
      <c r="AD136" s="115">
        <f t="shared" si="15"/>
        <v>0</v>
      </c>
      <c r="AE136" s="115">
        <f t="shared" si="16"/>
        <v>0</v>
      </c>
      <c r="AF136" s="115">
        <f t="shared" si="17"/>
        <v>0</v>
      </c>
      <c r="AG136" s="11"/>
      <c r="AH136" s="115">
        <f t="shared" si="23"/>
        <v>0</v>
      </c>
      <c r="AI136" s="115">
        <f t="shared" si="24"/>
        <v>0</v>
      </c>
      <c r="AJ136" s="115">
        <f t="shared" si="25"/>
        <v>0</v>
      </c>
      <c r="AL136" s="11">
        <f t="shared" si="26"/>
        <v>0</v>
      </c>
      <c r="AM136" s="120" t="s">
        <v>212</v>
      </c>
    </row>
    <row r="137" spans="1:39" s="124" customFormat="1">
      <c r="A137" s="123"/>
      <c r="B137" s="123" t="s">
        <v>49</v>
      </c>
      <c r="C137" s="122" t="s">
        <v>213</v>
      </c>
      <c r="D137" s="118" t="s">
        <v>214</v>
      </c>
      <c r="E137" s="98"/>
      <c r="F137" s="99">
        <f>VLOOKUP(D137,'Feb14 Revenue'!D:V,19,FALSE)</f>
        <v>0</v>
      </c>
      <c r="G137" s="100"/>
      <c r="H137" s="100"/>
      <c r="I137" s="101"/>
      <c r="J137" s="102">
        <f t="shared" si="14"/>
        <v>0</v>
      </c>
      <c r="K137" s="103"/>
      <c r="L137" s="104"/>
      <c r="M137" s="105"/>
      <c r="N137" s="103">
        <v>0</v>
      </c>
      <c r="O137" s="106"/>
      <c r="P137" s="103">
        <v>0</v>
      </c>
      <c r="Q137" s="107">
        <f t="shared" si="1"/>
        <v>0</v>
      </c>
      <c r="R137" s="107"/>
      <c r="S137" s="107"/>
      <c r="T137" s="108"/>
      <c r="U137" s="119"/>
      <c r="V137" s="110" t="str">
        <f t="shared" si="18"/>
        <v/>
      </c>
      <c r="W137" s="103"/>
      <c r="X137" s="112">
        <f t="shared" si="19"/>
        <v>0</v>
      </c>
      <c r="Y137" s="112">
        <f t="shared" si="20"/>
        <v>0</v>
      </c>
      <c r="Z137" s="113">
        <f t="shared" si="21"/>
        <v>0</v>
      </c>
      <c r="AA137" s="113">
        <v>0</v>
      </c>
      <c r="AB137" s="114">
        <v>0</v>
      </c>
      <c r="AC137" s="11">
        <f t="shared" si="22"/>
        <v>0</v>
      </c>
      <c r="AD137" s="115">
        <f t="shared" si="15"/>
        <v>0</v>
      </c>
      <c r="AE137" s="115">
        <f t="shared" si="16"/>
        <v>0</v>
      </c>
      <c r="AF137" s="115">
        <f t="shared" si="17"/>
        <v>0</v>
      </c>
      <c r="AG137" s="11"/>
      <c r="AH137" s="115">
        <f t="shared" si="23"/>
        <v>0</v>
      </c>
      <c r="AI137" s="115">
        <f t="shared" si="24"/>
        <v>0</v>
      </c>
      <c r="AJ137" s="115">
        <f t="shared" si="25"/>
        <v>0</v>
      </c>
      <c r="AL137" s="11">
        <f t="shared" si="26"/>
        <v>0</v>
      </c>
      <c r="AM137" s="118" t="s">
        <v>214</v>
      </c>
    </row>
    <row r="138" spans="1:39" s="124" customFormat="1" hidden="1">
      <c r="A138" s="123"/>
      <c r="B138" s="123" t="s">
        <v>49</v>
      </c>
      <c r="C138" s="122" t="s">
        <v>213</v>
      </c>
      <c r="D138" s="118" t="s">
        <v>215</v>
      </c>
      <c r="E138" s="98"/>
      <c r="F138" s="99">
        <f>VLOOKUP(D138,'Feb14 Revenue'!D:V,19,FALSE)</f>
        <v>0</v>
      </c>
      <c r="G138" s="100"/>
      <c r="H138" s="100"/>
      <c r="I138" s="101"/>
      <c r="J138" s="102">
        <f t="shared" si="14"/>
        <v>0</v>
      </c>
      <c r="K138" s="103"/>
      <c r="L138" s="104"/>
      <c r="M138" s="105"/>
      <c r="N138" s="103">
        <v>0</v>
      </c>
      <c r="O138" s="106"/>
      <c r="P138" s="103">
        <v>0</v>
      </c>
      <c r="Q138" s="107">
        <f t="shared" si="1"/>
        <v>0</v>
      </c>
      <c r="R138" s="107"/>
      <c r="S138" s="107"/>
      <c r="T138" s="108"/>
      <c r="U138" s="119"/>
      <c r="V138" s="110" t="str">
        <f t="shared" si="18"/>
        <v/>
      </c>
      <c r="W138" s="103"/>
      <c r="X138" s="112">
        <f t="shared" si="19"/>
        <v>0</v>
      </c>
      <c r="Y138" s="112">
        <f t="shared" si="20"/>
        <v>0</v>
      </c>
      <c r="Z138" s="113">
        <f t="shared" si="21"/>
        <v>0</v>
      </c>
      <c r="AA138" s="113">
        <v>0</v>
      </c>
      <c r="AB138" s="114">
        <v>0</v>
      </c>
      <c r="AC138" s="11">
        <f t="shared" si="22"/>
        <v>0</v>
      </c>
      <c r="AD138" s="115">
        <f t="shared" si="15"/>
        <v>0</v>
      </c>
      <c r="AE138" s="115">
        <f t="shared" si="16"/>
        <v>0</v>
      </c>
      <c r="AF138" s="115">
        <f t="shared" si="17"/>
        <v>0</v>
      </c>
      <c r="AG138" s="11"/>
      <c r="AH138" s="115">
        <f t="shared" si="23"/>
        <v>0</v>
      </c>
      <c r="AI138" s="115">
        <f t="shared" si="24"/>
        <v>0</v>
      </c>
      <c r="AJ138" s="115">
        <f t="shared" si="25"/>
        <v>0</v>
      </c>
      <c r="AL138" s="11">
        <f t="shared" si="26"/>
        <v>0</v>
      </c>
      <c r="AM138" s="118" t="s">
        <v>215</v>
      </c>
    </row>
    <row r="139" spans="1:39" s="124" customFormat="1" hidden="1">
      <c r="A139" s="123"/>
      <c r="B139" s="123" t="s">
        <v>49</v>
      </c>
      <c r="C139" s="122" t="s">
        <v>213</v>
      </c>
      <c r="D139" s="118" t="s">
        <v>216</v>
      </c>
      <c r="E139" s="98"/>
      <c r="F139" s="99">
        <f>VLOOKUP(D139,'Feb14 Revenue'!D:V,19,FALSE)</f>
        <v>0</v>
      </c>
      <c r="G139" s="100"/>
      <c r="H139" s="100"/>
      <c r="I139" s="101"/>
      <c r="J139" s="102">
        <f t="shared" si="14"/>
        <v>0</v>
      </c>
      <c r="K139" s="103"/>
      <c r="L139" s="104"/>
      <c r="M139" s="105"/>
      <c r="N139" s="103">
        <v>0</v>
      </c>
      <c r="O139" s="106"/>
      <c r="P139" s="103">
        <v>0</v>
      </c>
      <c r="Q139" s="107">
        <f t="shared" si="1"/>
        <v>0</v>
      </c>
      <c r="R139" s="107"/>
      <c r="S139" s="107"/>
      <c r="T139" s="108"/>
      <c r="U139" s="119"/>
      <c r="V139" s="110" t="str">
        <f t="shared" si="18"/>
        <v/>
      </c>
      <c r="W139" s="103"/>
      <c r="X139" s="112">
        <f t="shared" si="19"/>
        <v>0</v>
      </c>
      <c r="Y139" s="112">
        <f t="shared" si="20"/>
        <v>0</v>
      </c>
      <c r="Z139" s="113">
        <f t="shared" si="21"/>
        <v>0</v>
      </c>
      <c r="AA139" s="113">
        <v>0</v>
      </c>
      <c r="AB139" s="114">
        <v>0</v>
      </c>
      <c r="AC139" s="11">
        <f t="shared" si="22"/>
        <v>0</v>
      </c>
      <c r="AD139" s="115">
        <f t="shared" si="15"/>
        <v>0</v>
      </c>
      <c r="AE139" s="115">
        <f t="shared" si="16"/>
        <v>0</v>
      </c>
      <c r="AF139" s="115">
        <f t="shared" si="17"/>
        <v>0</v>
      </c>
      <c r="AG139" s="11"/>
      <c r="AH139" s="115">
        <f t="shared" si="23"/>
        <v>0</v>
      </c>
      <c r="AI139" s="115">
        <f t="shared" si="24"/>
        <v>0</v>
      </c>
      <c r="AJ139" s="115">
        <f t="shared" si="25"/>
        <v>0</v>
      </c>
      <c r="AL139" s="11">
        <f t="shared" si="26"/>
        <v>0</v>
      </c>
      <c r="AM139" s="118" t="s">
        <v>216</v>
      </c>
    </row>
    <row r="140" spans="1:39" s="124" customFormat="1" hidden="1">
      <c r="A140" s="123"/>
      <c r="B140" s="123" t="s">
        <v>49</v>
      </c>
      <c r="C140" s="122" t="s">
        <v>213</v>
      </c>
      <c r="D140" s="118" t="s">
        <v>217</v>
      </c>
      <c r="E140" s="98"/>
      <c r="F140" s="99">
        <f>VLOOKUP(D140,'Feb14 Revenue'!D:V,19,FALSE)</f>
        <v>0</v>
      </c>
      <c r="G140" s="100"/>
      <c r="H140" s="100"/>
      <c r="I140" s="101"/>
      <c r="J140" s="102">
        <f t="shared" si="14"/>
        <v>0</v>
      </c>
      <c r="K140" s="103"/>
      <c r="L140" s="104"/>
      <c r="M140" s="105"/>
      <c r="N140" s="103">
        <v>0</v>
      </c>
      <c r="O140" s="106"/>
      <c r="P140" s="103">
        <v>0</v>
      </c>
      <c r="Q140" s="107">
        <f t="shared" si="1"/>
        <v>0</v>
      </c>
      <c r="R140" s="107"/>
      <c r="S140" s="107"/>
      <c r="T140" s="108"/>
      <c r="U140" s="119"/>
      <c r="V140" s="110" t="str">
        <f t="shared" si="18"/>
        <v/>
      </c>
      <c r="W140" s="103"/>
      <c r="X140" s="112">
        <f t="shared" si="19"/>
        <v>0</v>
      </c>
      <c r="Y140" s="112">
        <f t="shared" si="20"/>
        <v>0</v>
      </c>
      <c r="Z140" s="113">
        <f t="shared" si="21"/>
        <v>0</v>
      </c>
      <c r="AA140" s="113">
        <v>0</v>
      </c>
      <c r="AB140" s="114">
        <v>0</v>
      </c>
      <c r="AC140" s="11">
        <f t="shared" si="22"/>
        <v>0</v>
      </c>
      <c r="AD140" s="115">
        <f t="shared" si="15"/>
        <v>0</v>
      </c>
      <c r="AE140" s="115">
        <f t="shared" si="16"/>
        <v>0</v>
      </c>
      <c r="AF140" s="115">
        <f t="shared" si="17"/>
        <v>0</v>
      </c>
      <c r="AG140" s="11"/>
      <c r="AH140" s="115">
        <f t="shared" si="23"/>
        <v>0</v>
      </c>
      <c r="AI140" s="115">
        <f t="shared" si="24"/>
        <v>0</v>
      </c>
      <c r="AJ140" s="115">
        <f t="shared" si="25"/>
        <v>0</v>
      </c>
      <c r="AL140" s="11">
        <f t="shared" si="26"/>
        <v>0</v>
      </c>
      <c r="AM140" s="118" t="s">
        <v>217</v>
      </c>
    </row>
    <row r="141" spans="1:39" s="124" customFormat="1" hidden="1">
      <c r="A141" s="123"/>
      <c r="B141" s="123" t="s">
        <v>49</v>
      </c>
      <c r="C141" s="122" t="s">
        <v>213</v>
      </c>
      <c r="D141" s="118" t="s">
        <v>218</v>
      </c>
      <c r="E141" s="98"/>
      <c r="F141" s="99">
        <f>VLOOKUP(D141,'Feb14 Revenue'!D:V,19,FALSE)</f>
        <v>0</v>
      </c>
      <c r="G141" s="100"/>
      <c r="H141" s="100"/>
      <c r="I141" s="101"/>
      <c r="J141" s="102">
        <f t="shared" si="14"/>
        <v>0</v>
      </c>
      <c r="K141" s="103"/>
      <c r="L141" s="104"/>
      <c r="M141" s="105"/>
      <c r="N141" s="103">
        <v>0</v>
      </c>
      <c r="O141" s="106"/>
      <c r="P141" s="103">
        <v>0</v>
      </c>
      <c r="Q141" s="107">
        <f t="shared" si="1"/>
        <v>0</v>
      </c>
      <c r="R141" s="107"/>
      <c r="S141" s="107"/>
      <c r="T141" s="108"/>
      <c r="U141" s="119"/>
      <c r="V141" s="110" t="str">
        <f t="shared" si="18"/>
        <v/>
      </c>
      <c r="W141" s="103"/>
      <c r="X141" s="112">
        <f t="shared" si="19"/>
        <v>0</v>
      </c>
      <c r="Y141" s="112">
        <f t="shared" si="20"/>
        <v>0</v>
      </c>
      <c r="Z141" s="113">
        <f t="shared" si="21"/>
        <v>0</v>
      </c>
      <c r="AA141" s="113">
        <v>0</v>
      </c>
      <c r="AB141" s="114">
        <v>0</v>
      </c>
      <c r="AC141" s="11">
        <f t="shared" si="22"/>
        <v>0</v>
      </c>
      <c r="AD141" s="115">
        <f t="shared" si="15"/>
        <v>0</v>
      </c>
      <c r="AE141" s="115">
        <f t="shared" si="16"/>
        <v>0</v>
      </c>
      <c r="AF141" s="115">
        <f t="shared" si="17"/>
        <v>0</v>
      </c>
      <c r="AG141" s="11"/>
      <c r="AH141" s="115">
        <f t="shared" si="23"/>
        <v>0</v>
      </c>
      <c r="AI141" s="115">
        <f t="shared" si="24"/>
        <v>0</v>
      </c>
      <c r="AJ141" s="115">
        <f t="shared" si="25"/>
        <v>0</v>
      </c>
      <c r="AL141" s="11">
        <f t="shared" si="26"/>
        <v>0</v>
      </c>
      <c r="AM141" s="118" t="s">
        <v>218</v>
      </c>
    </row>
    <row r="142" spans="1:39" s="124" customFormat="1" hidden="1">
      <c r="A142" s="123"/>
      <c r="B142" s="123" t="s">
        <v>49</v>
      </c>
      <c r="C142" s="122" t="s">
        <v>213</v>
      </c>
      <c r="D142" s="118" t="s">
        <v>219</v>
      </c>
      <c r="E142" s="98"/>
      <c r="F142" s="99">
        <f>VLOOKUP(D142,'Feb14 Revenue'!D:V,19,FALSE)</f>
        <v>0</v>
      </c>
      <c r="G142" s="100"/>
      <c r="H142" s="100"/>
      <c r="I142" s="101"/>
      <c r="J142" s="102">
        <f t="shared" si="14"/>
        <v>0</v>
      </c>
      <c r="K142" s="103"/>
      <c r="L142" s="104"/>
      <c r="M142" s="105"/>
      <c r="N142" s="103">
        <v>0</v>
      </c>
      <c r="O142" s="106"/>
      <c r="P142" s="103">
        <v>0</v>
      </c>
      <c r="Q142" s="107">
        <f t="shared" si="1"/>
        <v>0</v>
      </c>
      <c r="R142" s="107"/>
      <c r="S142" s="107"/>
      <c r="T142" s="108"/>
      <c r="U142" s="119"/>
      <c r="V142" s="110" t="str">
        <f t="shared" si="18"/>
        <v/>
      </c>
      <c r="W142" s="103"/>
      <c r="X142" s="112">
        <f t="shared" si="19"/>
        <v>0</v>
      </c>
      <c r="Y142" s="112">
        <f t="shared" si="20"/>
        <v>0</v>
      </c>
      <c r="Z142" s="113">
        <f t="shared" si="21"/>
        <v>0</v>
      </c>
      <c r="AA142" s="113">
        <v>0</v>
      </c>
      <c r="AB142" s="114">
        <v>0</v>
      </c>
      <c r="AC142" s="11">
        <f t="shared" si="22"/>
        <v>0</v>
      </c>
      <c r="AD142" s="115">
        <f t="shared" si="15"/>
        <v>0</v>
      </c>
      <c r="AE142" s="115">
        <f t="shared" si="16"/>
        <v>0</v>
      </c>
      <c r="AF142" s="115">
        <f t="shared" si="17"/>
        <v>0</v>
      </c>
      <c r="AG142" s="11"/>
      <c r="AH142" s="115">
        <f t="shared" si="23"/>
        <v>0</v>
      </c>
      <c r="AI142" s="115">
        <f t="shared" si="24"/>
        <v>0</v>
      </c>
      <c r="AJ142" s="115">
        <f t="shared" si="25"/>
        <v>0</v>
      </c>
      <c r="AL142" s="11">
        <f t="shared" si="26"/>
        <v>0</v>
      </c>
      <c r="AM142" s="118" t="s">
        <v>219</v>
      </c>
    </row>
    <row r="143" spans="1:39" s="124" customFormat="1" hidden="1">
      <c r="A143" s="123"/>
      <c r="B143" s="123" t="s">
        <v>49</v>
      </c>
      <c r="C143" s="122" t="s">
        <v>213</v>
      </c>
      <c r="D143" s="118" t="s">
        <v>220</v>
      </c>
      <c r="E143" s="98"/>
      <c r="F143" s="99">
        <f>VLOOKUP(D143,'Feb14 Revenue'!D:V,19,FALSE)</f>
        <v>0</v>
      </c>
      <c r="G143" s="100"/>
      <c r="H143" s="100"/>
      <c r="I143" s="101"/>
      <c r="J143" s="102">
        <f t="shared" si="14"/>
        <v>0</v>
      </c>
      <c r="K143" s="103"/>
      <c r="L143" s="104"/>
      <c r="M143" s="105"/>
      <c r="N143" s="103">
        <v>0</v>
      </c>
      <c r="O143" s="106"/>
      <c r="P143" s="103">
        <v>0</v>
      </c>
      <c r="Q143" s="107">
        <f t="shared" si="1"/>
        <v>0</v>
      </c>
      <c r="R143" s="107"/>
      <c r="S143" s="107"/>
      <c r="T143" s="108"/>
      <c r="U143" s="119"/>
      <c r="V143" s="110" t="str">
        <f t="shared" si="18"/>
        <v/>
      </c>
      <c r="W143" s="103"/>
      <c r="X143" s="112">
        <f t="shared" si="19"/>
        <v>0</v>
      </c>
      <c r="Y143" s="112">
        <f t="shared" si="20"/>
        <v>0</v>
      </c>
      <c r="Z143" s="113">
        <f t="shared" si="21"/>
        <v>0</v>
      </c>
      <c r="AA143" s="113">
        <v>0</v>
      </c>
      <c r="AB143" s="114">
        <v>0</v>
      </c>
      <c r="AC143" s="11">
        <f t="shared" si="22"/>
        <v>0</v>
      </c>
      <c r="AD143" s="115">
        <f t="shared" si="15"/>
        <v>0</v>
      </c>
      <c r="AE143" s="115">
        <f t="shared" si="16"/>
        <v>0</v>
      </c>
      <c r="AF143" s="115">
        <f t="shared" si="17"/>
        <v>0</v>
      </c>
      <c r="AG143" s="11"/>
      <c r="AH143" s="115">
        <f t="shared" si="23"/>
        <v>0</v>
      </c>
      <c r="AI143" s="115">
        <f t="shared" si="24"/>
        <v>0</v>
      </c>
      <c r="AJ143" s="115">
        <f t="shared" si="25"/>
        <v>0</v>
      </c>
      <c r="AL143" s="11">
        <f t="shared" si="26"/>
        <v>0</v>
      </c>
      <c r="AM143" s="118" t="s">
        <v>220</v>
      </c>
    </row>
    <row r="144" spans="1:39" s="124" customFormat="1">
      <c r="A144" s="123"/>
      <c r="B144" s="123" t="s">
        <v>49</v>
      </c>
      <c r="C144" s="122" t="s">
        <v>213</v>
      </c>
      <c r="D144" s="118" t="s">
        <v>221</v>
      </c>
      <c r="E144" s="98"/>
      <c r="F144" s="99">
        <f>VLOOKUP(D144,'Feb14 Revenue'!D:V,19,FALSE)</f>
        <v>0</v>
      </c>
      <c r="G144" s="100"/>
      <c r="H144" s="100"/>
      <c r="I144" s="101"/>
      <c r="J144" s="102">
        <f t="shared" si="14"/>
        <v>0</v>
      </c>
      <c r="K144" s="103"/>
      <c r="L144" s="104"/>
      <c r="M144" s="105"/>
      <c r="N144" s="103">
        <v>0</v>
      </c>
      <c r="O144" s="106"/>
      <c r="P144" s="103">
        <v>0</v>
      </c>
      <c r="Q144" s="107">
        <f t="shared" si="1"/>
        <v>0</v>
      </c>
      <c r="R144" s="107"/>
      <c r="S144" s="107"/>
      <c r="T144" s="108"/>
      <c r="U144" s="119"/>
      <c r="V144" s="110" t="str">
        <f t="shared" si="18"/>
        <v/>
      </c>
      <c r="W144" s="103"/>
      <c r="X144" s="112">
        <f t="shared" si="19"/>
        <v>0</v>
      </c>
      <c r="Y144" s="112">
        <f t="shared" si="20"/>
        <v>0</v>
      </c>
      <c r="Z144" s="113">
        <f t="shared" si="21"/>
        <v>0</v>
      </c>
      <c r="AA144" s="113">
        <v>0</v>
      </c>
      <c r="AB144" s="114">
        <v>0</v>
      </c>
      <c r="AC144" s="11">
        <f t="shared" si="22"/>
        <v>0</v>
      </c>
      <c r="AD144" s="115">
        <f t="shared" si="15"/>
        <v>0</v>
      </c>
      <c r="AE144" s="115">
        <f t="shared" si="16"/>
        <v>0</v>
      </c>
      <c r="AF144" s="115">
        <f t="shared" si="17"/>
        <v>0</v>
      </c>
      <c r="AG144" s="11"/>
      <c r="AH144" s="115">
        <f t="shared" si="23"/>
        <v>0</v>
      </c>
      <c r="AI144" s="115">
        <f t="shared" si="24"/>
        <v>0</v>
      </c>
      <c r="AJ144" s="115">
        <f t="shared" si="25"/>
        <v>0</v>
      </c>
      <c r="AL144" s="11">
        <f t="shared" si="26"/>
        <v>0</v>
      </c>
      <c r="AM144" s="118" t="s">
        <v>221</v>
      </c>
    </row>
    <row r="145" spans="1:39" s="124" customFormat="1">
      <c r="A145" s="123"/>
      <c r="B145" s="123" t="s">
        <v>46</v>
      </c>
      <c r="C145" s="122" t="s">
        <v>213</v>
      </c>
      <c r="D145" s="118" t="s">
        <v>222</v>
      </c>
      <c r="E145" s="98"/>
      <c r="F145" s="99">
        <f>VLOOKUP(D145,'Feb14 Revenue'!D:V,19,FALSE)</f>
        <v>0</v>
      </c>
      <c r="G145" s="100"/>
      <c r="H145" s="100"/>
      <c r="I145" s="101"/>
      <c r="J145" s="102">
        <f>SUM(E145:I145)</f>
        <v>0</v>
      </c>
      <c r="K145" s="103"/>
      <c r="L145" s="104"/>
      <c r="M145" s="105"/>
      <c r="N145" s="103">
        <v>0</v>
      </c>
      <c r="O145" s="106"/>
      <c r="P145" s="103">
        <v>0</v>
      </c>
      <c r="Q145" s="107">
        <f t="shared" si="1"/>
        <v>0</v>
      </c>
      <c r="R145" s="107"/>
      <c r="S145" s="107"/>
      <c r="T145" s="108"/>
      <c r="U145" s="119"/>
      <c r="V145" s="110" t="str">
        <f t="shared" si="18"/>
        <v/>
      </c>
      <c r="W145" s="103"/>
      <c r="X145" s="112">
        <f t="shared" si="19"/>
        <v>0</v>
      </c>
      <c r="Y145" s="112">
        <f t="shared" si="20"/>
        <v>0</v>
      </c>
      <c r="Z145" s="113">
        <f t="shared" si="21"/>
        <v>0</v>
      </c>
      <c r="AA145" s="113">
        <v>0</v>
      </c>
      <c r="AB145" s="114">
        <v>0</v>
      </c>
      <c r="AC145" s="11">
        <f t="shared" si="22"/>
        <v>0</v>
      </c>
      <c r="AD145" s="115">
        <f t="shared" si="15"/>
        <v>0</v>
      </c>
      <c r="AE145" s="115">
        <f t="shared" si="16"/>
        <v>0</v>
      </c>
      <c r="AF145" s="115">
        <f t="shared" si="17"/>
        <v>0</v>
      </c>
      <c r="AG145" s="11"/>
      <c r="AH145" s="115">
        <f t="shared" si="23"/>
        <v>0</v>
      </c>
      <c r="AI145" s="115">
        <f t="shared" si="24"/>
        <v>0</v>
      </c>
      <c r="AJ145" s="115">
        <f t="shared" si="25"/>
        <v>0</v>
      </c>
      <c r="AL145" s="11">
        <f t="shared" si="26"/>
        <v>0</v>
      </c>
      <c r="AM145" s="118" t="s">
        <v>222</v>
      </c>
    </row>
    <row r="146" spans="1:39" s="124" customFormat="1">
      <c r="A146" s="123"/>
      <c r="B146" s="116" t="s">
        <v>46</v>
      </c>
      <c r="C146" s="122"/>
      <c r="D146" s="120" t="s">
        <v>223</v>
      </c>
      <c r="E146" s="98"/>
      <c r="F146" s="99">
        <f>VLOOKUP(D146,'Feb14 Revenue'!D:V,19,FALSE)</f>
        <v>-35000</v>
      </c>
      <c r="G146" s="100"/>
      <c r="H146" s="100"/>
      <c r="I146" s="101"/>
      <c r="J146" s="102">
        <f t="shared" si="14"/>
        <v>-35000</v>
      </c>
      <c r="K146" s="103"/>
      <c r="L146" s="104"/>
      <c r="M146" s="105">
        <v>40000</v>
      </c>
      <c r="N146" s="103">
        <v>0</v>
      </c>
      <c r="O146" s="106"/>
      <c r="P146" s="103">
        <v>0</v>
      </c>
      <c r="Q146" s="107">
        <f t="shared" si="1"/>
        <v>40000</v>
      </c>
      <c r="R146" s="107"/>
      <c r="S146" s="107"/>
      <c r="T146" s="108"/>
      <c r="U146" s="119"/>
      <c r="V146" s="110" t="str">
        <f t="shared" si="18"/>
        <v/>
      </c>
      <c r="W146" s="103"/>
      <c r="X146" s="112">
        <f t="shared" si="19"/>
        <v>0</v>
      </c>
      <c r="Y146" s="112">
        <f t="shared" si="20"/>
        <v>40000</v>
      </c>
      <c r="Z146" s="113">
        <f t="shared" si="21"/>
        <v>0</v>
      </c>
      <c r="AA146" s="113">
        <v>0</v>
      </c>
      <c r="AB146" s="114">
        <v>0</v>
      </c>
      <c r="AC146" s="11">
        <f t="shared" si="22"/>
        <v>0</v>
      </c>
      <c r="AD146" s="115">
        <f t="shared" si="15"/>
        <v>0</v>
      </c>
      <c r="AE146" s="115">
        <f t="shared" si="16"/>
        <v>-35000</v>
      </c>
      <c r="AF146" s="115">
        <f t="shared" si="17"/>
        <v>0</v>
      </c>
      <c r="AG146" s="11"/>
      <c r="AH146" s="115">
        <f t="shared" si="23"/>
        <v>0</v>
      </c>
      <c r="AI146" s="115">
        <f t="shared" si="24"/>
        <v>40000</v>
      </c>
      <c r="AJ146" s="115">
        <f t="shared" si="25"/>
        <v>0</v>
      </c>
      <c r="AL146" s="11">
        <f t="shared" si="26"/>
        <v>5000</v>
      </c>
      <c r="AM146" s="120" t="s">
        <v>223</v>
      </c>
    </row>
    <row r="147" spans="1:39">
      <c r="A147" s="129"/>
      <c r="B147" s="129" t="s">
        <v>49</v>
      </c>
      <c r="C147" s="96" t="s">
        <v>224</v>
      </c>
      <c r="D147" s="120" t="s">
        <v>225</v>
      </c>
      <c r="E147" s="98"/>
      <c r="F147" s="99">
        <f>VLOOKUP(D147,'Feb14 Revenue'!D:V,19,FALSE)</f>
        <v>11892.429999999993</v>
      </c>
      <c r="G147" s="100"/>
      <c r="H147" s="100"/>
      <c r="I147" s="101"/>
      <c r="J147" s="102">
        <f t="shared" si="14"/>
        <v>11892.429999999993</v>
      </c>
      <c r="K147" s="103"/>
      <c r="L147" s="104"/>
      <c r="M147" s="105">
        <v>330000</v>
      </c>
      <c r="N147" s="103">
        <v>0</v>
      </c>
      <c r="O147" s="106"/>
      <c r="P147" s="103">
        <v>0</v>
      </c>
      <c r="Q147" s="107">
        <f t="shared" si="1"/>
        <v>330000</v>
      </c>
      <c r="R147" s="107"/>
      <c r="S147" s="107"/>
      <c r="T147" s="108"/>
      <c r="U147" s="119"/>
      <c r="V147" s="110" t="str">
        <f t="shared" si="18"/>
        <v/>
      </c>
      <c r="W147" s="103"/>
      <c r="X147" s="112">
        <f t="shared" si="19"/>
        <v>330000</v>
      </c>
      <c r="Y147" s="112">
        <f t="shared" si="20"/>
        <v>0</v>
      </c>
      <c r="Z147" s="113">
        <f t="shared" si="21"/>
        <v>0</v>
      </c>
      <c r="AA147" s="113">
        <v>0</v>
      </c>
      <c r="AB147" s="114">
        <v>0</v>
      </c>
      <c r="AC147" s="11">
        <f t="shared" si="22"/>
        <v>0</v>
      </c>
      <c r="AD147" s="115">
        <f t="shared" si="15"/>
        <v>11892.429999999993</v>
      </c>
      <c r="AE147" s="115">
        <f t="shared" si="16"/>
        <v>0</v>
      </c>
      <c r="AF147" s="115">
        <f t="shared" si="17"/>
        <v>0</v>
      </c>
      <c r="AG147" s="11"/>
      <c r="AH147" s="115">
        <f t="shared" si="23"/>
        <v>330000</v>
      </c>
      <c r="AI147" s="115">
        <f t="shared" si="24"/>
        <v>0</v>
      </c>
      <c r="AJ147" s="115">
        <f t="shared" si="25"/>
        <v>0</v>
      </c>
      <c r="AL147" s="11">
        <f t="shared" si="26"/>
        <v>341892.43</v>
      </c>
      <c r="AM147" s="120" t="s">
        <v>225</v>
      </c>
    </row>
    <row r="148" spans="1:39" s="141" customFormat="1">
      <c r="A148" s="129"/>
      <c r="B148" s="129" t="s">
        <v>49</v>
      </c>
      <c r="C148" s="96" t="s">
        <v>224</v>
      </c>
      <c r="D148" s="120" t="s">
        <v>226</v>
      </c>
      <c r="E148" s="98"/>
      <c r="F148" s="99">
        <f>VLOOKUP(D148,'Feb14 Revenue'!D:V,19,FALSE)</f>
        <v>2096.09</v>
      </c>
      <c r="G148" s="100"/>
      <c r="H148" s="100"/>
      <c r="I148" s="101"/>
      <c r="J148" s="102">
        <f t="shared" si="14"/>
        <v>2096.09</v>
      </c>
      <c r="K148" s="103"/>
      <c r="L148" s="104"/>
      <c r="M148" s="105">
        <v>15000</v>
      </c>
      <c r="N148" s="103">
        <v>0</v>
      </c>
      <c r="O148" s="106"/>
      <c r="P148" s="103">
        <v>0</v>
      </c>
      <c r="Q148" s="107">
        <f t="shared" si="1"/>
        <v>15000</v>
      </c>
      <c r="R148" s="107"/>
      <c r="S148" s="107"/>
      <c r="T148" s="108"/>
      <c r="U148" s="119"/>
      <c r="V148" s="110" t="str">
        <f t="shared" si="18"/>
        <v/>
      </c>
      <c r="W148" s="103"/>
      <c r="X148" s="112">
        <f t="shared" si="19"/>
        <v>15000</v>
      </c>
      <c r="Y148" s="112">
        <f t="shared" si="20"/>
        <v>0</v>
      </c>
      <c r="Z148" s="113">
        <f t="shared" si="21"/>
        <v>0</v>
      </c>
      <c r="AA148" s="113">
        <v>0</v>
      </c>
      <c r="AB148" s="114">
        <v>0</v>
      </c>
      <c r="AC148" s="11">
        <f t="shared" si="22"/>
        <v>0</v>
      </c>
      <c r="AD148" s="115">
        <f t="shared" si="15"/>
        <v>2096.09</v>
      </c>
      <c r="AE148" s="115">
        <f t="shared" si="16"/>
        <v>0</v>
      </c>
      <c r="AF148" s="115">
        <f t="shared" si="17"/>
        <v>0</v>
      </c>
      <c r="AG148" s="11"/>
      <c r="AH148" s="115">
        <f t="shared" si="23"/>
        <v>15000</v>
      </c>
      <c r="AI148" s="115">
        <f t="shared" si="24"/>
        <v>0</v>
      </c>
      <c r="AJ148" s="115">
        <f t="shared" si="25"/>
        <v>0</v>
      </c>
      <c r="AL148" s="11">
        <f t="shared" si="26"/>
        <v>17096.09</v>
      </c>
      <c r="AM148" s="120" t="s">
        <v>226</v>
      </c>
    </row>
    <row r="149" spans="1:39" s="141" customFormat="1">
      <c r="A149" s="129"/>
      <c r="B149" s="129" t="s">
        <v>81</v>
      </c>
      <c r="C149" s="128" t="s">
        <v>227</v>
      </c>
      <c r="D149" s="120" t="s">
        <v>228</v>
      </c>
      <c r="E149" s="98"/>
      <c r="F149" s="99">
        <f>VLOOKUP(D149,'Feb14 Revenue'!D:V,19,FALSE)</f>
        <v>0</v>
      </c>
      <c r="G149" s="100"/>
      <c r="H149" s="100"/>
      <c r="I149" s="101"/>
      <c r="J149" s="102">
        <f t="shared" si="14"/>
        <v>0</v>
      </c>
      <c r="K149" s="103"/>
      <c r="L149" s="104"/>
      <c r="M149" s="105"/>
      <c r="N149" s="103">
        <v>0</v>
      </c>
      <c r="O149" s="106"/>
      <c r="P149" s="103">
        <v>0</v>
      </c>
      <c r="Q149" s="107">
        <f t="shared" ref="Q149:Q220" si="28">L149+M149</f>
        <v>0</v>
      </c>
      <c r="R149" s="107"/>
      <c r="S149" s="107"/>
      <c r="T149" s="108"/>
      <c r="U149" s="119"/>
      <c r="V149" s="110" t="str">
        <f t="shared" si="18"/>
        <v/>
      </c>
      <c r="W149" s="103"/>
      <c r="X149" s="112">
        <f t="shared" si="19"/>
        <v>0</v>
      </c>
      <c r="Y149" s="112">
        <f t="shared" si="20"/>
        <v>0</v>
      </c>
      <c r="Z149" s="113">
        <f t="shared" si="21"/>
        <v>0</v>
      </c>
      <c r="AA149" s="113">
        <v>0</v>
      </c>
      <c r="AB149" s="114">
        <v>0</v>
      </c>
      <c r="AC149" s="11">
        <f t="shared" si="22"/>
        <v>0</v>
      </c>
      <c r="AD149" s="115">
        <f t="shared" si="15"/>
        <v>0</v>
      </c>
      <c r="AE149" s="115">
        <f t="shared" si="16"/>
        <v>0</v>
      </c>
      <c r="AF149" s="115">
        <f t="shared" si="17"/>
        <v>0</v>
      </c>
      <c r="AG149" s="11"/>
      <c r="AH149" s="115">
        <f t="shared" si="23"/>
        <v>0</v>
      </c>
      <c r="AI149" s="115">
        <f t="shared" si="24"/>
        <v>0</v>
      </c>
      <c r="AJ149" s="115">
        <f t="shared" si="25"/>
        <v>0</v>
      </c>
      <c r="AL149" s="11">
        <f t="shared" si="26"/>
        <v>0</v>
      </c>
      <c r="AM149" s="120" t="s">
        <v>228</v>
      </c>
    </row>
    <row r="150" spans="1:39">
      <c r="A150" s="129"/>
      <c r="B150" s="129" t="s">
        <v>46</v>
      </c>
      <c r="C150" s="96"/>
      <c r="D150" s="120" t="s">
        <v>229</v>
      </c>
      <c r="E150" s="98"/>
      <c r="F150" s="99">
        <f>VLOOKUP(D150,'Feb14 Revenue'!D:V,19,FALSE)</f>
        <v>0</v>
      </c>
      <c r="G150" s="100"/>
      <c r="H150" s="100"/>
      <c r="I150" s="101"/>
      <c r="J150" s="102">
        <f t="shared" si="14"/>
        <v>0</v>
      </c>
      <c r="K150" s="103"/>
      <c r="L150" s="104"/>
      <c r="M150" s="105"/>
      <c r="N150" s="103">
        <v>0</v>
      </c>
      <c r="O150" s="106"/>
      <c r="P150" s="103">
        <v>0</v>
      </c>
      <c r="Q150" s="107">
        <f t="shared" si="28"/>
        <v>0</v>
      </c>
      <c r="R150" s="107"/>
      <c r="S150" s="107"/>
      <c r="T150" s="108"/>
      <c r="U150" s="119"/>
      <c r="V150" s="110" t="str">
        <f t="shared" si="18"/>
        <v/>
      </c>
      <c r="W150" s="103"/>
      <c r="X150" s="112">
        <f t="shared" si="19"/>
        <v>0</v>
      </c>
      <c r="Y150" s="112">
        <f t="shared" si="20"/>
        <v>0</v>
      </c>
      <c r="Z150" s="113">
        <f t="shared" si="21"/>
        <v>0</v>
      </c>
      <c r="AA150" s="113">
        <v>0</v>
      </c>
      <c r="AB150" s="114">
        <v>0</v>
      </c>
      <c r="AC150" s="11">
        <f t="shared" si="22"/>
        <v>0</v>
      </c>
      <c r="AD150" s="115">
        <f t="shared" si="15"/>
        <v>0</v>
      </c>
      <c r="AE150" s="115">
        <f t="shared" si="16"/>
        <v>0</v>
      </c>
      <c r="AF150" s="115">
        <f t="shared" si="17"/>
        <v>0</v>
      </c>
      <c r="AG150" s="11"/>
      <c r="AH150" s="115">
        <f t="shared" si="23"/>
        <v>0</v>
      </c>
      <c r="AI150" s="115">
        <f t="shared" si="24"/>
        <v>0</v>
      </c>
      <c r="AJ150" s="115">
        <f t="shared" si="25"/>
        <v>0</v>
      </c>
      <c r="AL150" s="11">
        <f t="shared" si="26"/>
        <v>0</v>
      </c>
      <c r="AM150" s="120" t="s">
        <v>229</v>
      </c>
    </row>
    <row r="151" spans="1:39">
      <c r="A151" s="116"/>
      <c r="B151" s="116" t="s">
        <v>46</v>
      </c>
      <c r="C151" s="122" t="s">
        <v>230</v>
      </c>
      <c r="D151" s="120" t="s">
        <v>231</v>
      </c>
      <c r="E151" s="98"/>
      <c r="F151" s="99">
        <f>VLOOKUP(D151,'Feb14 Revenue'!D:V,19,FALSE)</f>
        <v>13.98</v>
      </c>
      <c r="G151" s="100"/>
      <c r="H151" s="100"/>
      <c r="I151" s="101"/>
      <c r="J151" s="102">
        <f t="shared" si="14"/>
        <v>13.98</v>
      </c>
      <c r="K151" s="103"/>
      <c r="L151" s="104"/>
      <c r="M151" s="105"/>
      <c r="N151" s="103">
        <v>0</v>
      </c>
      <c r="O151" s="106"/>
      <c r="P151" s="103">
        <v>0</v>
      </c>
      <c r="Q151" s="107">
        <f t="shared" si="28"/>
        <v>0</v>
      </c>
      <c r="R151" s="107"/>
      <c r="S151" s="107"/>
      <c r="T151" s="108"/>
      <c r="U151" s="119"/>
      <c r="V151" s="110" t="str">
        <f t="shared" si="18"/>
        <v/>
      </c>
      <c r="W151" s="103"/>
      <c r="X151" s="112">
        <f t="shared" si="19"/>
        <v>0</v>
      </c>
      <c r="Y151" s="112">
        <f t="shared" si="20"/>
        <v>0</v>
      </c>
      <c r="Z151" s="113">
        <f t="shared" si="21"/>
        <v>0</v>
      </c>
      <c r="AA151" s="113">
        <v>0</v>
      </c>
      <c r="AB151" s="114">
        <v>0</v>
      </c>
      <c r="AC151" s="11">
        <f t="shared" si="22"/>
        <v>0</v>
      </c>
      <c r="AD151" s="115">
        <f t="shared" si="15"/>
        <v>0</v>
      </c>
      <c r="AE151" s="115">
        <f t="shared" si="16"/>
        <v>13.98</v>
      </c>
      <c r="AF151" s="115">
        <f t="shared" si="17"/>
        <v>0</v>
      </c>
      <c r="AG151" s="11"/>
      <c r="AH151" s="115">
        <f t="shared" si="23"/>
        <v>0</v>
      </c>
      <c r="AI151" s="115">
        <f t="shared" si="24"/>
        <v>0</v>
      </c>
      <c r="AJ151" s="115">
        <f t="shared" si="25"/>
        <v>0</v>
      </c>
      <c r="AL151" s="11">
        <f t="shared" si="26"/>
        <v>13.98</v>
      </c>
      <c r="AM151" s="120" t="s">
        <v>231</v>
      </c>
    </row>
    <row r="152" spans="1:39">
      <c r="A152" s="129"/>
      <c r="B152" s="129" t="s">
        <v>49</v>
      </c>
      <c r="C152" s="96"/>
      <c r="D152" s="120" t="s">
        <v>232</v>
      </c>
      <c r="E152" s="98"/>
      <c r="F152" s="99">
        <f>VLOOKUP(D152,'Feb14 Revenue'!D:V,19,FALSE)</f>
        <v>0</v>
      </c>
      <c r="G152" s="100"/>
      <c r="H152" s="100"/>
      <c r="I152" s="101"/>
      <c r="J152" s="102">
        <f t="shared" si="14"/>
        <v>0</v>
      </c>
      <c r="K152" s="103"/>
      <c r="L152" s="104"/>
      <c r="M152" s="105"/>
      <c r="N152" s="103">
        <v>0</v>
      </c>
      <c r="O152" s="106"/>
      <c r="P152" s="103">
        <v>0</v>
      </c>
      <c r="Q152" s="107">
        <f t="shared" si="28"/>
        <v>0</v>
      </c>
      <c r="R152" s="107"/>
      <c r="S152" s="107"/>
      <c r="T152" s="108"/>
      <c r="U152" s="119"/>
      <c r="V152" s="110" t="str">
        <f t="shared" si="18"/>
        <v/>
      </c>
      <c r="W152" s="103"/>
      <c r="X152" s="112">
        <f t="shared" si="19"/>
        <v>0</v>
      </c>
      <c r="Y152" s="112">
        <f t="shared" si="20"/>
        <v>0</v>
      </c>
      <c r="Z152" s="113">
        <f t="shared" si="21"/>
        <v>0</v>
      </c>
      <c r="AA152" s="113">
        <v>0</v>
      </c>
      <c r="AB152" s="114">
        <v>0</v>
      </c>
      <c r="AC152" s="11">
        <f t="shared" si="22"/>
        <v>0</v>
      </c>
      <c r="AD152" s="115">
        <f t="shared" si="15"/>
        <v>0</v>
      </c>
      <c r="AE152" s="115">
        <f t="shared" si="16"/>
        <v>0</v>
      </c>
      <c r="AF152" s="115">
        <f t="shared" si="17"/>
        <v>0</v>
      </c>
      <c r="AG152" s="11"/>
      <c r="AH152" s="115">
        <f t="shared" si="23"/>
        <v>0</v>
      </c>
      <c r="AI152" s="115">
        <f t="shared" si="24"/>
        <v>0</v>
      </c>
      <c r="AJ152" s="115">
        <f t="shared" si="25"/>
        <v>0</v>
      </c>
      <c r="AL152" s="11">
        <f t="shared" si="26"/>
        <v>0</v>
      </c>
      <c r="AM152" s="120" t="s">
        <v>232</v>
      </c>
    </row>
    <row r="153" spans="1:39">
      <c r="A153" s="129"/>
      <c r="B153" s="129" t="s">
        <v>81</v>
      </c>
      <c r="C153" s="96"/>
      <c r="D153" s="120" t="s">
        <v>233</v>
      </c>
      <c r="E153" s="98"/>
      <c r="F153" s="99">
        <f>VLOOKUP(D153,'Feb14 Revenue'!D:V,19,FALSE)</f>
        <v>2180.75</v>
      </c>
      <c r="G153" s="100"/>
      <c r="H153" s="100"/>
      <c r="I153" s="101"/>
      <c r="J153" s="102">
        <f t="shared" si="14"/>
        <v>2180.75</v>
      </c>
      <c r="K153" s="103"/>
      <c r="L153" s="104"/>
      <c r="M153" s="105"/>
      <c r="N153" s="103">
        <v>0</v>
      </c>
      <c r="O153" s="106"/>
      <c r="P153" s="103">
        <v>0</v>
      </c>
      <c r="Q153" s="107">
        <f t="shared" si="28"/>
        <v>0</v>
      </c>
      <c r="R153" s="107"/>
      <c r="S153" s="107"/>
      <c r="T153" s="108"/>
      <c r="U153" s="119"/>
      <c r="V153" s="110" t="str">
        <f t="shared" si="18"/>
        <v/>
      </c>
      <c r="W153" s="103"/>
      <c r="X153" s="112">
        <f t="shared" si="19"/>
        <v>0</v>
      </c>
      <c r="Y153" s="112">
        <f t="shared" si="20"/>
        <v>0</v>
      </c>
      <c r="Z153" s="113">
        <f t="shared" si="21"/>
        <v>0</v>
      </c>
      <c r="AA153" s="113">
        <v>0</v>
      </c>
      <c r="AB153" s="114">
        <v>0</v>
      </c>
      <c r="AC153" s="11">
        <f t="shared" si="22"/>
        <v>0</v>
      </c>
      <c r="AD153" s="115">
        <f t="shared" si="15"/>
        <v>0</v>
      </c>
      <c r="AE153" s="115">
        <f t="shared" si="16"/>
        <v>0</v>
      </c>
      <c r="AF153" s="115">
        <f t="shared" si="17"/>
        <v>2180.75</v>
      </c>
      <c r="AG153" s="11"/>
      <c r="AH153" s="115">
        <f t="shared" si="23"/>
        <v>0</v>
      </c>
      <c r="AI153" s="115">
        <f t="shared" si="24"/>
        <v>0</v>
      </c>
      <c r="AJ153" s="115">
        <f t="shared" si="25"/>
        <v>0</v>
      </c>
      <c r="AL153" s="11">
        <f t="shared" si="26"/>
        <v>2180.75</v>
      </c>
      <c r="AM153" s="120" t="s">
        <v>233</v>
      </c>
    </row>
    <row r="154" spans="1:39">
      <c r="A154" s="129"/>
      <c r="B154" s="129" t="s">
        <v>49</v>
      </c>
      <c r="C154" s="96"/>
      <c r="D154" s="120" t="s">
        <v>234</v>
      </c>
      <c r="E154" s="98"/>
      <c r="F154" s="99">
        <f>VLOOKUP(D154,'Feb14 Revenue'!D:V,19,FALSE)</f>
        <v>0</v>
      </c>
      <c r="G154" s="100"/>
      <c r="H154" s="100"/>
      <c r="I154" s="101"/>
      <c r="J154" s="102">
        <f t="shared" si="14"/>
        <v>0</v>
      </c>
      <c r="K154" s="103"/>
      <c r="L154" s="104"/>
      <c r="M154" s="105"/>
      <c r="N154" s="103">
        <v>0</v>
      </c>
      <c r="O154" s="106"/>
      <c r="P154" s="103">
        <v>0</v>
      </c>
      <c r="Q154" s="107">
        <f t="shared" si="28"/>
        <v>0</v>
      </c>
      <c r="R154" s="107"/>
      <c r="S154" s="107"/>
      <c r="T154" s="108"/>
      <c r="U154" s="119"/>
      <c r="V154" s="110" t="str">
        <f t="shared" si="18"/>
        <v/>
      </c>
      <c r="W154" s="103"/>
      <c r="X154" s="112">
        <f t="shared" si="19"/>
        <v>0</v>
      </c>
      <c r="Y154" s="112">
        <f t="shared" si="20"/>
        <v>0</v>
      </c>
      <c r="Z154" s="113">
        <f t="shared" si="21"/>
        <v>0</v>
      </c>
      <c r="AA154" s="113">
        <v>0</v>
      </c>
      <c r="AB154" s="114">
        <v>0</v>
      </c>
      <c r="AC154" s="11">
        <f t="shared" si="22"/>
        <v>0</v>
      </c>
      <c r="AD154" s="115">
        <f t="shared" si="15"/>
        <v>0</v>
      </c>
      <c r="AE154" s="115">
        <f t="shared" si="16"/>
        <v>0</v>
      </c>
      <c r="AF154" s="115">
        <f t="shared" si="17"/>
        <v>0</v>
      </c>
      <c r="AG154" s="11"/>
      <c r="AH154" s="115">
        <f t="shared" si="23"/>
        <v>0</v>
      </c>
      <c r="AI154" s="115">
        <f t="shared" si="24"/>
        <v>0</v>
      </c>
      <c r="AJ154" s="115">
        <f t="shared" si="25"/>
        <v>0</v>
      </c>
      <c r="AL154" s="11">
        <f t="shared" si="26"/>
        <v>0</v>
      </c>
      <c r="AM154" s="120" t="s">
        <v>234</v>
      </c>
    </row>
    <row r="155" spans="1:39">
      <c r="A155" s="129"/>
      <c r="B155" s="129" t="s">
        <v>49</v>
      </c>
      <c r="C155" s="96" t="s">
        <v>235</v>
      </c>
      <c r="D155" s="120" t="s">
        <v>236</v>
      </c>
      <c r="E155" s="98">
        <v>537.28</v>
      </c>
      <c r="F155" s="99">
        <f>VLOOKUP(D155,'Feb14 Revenue'!D:V,19,FALSE)</f>
        <v>0</v>
      </c>
      <c r="G155" s="100"/>
      <c r="H155" s="100"/>
      <c r="I155" s="101"/>
      <c r="J155" s="102">
        <f t="shared" si="14"/>
        <v>537.28</v>
      </c>
      <c r="K155" s="103"/>
      <c r="L155" s="104"/>
      <c r="M155" s="105"/>
      <c r="N155" s="103">
        <v>0</v>
      </c>
      <c r="O155" s="106"/>
      <c r="P155" s="103">
        <v>0</v>
      </c>
      <c r="Q155" s="107">
        <f t="shared" si="28"/>
        <v>0</v>
      </c>
      <c r="R155" s="107"/>
      <c r="S155" s="107"/>
      <c r="T155" s="108"/>
      <c r="U155" s="119"/>
      <c r="V155" s="110" t="str">
        <f t="shared" si="18"/>
        <v/>
      </c>
      <c r="W155" s="103"/>
      <c r="X155" s="112">
        <f t="shared" si="19"/>
        <v>0</v>
      </c>
      <c r="Y155" s="112">
        <f t="shared" si="20"/>
        <v>0</v>
      </c>
      <c r="Z155" s="113">
        <f t="shared" si="21"/>
        <v>0</v>
      </c>
      <c r="AA155" s="113">
        <v>0</v>
      </c>
      <c r="AB155" s="114">
        <v>0</v>
      </c>
      <c r="AC155" s="11">
        <f t="shared" si="22"/>
        <v>0</v>
      </c>
      <c r="AD155" s="115">
        <f t="shared" si="15"/>
        <v>537.28</v>
      </c>
      <c r="AE155" s="115">
        <f t="shared" si="16"/>
        <v>0</v>
      </c>
      <c r="AF155" s="115">
        <f t="shared" si="17"/>
        <v>0</v>
      </c>
      <c r="AG155" s="11"/>
      <c r="AH155" s="115">
        <f t="shared" si="23"/>
        <v>0</v>
      </c>
      <c r="AI155" s="115">
        <f t="shared" si="24"/>
        <v>0</v>
      </c>
      <c r="AJ155" s="115">
        <f t="shared" si="25"/>
        <v>0</v>
      </c>
      <c r="AL155" s="11">
        <f t="shared" si="26"/>
        <v>537.28</v>
      </c>
      <c r="AM155" s="120" t="s">
        <v>236</v>
      </c>
    </row>
    <row r="156" spans="1:39">
      <c r="A156" s="129"/>
      <c r="B156" s="129" t="s">
        <v>81</v>
      </c>
      <c r="C156" s="96" t="s">
        <v>235</v>
      </c>
      <c r="D156" s="120" t="s">
        <v>237</v>
      </c>
      <c r="E156" s="98">
        <v>0.39</v>
      </c>
      <c r="F156" s="99">
        <f>VLOOKUP(D156,'Feb14 Revenue'!D:V,19,FALSE)</f>
        <v>0</v>
      </c>
      <c r="G156" s="100"/>
      <c r="H156" s="100"/>
      <c r="I156" s="101"/>
      <c r="J156" s="102">
        <f t="shared" ref="J156:J224" si="29">SUM(E156:I156)</f>
        <v>0.39</v>
      </c>
      <c r="K156" s="103"/>
      <c r="L156" s="104"/>
      <c r="M156" s="105"/>
      <c r="N156" s="103">
        <v>0</v>
      </c>
      <c r="O156" s="106"/>
      <c r="P156" s="103">
        <v>0</v>
      </c>
      <c r="Q156" s="107">
        <f t="shared" si="28"/>
        <v>0</v>
      </c>
      <c r="R156" s="107"/>
      <c r="S156" s="107"/>
      <c r="T156" s="108"/>
      <c r="U156" s="119"/>
      <c r="V156" s="110" t="str">
        <f t="shared" si="18"/>
        <v/>
      </c>
      <c r="W156" s="103"/>
      <c r="X156" s="112">
        <f t="shared" si="19"/>
        <v>0</v>
      </c>
      <c r="Y156" s="112">
        <f t="shared" si="20"/>
        <v>0</v>
      </c>
      <c r="Z156" s="113">
        <f t="shared" si="21"/>
        <v>0</v>
      </c>
      <c r="AA156" s="113">
        <v>0</v>
      </c>
      <c r="AB156" s="114">
        <v>0</v>
      </c>
      <c r="AC156" s="11">
        <f t="shared" si="22"/>
        <v>0</v>
      </c>
      <c r="AD156" s="115">
        <f t="shared" ref="AD156:AD224" si="30">IF(B156="D",J156,0)</f>
        <v>0</v>
      </c>
      <c r="AE156" s="115">
        <f t="shared" ref="AE156:AE224" si="31">IF(B156="M",J156,0)</f>
        <v>0</v>
      </c>
      <c r="AF156" s="115">
        <f t="shared" ref="AF156:AF224" si="32">IF(B156="V",J156,0)</f>
        <v>0.39</v>
      </c>
      <c r="AG156" s="11"/>
      <c r="AH156" s="115">
        <f t="shared" si="23"/>
        <v>0</v>
      </c>
      <c r="AI156" s="115">
        <f t="shared" si="24"/>
        <v>0</v>
      </c>
      <c r="AJ156" s="115">
        <f t="shared" si="25"/>
        <v>0</v>
      </c>
      <c r="AL156" s="11">
        <f t="shared" ref="AL156:AL224" si="33">SUM(AD156:AJ156)</f>
        <v>0.39</v>
      </c>
      <c r="AM156" s="120" t="s">
        <v>237</v>
      </c>
    </row>
    <row r="157" spans="1:39">
      <c r="A157" s="129"/>
      <c r="B157" s="129" t="s">
        <v>46</v>
      </c>
      <c r="C157" s="96" t="s">
        <v>238</v>
      </c>
      <c r="D157" s="120" t="s">
        <v>239</v>
      </c>
      <c r="E157" s="98"/>
      <c r="F157" s="99">
        <f>VLOOKUP(D157,'Feb14 Revenue'!D:V,19,FALSE)</f>
        <v>0</v>
      </c>
      <c r="G157" s="100"/>
      <c r="H157" s="100"/>
      <c r="I157" s="101"/>
      <c r="J157" s="102">
        <f t="shared" si="29"/>
        <v>0</v>
      </c>
      <c r="K157" s="103"/>
      <c r="L157" s="104"/>
      <c r="M157" s="105"/>
      <c r="N157" s="103">
        <v>0</v>
      </c>
      <c r="O157" s="106"/>
      <c r="P157" s="103">
        <v>0</v>
      </c>
      <c r="Q157" s="107">
        <f t="shared" si="28"/>
        <v>0</v>
      </c>
      <c r="R157" s="107"/>
      <c r="S157" s="107"/>
      <c r="T157" s="108"/>
      <c r="U157" s="119"/>
      <c r="V157" s="110" t="str">
        <f t="shared" si="18"/>
        <v/>
      </c>
      <c r="W157" s="103"/>
      <c r="X157" s="112">
        <f t="shared" si="19"/>
        <v>0</v>
      </c>
      <c r="Y157" s="112">
        <f t="shared" si="20"/>
        <v>0</v>
      </c>
      <c r="Z157" s="113">
        <f t="shared" si="21"/>
        <v>0</v>
      </c>
      <c r="AA157" s="113">
        <v>0</v>
      </c>
      <c r="AB157" s="114">
        <v>0</v>
      </c>
      <c r="AC157" s="11">
        <f t="shared" si="22"/>
        <v>0</v>
      </c>
      <c r="AD157" s="115">
        <f t="shared" si="30"/>
        <v>0</v>
      </c>
      <c r="AE157" s="115">
        <f t="shared" si="31"/>
        <v>0</v>
      </c>
      <c r="AF157" s="115">
        <f t="shared" si="32"/>
        <v>0</v>
      </c>
      <c r="AG157" s="11"/>
      <c r="AH157" s="115">
        <f t="shared" ref="AH157:AH225" si="34">IF(B157="D",Q157,0)</f>
        <v>0</v>
      </c>
      <c r="AI157" s="115">
        <f t="shared" ref="AI157:AI225" si="35">IF(B157="M",Q157,0)</f>
        <v>0</v>
      </c>
      <c r="AJ157" s="115">
        <f t="shared" ref="AJ157:AJ225" si="36">IF(B157="V",Q157,0)</f>
        <v>0</v>
      </c>
      <c r="AL157" s="11">
        <f t="shared" si="33"/>
        <v>0</v>
      </c>
      <c r="AM157" s="120" t="s">
        <v>239</v>
      </c>
    </row>
    <row r="158" spans="1:39">
      <c r="A158" s="129"/>
      <c r="B158" s="129" t="s">
        <v>46</v>
      </c>
      <c r="C158" s="96" t="s">
        <v>240</v>
      </c>
      <c r="D158" s="120" t="s">
        <v>241</v>
      </c>
      <c r="E158" s="98"/>
      <c r="F158" s="99">
        <f>VLOOKUP(D158,'Feb14 Revenue'!D:V,19,FALSE)</f>
        <v>85.76</v>
      </c>
      <c r="G158" s="100"/>
      <c r="H158" s="100"/>
      <c r="I158" s="101"/>
      <c r="J158" s="102">
        <f t="shared" si="29"/>
        <v>85.76</v>
      </c>
      <c r="K158" s="103"/>
      <c r="L158" s="104"/>
      <c r="M158" s="105"/>
      <c r="N158" s="103">
        <v>0</v>
      </c>
      <c r="O158" s="106"/>
      <c r="P158" s="103">
        <v>0</v>
      </c>
      <c r="Q158" s="107">
        <f t="shared" si="28"/>
        <v>0</v>
      </c>
      <c r="R158" s="107"/>
      <c r="S158" s="107"/>
      <c r="T158" s="108"/>
      <c r="U158" s="119"/>
      <c r="V158" s="110" t="str">
        <f t="shared" ref="V158:V226" si="37">IF(T158="","",T158-Q158)</f>
        <v/>
      </c>
      <c r="W158" s="103"/>
      <c r="X158" s="112">
        <f t="shared" ref="X158:X226" si="38">IF(B158="D",Q158,0)</f>
        <v>0</v>
      </c>
      <c r="Y158" s="112">
        <f t="shared" ref="Y158:Y226" si="39">IF(B158="M",Q158,0)</f>
        <v>0</v>
      </c>
      <c r="Z158" s="113">
        <f t="shared" ref="Z158:Z226" si="40">IF(B158="V",Q158,0)</f>
        <v>0</v>
      </c>
      <c r="AA158" s="113">
        <v>0</v>
      </c>
      <c r="AB158" s="114">
        <v>0</v>
      </c>
      <c r="AC158" s="11">
        <f t="shared" ref="AC158:AC226" si="41">(L158+M158)-(X158+Y158+Z158+AA158+AB158)</f>
        <v>0</v>
      </c>
      <c r="AD158" s="115">
        <f t="shared" si="30"/>
        <v>0</v>
      </c>
      <c r="AE158" s="115">
        <f t="shared" si="31"/>
        <v>85.76</v>
      </c>
      <c r="AF158" s="115">
        <f t="shared" si="32"/>
        <v>0</v>
      </c>
      <c r="AG158" s="11"/>
      <c r="AH158" s="115">
        <f t="shared" si="34"/>
        <v>0</v>
      </c>
      <c r="AI158" s="115">
        <f t="shared" si="35"/>
        <v>0</v>
      </c>
      <c r="AJ158" s="115">
        <f t="shared" si="36"/>
        <v>0</v>
      </c>
      <c r="AL158" s="11">
        <f t="shared" si="33"/>
        <v>85.76</v>
      </c>
      <c r="AM158" s="120" t="s">
        <v>241</v>
      </c>
    </row>
    <row r="159" spans="1:39" s="124" customFormat="1">
      <c r="A159" s="123"/>
      <c r="B159" s="123" t="s">
        <v>81</v>
      </c>
      <c r="C159" s="122"/>
      <c r="D159" s="142" t="s">
        <v>242</v>
      </c>
      <c r="E159" s="98"/>
      <c r="F159" s="99">
        <f>VLOOKUP(D159,'Feb14 Revenue'!D:V,19,FALSE)</f>
        <v>0</v>
      </c>
      <c r="G159" s="100"/>
      <c r="H159" s="100"/>
      <c r="I159" s="125">
        <v>17400</v>
      </c>
      <c r="J159" s="102">
        <f t="shared" si="29"/>
        <v>17400</v>
      </c>
      <c r="K159" s="103"/>
      <c r="L159" s="104"/>
      <c r="M159" s="105"/>
      <c r="N159" s="103">
        <v>0</v>
      </c>
      <c r="O159" s="106"/>
      <c r="P159" s="103">
        <v>0</v>
      </c>
      <c r="Q159" s="107">
        <f t="shared" si="28"/>
        <v>0</v>
      </c>
      <c r="R159" s="107"/>
      <c r="S159" s="107"/>
      <c r="T159" s="108"/>
      <c r="U159" s="119"/>
      <c r="V159" s="110" t="str">
        <f t="shared" si="37"/>
        <v/>
      </c>
      <c r="W159" s="103"/>
      <c r="X159" s="112">
        <f t="shared" si="38"/>
        <v>0</v>
      </c>
      <c r="Y159" s="112">
        <f t="shared" si="39"/>
        <v>0</v>
      </c>
      <c r="Z159" s="113">
        <f t="shared" si="40"/>
        <v>0</v>
      </c>
      <c r="AA159" s="113">
        <v>0</v>
      </c>
      <c r="AB159" s="114">
        <v>0</v>
      </c>
      <c r="AC159" s="11">
        <f t="shared" si="41"/>
        <v>0</v>
      </c>
      <c r="AD159" s="115">
        <f t="shared" si="30"/>
        <v>0</v>
      </c>
      <c r="AE159" s="115">
        <f t="shared" si="31"/>
        <v>0</v>
      </c>
      <c r="AF159" s="115">
        <f t="shared" si="32"/>
        <v>17400</v>
      </c>
      <c r="AG159" s="11"/>
      <c r="AH159" s="115">
        <f t="shared" si="34"/>
        <v>0</v>
      </c>
      <c r="AI159" s="115">
        <f t="shared" si="35"/>
        <v>0</v>
      </c>
      <c r="AJ159" s="115">
        <f t="shared" si="36"/>
        <v>0</v>
      </c>
      <c r="AL159" s="11">
        <f t="shared" si="33"/>
        <v>17400</v>
      </c>
      <c r="AM159" s="142" t="s">
        <v>242</v>
      </c>
    </row>
    <row r="160" spans="1:39" s="124" customFormat="1">
      <c r="A160" s="123"/>
      <c r="B160" s="123" t="s">
        <v>49</v>
      </c>
      <c r="C160" s="122"/>
      <c r="D160" s="142" t="s">
        <v>243</v>
      </c>
      <c r="E160" s="98"/>
      <c r="F160" s="99">
        <f>VLOOKUP(D160,'Feb14 Revenue'!D:V,19,FALSE)</f>
        <v>6633.0999999999985</v>
      </c>
      <c r="G160" s="100"/>
      <c r="H160" s="100"/>
      <c r="I160" s="125">
        <v>38606.400000000001</v>
      </c>
      <c r="J160" s="102">
        <f t="shared" si="29"/>
        <v>45239.5</v>
      </c>
      <c r="K160" s="103"/>
      <c r="L160" s="104"/>
      <c r="M160" s="105"/>
      <c r="N160" s="103">
        <v>0</v>
      </c>
      <c r="O160" s="106"/>
      <c r="P160" s="103">
        <v>0</v>
      </c>
      <c r="Q160" s="107">
        <f t="shared" si="28"/>
        <v>0</v>
      </c>
      <c r="R160" s="107"/>
      <c r="S160" s="107"/>
      <c r="T160" s="108"/>
      <c r="U160" s="119"/>
      <c r="V160" s="110" t="str">
        <f t="shared" si="37"/>
        <v/>
      </c>
      <c r="W160" s="103"/>
      <c r="X160" s="112">
        <f t="shared" si="38"/>
        <v>0</v>
      </c>
      <c r="Y160" s="112">
        <f t="shared" si="39"/>
        <v>0</v>
      </c>
      <c r="Z160" s="113">
        <f t="shared" si="40"/>
        <v>0</v>
      </c>
      <c r="AA160" s="113">
        <v>0</v>
      </c>
      <c r="AB160" s="114">
        <v>0</v>
      </c>
      <c r="AC160" s="11">
        <f t="shared" si="41"/>
        <v>0</v>
      </c>
      <c r="AD160" s="115">
        <f t="shared" si="30"/>
        <v>45239.5</v>
      </c>
      <c r="AE160" s="115">
        <f t="shared" si="31"/>
        <v>0</v>
      </c>
      <c r="AF160" s="115">
        <f t="shared" si="32"/>
        <v>0</v>
      </c>
      <c r="AG160" s="11"/>
      <c r="AH160" s="115">
        <f t="shared" si="34"/>
        <v>0</v>
      </c>
      <c r="AI160" s="115">
        <f t="shared" si="35"/>
        <v>0</v>
      </c>
      <c r="AJ160" s="115">
        <f t="shared" si="36"/>
        <v>0</v>
      </c>
      <c r="AL160" s="11">
        <f t="shared" si="33"/>
        <v>45239.5</v>
      </c>
      <c r="AM160" s="142" t="s">
        <v>244</v>
      </c>
    </row>
    <row r="161" spans="1:39" s="124" customFormat="1">
      <c r="A161" s="123"/>
      <c r="B161" s="123" t="s">
        <v>46</v>
      </c>
      <c r="C161" s="122" t="s">
        <v>245</v>
      </c>
      <c r="D161" s="142" t="s">
        <v>246</v>
      </c>
      <c r="E161" s="98"/>
      <c r="F161" s="99">
        <f>VLOOKUP(D161,'Feb14 Revenue'!D:V,19,FALSE)</f>
        <v>0</v>
      </c>
      <c r="G161" s="100"/>
      <c r="H161" s="100"/>
      <c r="I161" s="125">
        <v>11279.1</v>
      </c>
      <c r="J161" s="102">
        <f t="shared" si="29"/>
        <v>11279.1</v>
      </c>
      <c r="K161" s="103"/>
      <c r="L161" s="104"/>
      <c r="M161" s="105"/>
      <c r="N161" s="103">
        <v>0</v>
      </c>
      <c r="O161" s="106"/>
      <c r="P161" s="103">
        <v>0</v>
      </c>
      <c r="Q161" s="107">
        <f t="shared" si="28"/>
        <v>0</v>
      </c>
      <c r="R161" s="107"/>
      <c r="S161" s="107"/>
      <c r="T161" s="108"/>
      <c r="U161" s="119"/>
      <c r="V161" s="110" t="str">
        <f t="shared" si="37"/>
        <v/>
      </c>
      <c r="W161" s="103"/>
      <c r="X161" s="112">
        <f t="shared" si="38"/>
        <v>0</v>
      </c>
      <c r="Y161" s="112">
        <f t="shared" si="39"/>
        <v>0</v>
      </c>
      <c r="Z161" s="113">
        <f t="shared" si="40"/>
        <v>0</v>
      </c>
      <c r="AA161" s="113">
        <v>0</v>
      </c>
      <c r="AB161" s="114">
        <v>0</v>
      </c>
      <c r="AC161" s="11">
        <f t="shared" si="41"/>
        <v>0</v>
      </c>
      <c r="AD161" s="115">
        <f t="shared" si="30"/>
        <v>0</v>
      </c>
      <c r="AE161" s="115">
        <f t="shared" si="31"/>
        <v>11279.1</v>
      </c>
      <c r="AF161" s="115">
        <f t="shared" si="32"/>
        <v>0</v>
      </c>
      <c r="AG161" s="11"/>
      <c r="AH161" s="115">
        <f t="shared" si="34"/>
        <v>0</v>
      </c>
      <c r="AI161" s="115">
        <f t="shared" si="35"/>
        <v>0</v>
      </c>
      <c r="AJ161" s="115">
        <f t="shared" si="36"/>
        <v>0</v>
      </c>
      <c r="AL161" s="11">
        <f t="shared" si="33"/>
        <v>11279.1</v>
      </c>
      <c r="AM161" s="142" t="s">
        <v>246</v>
      </c>
    </row>
    <row r="162" spans="1:39" s="124" customFormat="1">
      <c r="A162" s="127"/>
      <c r="B162" s="127" t="s">
        <v>46</v>
      </c>
      <c r="C162" s="96" t="s">
        <v>210</v>
      </c>
      <c r="D162" s="143" t="s">
        <v>247</v>
      </c>
      <c r="E162" s="98">
        <v>35082.22</v>
      </c>
      <c r="F162" s="99">
        <f>VLOOKUP(D162,'Feb14 Revenue'!D:V,19,FALSE)</f>
        <v>-52395.1</v>
      </c>
      <c r="G162" s="100"/>
      <c r="H162" s="100"/>
      <c r="I162" s="101"/>
      <c r="J162" s="102">
        <f t="shared" si="29"/>
        <v>-17312.879999999997</v>
      </c>
      <c r="K162" s="103"/>
      <c r="L162" s="104"/>
      <c r="M162" s="105">
        <v>35000</v>
      </c>
      <c r="N162" s="103">
        <v>0</v>
      </c>
      <c r="O162" s="106"/>
      <c r="P162" s="103">
        <v>0</v>
      </c>
      <c r="Q162" s="107">
        <f t="shared" si="28"/>
        <v>35000</v>
      </c>
      <c r="R162" s="107"/>
      <c r="S162" s="107"/>
      <c r="T162" s="108"/>
      <c r="U162" s="119"/>
      <c r="V162" s="110" t="str">
        <f t="shared" si="37"/>
        <v/>
      </c>
      <c r="W162" s="103"/>
      <c r="X162" s="112">
        <f t="shared" si="38"/>
        <v>0</v>
      </c>
      <c r="Y162" s="112">
        <f t="shared" si="39"/>
        <v>35000</v>
      </c>
      <c r="Z162" s="113">
        <f t="shared" si="40"/>
        <v>0</v>
      </c>
      <c r="AA162" s="113">
        <v>0</v>
      </c>
      <c r="AB162" s="114">
        <v>0</v>
      </c>
      <c r="AC162" s="11">
        <f t="shared" si="41"/>
        <v>0</v>
      </c>
      <c r="AD162" s="115">
        <f t="shared" si="30"/>
        <v>0</v>
      </c>
      <c r="AE162" s="115">
        <f t="shared" si="31"/>
        <v>-17312.879999999997</v>
      </c>
      <c r="AF162" s="115">
        <f t="shared" si="32"/>
        <v>0</v>
      </c>
      <c r="AG162" s="11"/>
      <c r="AH162" s="115">
        <f t="shared" si="34"/>
        <v>0</v>
      </c>
      <c r="AI162" s="115">
        <f t="shared" si="35"/>
        <v>35000</v>
      </c>
      <c r="AJ162" s="115">
        <f t="shared" si="36"/>
        <v>0</v>
      </c>
      <c r="AL162" s="11">
        <f t="shared" si="33"/>
        <v>17687.120000000003</v>
      </c>
      <c r="AM162" s="143" t="s">
        <v>247</v>
      </c>
    </row>
    <row r="163" spans="1:39" s="124" customFormat="1">
      <c r="A163" s="127"/>
      <c r="B163" s="127" t="s">
        <v>49</v>
      </c>
      <c r="C163" s="96" t="s">
        <v>210</v>
      </c>
      <c r="D163" s="118" t="s">
        <v>248</v>
      </c>
      <c r="E163" s="98"/>
      <c r="F163" s="99">
        <f>VLOOKUP(D163,'Feb14 Revenue'!D:V,19,FALSE)</f>
        <v>0</v>
      </c>
      <c r="G163" s="100"/>
      <c r="H163" s="100"/>
      <c r="I163" s="101"/>
      <c r="J163" s="102">
        <f t="shared" si="29"/>
        <v>0</v>
      </c>
      <c r="K163" s="103"/>
      <c r="L163" s="104"/>
      <c r="M163" s="105"/>
      <c r="N163" s="103">
        <v>0</v>
      </c>
      <c r="O163" s="106"/>
      <c r="P163" s="103">
        <v>0</v>
      </c>
      <c r="Q163" s="107">
        <f t="shared" si="28"/>
        <v>0</v>
      </c>
      <c r="R163" s="107"/>
      <c r="S163" s="107"/>
      <c r="T163" s="108"/>
      <c r="U163" s="119"/>
      <c r="V163" s="110" t="str">
        <f t="shared" si="37"/>
        <v/>
      </c>
      <c r="W163" s="103"/>
      <c r="X163" s="112">
        <f t="shared" si="38"/>
        <v>0</v>
      </c>
      <c r="Y163" s="112">
        <f t="shared" si="39"/>
        <v>0</v>
      </c>
      <c r="Z163" s="113">
        <f t="shared" si="40"/>
        <v>0</v>
      </c>
      <c r="AA163" s="113">
        <v>0</v>
      </c>
      <c r="AB163" s="114">
        <v>0</v>
      </c>
      <c r="AC163" s="11">
        <f t="shared" si="41"/>
        <v>0</v>
      </c>
      <c r="AD163" s="115">
        <f t="shared" si="30"/>
        <v>0</v>
      </c>
      <c r="AE163" s="115">
        <f t="shared" si="31"/>
        <v>0</v>
      </c>
      <c r="AF163" s="115">
        <f t="shared" si="32"/>
        <v>0</v>
      </c>
      <c r="AG163" s="11"/>
      <c r="AH163" s="115">
        <f t="shared" si="34"/>
        <v>0</v>
      </c>
      <c r="AI163" s="115">
        <f t="shared" si="35"/>
        <v>0</v>
      </c>
      <c r="AJ163" s="115">
        <f t="shared" si="36"/>
        <v>0</v>
      </c>
      <c r="AL163" s="11">
        <f t="shared" si="33"/>
        <v>0</v>
      </c>
      <c r="AM163" s="118" t="s">
        <v>248</v>
      </c>
    </row>
    <row r="164" spans="1:39">
      <c r="A164" s="129" t="s">
        <v>249</v>
      </c>
      <c r="B164" s="129" t="s">
        <v>49</v>
      </c>
      <c r="C164" s="96"/>
      <c r="D164" s="120" t="s">
        <v>250</v>
      </c>
      <c r="E164" s="98">
        <v>9440.83</v>
      </c>
      <c r="F164" s="99">
        <f>VLOOKUP(D164,'Feb14 Revenue'!D:V,19,FALSE)</f>
        <v>-30000</v>
      </c>
      <c r="G164" s="100"/>
      <c r="H164" s="100"/>
      <c r="I164" s="101"/>
      <c r="J164" s="102">
        <f t="shared" si="29"/>
        <v>-20559.169999999998</v>
      </c>
      <c r="K164" s="103"/>
      <c r="L164" s="104"/>
      <c r="M164" s="105"/>
      <c r="N164" s="103">
        <v>0</v>
      </c>
      <c r="O164" s="106"/>
      <c r="P164" s="103">
        <v>0</v>
      </c>
      <c r="Q164" s="107">
        <f t="shared" si="28"/>
        <v>0</v>
      </c>
      <c r="R164" s="107"/>
      <c r="S164" s="107"/>
      <c r="T164" s="108"/>
      <c r="U164" s="119"/>
      <c r="V164" s="110" t="str">
        <f t="shared" si="37"/>
        <v/>
      </c>
      <c r="W164" s="103"/>
      <c r="X164" s="112">
        <f t="shared" si="38"/>
        <v>0</v>
      </c>
      <c r="Y164" s="112">
        <f t="shared" si="39"/>
        <v>0</v>
      </c>
      <c r="Z164" s="113">
        <f t="shared" si="40"/>
        <v>0</v>
      </c>
      <c r="AA164" s="113">
        <v>0</v>
      </c>
      <c r="AB164" s="114">
        <v>0</v>
      </c>
      <c r="AC164" s="11">
        <f t="shared" si="41"/>
        <v>0</v>
      </c>
      <c r="AD164" s="115">
        <f t="shared" si="30"/>
        <v>-20559.169999999998</v>
      </c>
      <c r="AE164" s="115">
        <f t="shared" si="31"/>
        <v>0</v>
      </c>
      <c r="AF164" s="115">
        <f t="shared" si="32"/>
        <v>0</v>
      </c>
      <c r="AG164" s="11"/>
      <c r="AH164" s="115">
        <f t="shared" si="34"/>
        <v>0</v>
      </c>
      <c r="AI164" s="115">
        <f t="shared" si="35"/>
        <v>0</v>
      </c>
      <c r="AJ164" s="115">
        <f t="shared" si="36"/>
        <v>0</v>
      </c>
      <c r="AL164" s="11">
        <f t="shared" si="33"/>
        <v>-20559.169999999998</v>
      </c>
      <c r="AM164" s="120" t="s">
        <v>250</v>
      </c>
    </row>
    <row r="165" spans="1:39" hidden="1">
      <c r="A165" s="129"/>
      <c r="B165" s="129" t="s">
        <v>46</v>
      </c>
      <c r="C165" s="96" t="s">
        <v>251</v>
      </c>
      <c r="D165" s="120" t="s">
        <v>252</v>
      </c>
      <c r="E165" s="98"/>
      <c r="F165" s="99">
        <f>VLOOKUP(D165,'Feb14 Revenue'!D:V,19,FALSE)</f>
        <v>-100000</v>
      </c>
      <c r="G165" s="100"/>
      <c r="H165" s="100"/>
      <c r="I165" s="101"/>
      <c r="J165" s="102">
        <f t="shared" si="29"/>
        <v>-100000</v>
      </c>
      <c r="K165" s="103"/>
      <c r="L165" s="104"/>
      <c r="M165" s="105"/>
      <c r="N165" s="103">
        <v>0</v>
      </c>
      <c r="O165" s="106"/>
      <c r="P165" s="103">
        <v>0</v>
      </c>
      <c r="Q165" s="107">
        <f t="shared" si="28"/>
        <v>0</v>
      </c>
      <c r="R165" s="107"/>
      <c r="S165" s="107"/>
      <c r="T165" s="108"/>
      <c r="U165" s="119"/>
      <c r="V165" s="110" t="str">
        <f t="shared" si="37"/>
        <v/>
      </c>
      <c r="W165" s="103"/>
      <c r="X165" s="112">
        <f t="shared" si="38"/>
        <v>0</v>
      </c>
      <c r="Y165" s="112">
        <f t="shared" si="39"/>
        <v>0</v>
      </c>
      <c r="Z165" s="113">
        <f t="shared" si="40"/>
        <v>0</v>
      </c>
      <c r="AA165" s="113">
        <v>0</v>
      </c>
      <c r="AB165" s="114">
        <v>0</v>
      </c>
      <c r="AC165" s="11">
        <f t="shared" si="41"/>
        <v>0</v>
      </c>
      <c r="AD165" s="115">
        <f t="shared" si="30"/>
        <v>0</v>
      </c>
      <c r="AE165" s="115">
        <f t="shared" si="31"/>
        <v>-100000</v>
      </c>
      <c r="AF165" s="115">
        <f t="shared" si="32"/>
        <v>0</v>
      </c>
      <c r="AG165" s="11"/>
      <c r="AH165" s="115">
        <f t="shared" si="34"/>
        <v>0</v>
      </c>
      <c r="AI165" s="115">
        <f t="shared" si="35"/>
        <v>0</v>
      </c>
      <c r="AJ165" s="115">
        <f t="shared" si="36"/>
        <v>0</v>
      </c>
      <c r="AL165" s="11">
        <f t="shared" si="33"/>
        <v>-100000</v>
      </c>
      <c r="AM165" s="120" t="s">
        <v>252</v>
      </c>
    </row>
    <row r="166" spans="1:39" hidden="1">
      <c r="A166" s="129"/>
      <c r="B166" s="129" t="s">
        <v>46</v>
      </c>
      <c r="C166" s="96" t="s">
        <v>251</v>
      </c>
      <c r="D166" s="120" t="s">
        <v>253</v>
      </c>
      <c r="E166" s="98"/>
      <c r="F166" s="99">
        <f>VLOOKUP(D166,'Feb14 Revenue'!D:V,19,FALSE)</f>
        <v>0</v>
      </c>
      <c r="G166" s="100"/>
      <c r="H166" s="100"/>
      <c r="I166" s="101"/>
      <c r="J166" s="102">
        <f t="shared" si="29"/>
        <v>0</v>
      </c>
      <c r="K166" s="103"/>
      <c r="L166" s="104"/>
      <c r="M166" s="105"/>
      <c r="N166" s="103">
        <v>0</v>
      </c>
      <c r="O166" s="106"/>
      <c r="P166" s="103">
        <v>0</v>
      </c>
      <c r="Q166" s="107">
        <f t="shared" si="28"/>
        <v>0</v>
      </c>
      <c r="R166" s="107"/>
      <c r="S166" s="107"/>
      <c r="T166" s="108"/>
      <c r="U166" s="119"/>
      <c r="V166" s="110" t="str">
        <f t="shared" si="37"/>
        <v/>
      </c>
      <c r="W166" s="103"/>
      <c r="X166" s="112">
        <f t="shared" si="38"/>
        <v>0</v>
      </c>
      <c r="Y166" s="112">
        <f t="shared" si="39"/>
        <v>0</v>
      </c>
      <c r="Z166" s="113">
        <f t="shared" si="40"/>
        <v>0</v>
      </c>
      <c r="AA166" s="113">
        <v>0</v>
      </c>
      <c r="AB166" s="114">
        <v>0</v>
      </c>
      <c r="AC166" s="11">
        <f t="shared" si="41"/>
        <v>0</v>
      </c>
      <c r="AD166" s="115">
        <f t="shared" si="30"/>
        <v>0</v>
      </c>
      <c r="AE166" s="115">
        <f t="shared" si="31"/>
        <v>0</v>
      </c>
      <c r="AF166" s="115">
        <f t="shared" si="32"/>
        <v>0</v>
      </c>
      <c r="AG166" s="11"/>
      <c r="AH166" s="115">
        <f t="shared" si="34"/>
        <v>0</v>
      </c>
      <c r="AI166" s="115">
        <f t="shared" si="35"/>
        <v>0</v>
      </c>
      <c r="AJ166" s="115">
        <f t="shared" si="36"/>
        <v>0</v>
      </c>
      <c r="AL166" s="11">
        <f t="shared" si="33"/>
        <v>0</v>
      </c>
      <c r="AM166" s="120" t="s">
        <v>253</v>
      </c>
    </row>
    <row r="167" spans="1:39">
      <c r="A167" s="129"/>
      <c r="B167" s="129" t="s">
        <v>46</v>
      </c>
      <c r="C167" s="96" t="s">
        <v>254</v>
      </c>
      <c r="D167" s="120" t="s">
        <v>255</v>
      </c>
      <c r="E167" s="98"/>
      <c r="F167" s="99">
        <f>VLOOKUP(D167,'Feb14 Revenue'!D:V,19,FALSE)</f>
        <v>34177.860000000015</v>
      </c>
      <c r="G167" s="100"/>
      <c r="H167" s="100"/>
      <c r="I167" s="101"/>
      <c r="J167" s="102">
        <f t="shared" si="29"/>
        <v>34177.860000000015</v>
      </c>
      <c r="K167" s="103"/>
      <c r="L167" s="104"/>
      <c r="M167" s="105">
        <v>135000</v>
      </c>
      <c r="N167" s="103"/>
      <c r="O167" s="106"/>
      <c r="P167" s="103"/>
      <c r="Q167" s="107">
        <f t="shared" si="28"/>
        <v>135000</v>
      </c>
      <c r="R167" s="107"/>
      <c r="S167" s="107"/>
      <c r="T167" s="108"/>
      <c r="U167" s="119"/>
      <c r="V167" s="110" t="str">
        <f t="shared" si="37"/>
        <v/>
      </c>
      <c r="W167" s="103"/>
      <c r="X167" s="112">
        <f t="shared" si="38"/>
        <v>0</v>
      </c>
      <c r="Y167" s="112">
        <f t="shared" si="39"/>
        <v>135000</v>
      </c>
      <c r="Z167" s="113">
        <f t="shared" si="40"/>
        <v>0</v>
      </c>
      <c r="AA167" s="113">
        <v>0</v>
      </c>
      <c r="AB167" s="114">
        <v>0</v>
      </c>
      <c r="AC167" s="11">
        <f t="shared" si="41"/>
        <v>0</v>
      </c>
      <c r="AD167" s="115">
        <f t="shared" si="30"/>
        <v>0</v>
      </c>
      <c r="AE167" s="115">
        <f t="shared" si="31"/>
        <v>34177.860000000015</v>
      </c>
      <c r="AF167" s="115">
        <f t="shared" si="32"/>
        <v>0</v>
      </c>
      <c r="AG167" s="11"/>
      <c r="AH167" s="115">
        <f t="shared" si="34"/>
        <v>0</v>
      </c>
      <c r="AI167" s="115">
        <f t="shared" si="35"/>
        <v>135000</v>
      </c>
      <c r="AJ167" s="115">
        <f t="shared" si="36"/>
        <v>0</v>
      </c>
      <c r="AL167" s="11">
        <f t="shared" si="33"/>
        <v>169177.86000000002</v>
      </c>
      <c r="AM167" s="120" t="s">
        <v>255</v>
      </c>
    </row>
    <row r="168" spans="1:39" s="124" customFormat="1">
      <c r="A168" s="127"/>
      <c r="B168" s="127" t="s">
        <v>46</v>
      </c>
      <c r="C168" s="96"/>
      <c r="D168" s="118" t="s">
        <v>256</v>
      </c>
      <c r="E168" s="98"/>
      <c r="F168" s="99">
        <f>VLOOKUP(D168,'Feb14 Revenue'!D:V,19,FALSE)</f>
        <v>0</v>
      </c>
      <c r="G168" s="100"/>
      <c r="H168" s="100"/>
      <c r="I168" s="101"/>
      <c r="J168" s="102">
        <f t="shared" si="29"/>
        <v>0</v>
      </c>
      <c r="K168" s="103"/>
      <c r="L168" s="104"/>
      <c r="M168" s="105"/>
      <c r="N168" s="103">
        <v>0</v>
      </c>
      <c r="O168" s="106"/>
      <c r="P168" s="103">
        <v>0</v>
      </c>
      <c r="Q168" s="107">
        <f t="shared" si="28"/>
        <v>0</v>
      </c>
      <c r="R168" s="107"/>
      <c r="S168" s="107"/>
      <c r="T168" s="108"/>
      <c r="U168" s="119"/>
      <c r="V168" s="110" t="str">
        <f t="shared" si="37"/>
        <v/>
      </c>
      <c r="W168" s="103"/>
      <c r="X168" s="112">
        <f t="shared" si="38"/>
        <v>0</v>
      </c>
      <c r="Y168" s="112">
        <f t="shared" si="39"/>
        <v>0</v>
      </c>
      <c r="Z168" s="113">
        <f t="shared" si="40"/>
        <v>0</v>
      </c>
      <c r="AA168" s="113">
        <v>0</v>
      </c>
      <c r="AB168" s="114">
        <v>0</v>
      </c>
      <c r="AC168" s="11">
        <f t="shared" si="41"/>
        <v>0</v>
      </c>
      <c r="AD168" s="115">
        <f t="shared" si="30"/>
        <v>0</v>
      </c>
      <c r="AE168" s="115">
        <f t="shared" si="31"/>
        <v>0</v>
      </c>
      <c r="AF168" s="115">
        <f t="shared" si="32"/>
        <v>0</v>
      </c>
      <c r="AG168" s="11"/>
      <c r="AH168" s="115">
        <f t="shared" si="34"/>
        <v>0</v>
      </c>
      <c r="AI168" s="115">
        <f t="shared" si="35"/>
        <v>0</v>
      </c>
      <c r="AJ168" s="115">
        <f t="shared" si="36"/>
        <v>0</v>
      </c>
      <c r="AL168" s="11">
        <f t="shared" si="33"/>
        <v>0</v>
      </c>
      <c r="AM168" s="118" t="s">
        <v>256</v>
      </c>
    </row>
    <row r="169" spans="1:39" s="14" customFormat="1">
      <c r="A169" s="95"/>
      <c r="B169" s="129" t="s">
        <v>49</v>
      </c>
      <c r="C169" s="96"/>
      <c r="D169" s="120" t="s">
        <v>257</v>
      </c>
      <c r="E169" s="98"/>
      <c r="F169" s="99">
        <f>VLOOKUP(D169,'Feb14 Revenue'!D:V,19,FALSE)</f>
        <v>0</v>
      </c>
      <c r="G169" s="100"/>
      <c r="H169" s="100"/>
      <c r="I169" s="101"/>
      <c r="J169" s="102">
        <f t="shared" si="29"/>
        <v>0</v>
      </c>
      <c r="K169" s="133"/>
      <c r="L169" s="104"/>
      <c r="M169" s="105"/>
      <c r="N169" s="133">
        <v>0</v>
      </c>
      <c r="O169" s="106"/>
      <c r="P169" s="133">
        <v>0</v>
      </c>
      <c r="Q169" s="137">
        <f t="shared" si="28"/>
        <v>0</v>
      </c>
      <c r="R169" s="137"/>
      <c r="S169" s="137"/>
      <c r="T169" s="108"/>
      <c r="U169" s="138"/>
      <c r="V169" s="139" t="str">
        <f t="shared" si="37"/>
        <v/>
      </c>
      <c r="W169" s="133"/>
      <c r="X169" s="112">
        <f t="shared" si="38"/>
        <v>0</v>
      </c>
      <c r="Y169" s="112">
        <f t="shared" si="39"/>
        <v>0</v>
      </c>
      <c r="Z169" s="113">
        <f t="shared" si="40"/>
        <v>0</v>
      </c>
      <c r="AA169" s="113">
        <v>0</v>
      </c>
      <c r="AB169" s="114">
        <v>0</v>
      </c>
      <c r="AC169" s="11">
        <f t="shared" si="41"/>
        <v>0</v>
      </c>
      <c r="AD169" s="115">
        <f t="shared" si="30"/>
        <v>0</v>
      </c>
      <c r="AE169" s="115">
        <f t="shared" si="31"/>
        <v>0</v>
      </c>
      <c r="AF169" s="115">
        <f t="shared" si="32"/>
        <v>0</v>
      </c>
      <c r="AG169" s="11"/>
      <c r="AH169" s="115">
        <f t="shared" si="34"/>
        <v>0</v>
      </c>
      <c r="AI169" s="115">
        <f t="shared" si="35"/>
        <v>0</v>
      </c>
      <c r="AJ169" s="115">
        <f t="shared" si="36"/>
        <v>0</v>
      </c>
      <c r="AL169" s="11">
        <f t="shared" si="33"/>
        <v>0</v>
      </c>
      <c r="AM169" s="120" t="s">
        <v>258</v>
      </c>
    </row>
    <row r="170" spans="1:39">
      <c r="A170" s="129"/>
      <c r="B170" s="129" t="s">
        <v>49</v>
      </c>
      <c r="C170" s="96"/>
      <c r="D170" s="120" t="s">
        <v>259</v>
      </c>
      <c r="E170" s="98"/>
      <c r="F170" s="99">
        <f>VLOOKUP(D170,'Feb14 Revenue'!D:V,19,FALSE)</f>
        <v>0</v>
      </c>
      <c r="G170" s="100"/>
      <c r="H170" s="100"/>
      <c r="I170" s="101"/>
      <c r="J170" s="102">
        <f t="shared" si="29"/>
        <v>0</v>
      </c>
      <c r="K170" s="103"/>
      <c r="L170" s="104"/>
      <c r="M170" s="105"/>
      <c r="N170" s="103">
        <v>0</v>
      </c>
      <c r="O170" s="106"/>
      <c r="P170" s="103">
        <v>0</v>
      </c>
      <c r="Q170" s="107">
        <f t="shared" si="28"/>
        <v>0</v>
      </c>
      <c r="R170" s="107"/>
      <c r="S170" s="107"/>
      <c r="T170" s="108"/>
      <c r="U170" s="119"/>
      <c r="V170" s="110" t="str">
        <f t="shared" si="37"/>
        <v/>
      </c>
      <c r="W170" s="103"/>
      <c r="X170" s="112">
        <f t="shared" si="38"/>
        <v>0</v>
      </c>
      <c r="Y170" s="112">
        <f t="shared" si="39"/>
        <v>0</v>
      </c>
      <c r="Z170" s="113">
        <f t="shared" si="40"/>
        <v>0</v>
      </c>
      <c r="AA170" s="113">
        <v>0</v>
      </c>
      <c r="AB170" s="114">
        <v>0</v>
      </c>
      <c r="AC170" s="11">
        <f t="shared" si="41"/>
        <v>0</v>
      </c>
      <c r="AD170" s="115">
        <f t="shared" si="30"/>
        <v>0</v>
      </c>
      <c r="AE170" s="115">
        <f t="shared" si="31"/>
        <v>0</v>
      </c>
      <c r="AF170" s="115">
        <f t="shared" si="32"/>
        <v>0</v>
      </c>
      <c r="AG170" s="11"/>
      <c r="AH170" s="115">
        <f t="shared" si="34"/>
        <v>0</v>
      </c>
      <c r="AI170" s="115">
        <f t="shared" si="35"/>
        <v>0</v>
      </c>
      <c r="AJ170" s="115">
        <f t="shared" si="36"/>
        <v>0</v>
      </c>
      <c r="AL170" s="11">
        <f t="shared" si="33"/>
        <v>0</v>
      </c>
      <c r="AM170" s="120" t="s">
        <v>259</v>
      </c>
    </row>
    <row r="171" spans="1:39">
      <c r="A171" s="129"/>
      <c r="B171" s="129" t="s">
        <v>49</v>
      </c>
      <c r="C171" s="129"/>
      <c r="D171" s="120" t="s">
        <v>260</v>
      </c>
      <c r="E171" s="98"/>
      <c r="F171" s="99">
        <f>VLOOKUP(D171,'Feb14 Revenue'!D:V,19,FALSE)</f>
        <v>0</v>
      </c>
      <c r="G171" s="100"/>
      <c r="H171" s="100"/>
      <c r="I171" s="101"/>
      <c r="J171" s="102">
        <f t="shared" si="29"/>
        <v>0</v>
      </c>
      <c r="K171" s="103"/>
      <c r="L171" s="104"/>
      <c r="M171" s="105"/>
      <c r="N171" s="103">
        <v>0</v>
      </c>
      <c r="O171" s="106"/>
      <c r="P171" s="103">
        <v>0</v>
      </c>
      <c r="Q171" s="107">
        <f t="shared" si="28"/>
        <v>0</v>
      </c>
      <c r="R171" s="107"/>
      <c r="S171" s="107"/>
      <c r="T171" s="108"/>
      <c r="U171" s="119"/>
      <c r="V171" s="110" t="str">
        <f t="shared" si="37"/>
        <v/>
      </c>
      <c r="W171" s="103"/>
      <c r="X171" s="112">
        <f t="shared" si="38"/>
        <v>0</v>
      </c>
      <c r="Y171" s="112">
        <f t="shared" si="39"/>
        <v>0</v>
      </c>
      <c r="Z171" s="113">
        <f t="shared" si="40"/>
        <v>0</v>
      </c>
      <c r="AA171" s="113">
        <v>0</v>
      </c>
      <c r="AB171" s="114">
        <v>0</v>
      </c>
      <c r="AC171" s="11">
        <f t="shared" si="41"/>
        <v>0</v>
      </c>
      <c r="AD171" s="115">
        <f t="shared" si="30"/>
        <v>0</v>
      </c>
      <c r="AE171" s="115">
        <f t="shared" si="31"/>
        <v>0</v>
      </c>
      <c r="AF171" s="115">
        <f t="shared" si="32"/>
        <v>0</v>
      </c>
      <c r="AG171" s="11"/>
      <c r="AH171" s="115">
        <f t="shared" si="34"/>
        <v>0</v>
      </c>
      <c r="AI171" s="115">
        <f t="shared" si="35"/>
        <v>0</v>
      </c>
      <c r="AJ171" s="115">
        <f t="shared" si="36"/>
        <v>0</v>
      </c>
      <c r="AL171" s="11">
        <f t="shared" si="33"/>
        <v>0</v>
      </c>
      <c r="AM171" s="120" t="s">
        <v>260</v>
      </c>
    </row>
    <row r="172" spans="1:39">
      <c r="A172" s="129"/>
      <c r="B172" s="129" t="s">
        <v>49</v>
      </c>
      <c r="C172" s="96"/>
      <c r="D172" s="120" t="s">
        <v>261</v>
      </c>
      <c r="E172" s="98"/>
      <c r="F172" s="99">
        <f>VLOOKUP(D172,'Feb14 Revenue'!D:V,19,FALSE)</f>
        <v>0</v>
      </c>
      <c r="G172" s="100"/>
      <c r="H172" s="100"/>
      <c r="I172" s="101"/>
      <c r="J172" s="102">
        <f t="shared" si="29"/>
        <v>0</v>
      </c>
      <c r="K172" s="103"/>
      <c r="L172" s="104"/>
      <c r="M172" s="105"/>
      <c r="N172" s="103">
        <v>0</v>
      </c>
      <c r="O172" s="106"/>
      <c r="P172" s="103">
        <v>0</v>
      </c>
      <c r="Q172" s="107">
        <f t="shared" si="28"/>
        <v>0</v>
      </c>
      <c r="R172" s="107"/>
      <c r="S172" s="107"/>
      <c r="T172" s="108"/>
      <c r="U172" s="119"/>
      <c r="V172" s="110" t="str">
        <f t="shared" si="37"/>
        <v/>
      </c>
      <c r="W172" s="103"/>
      <c r="X172" s="112">
        <f t="shared" si="38"/>
        <v>0</v>
      </c>
      <c r="Y172" s="112">
        <f t="shared" si="39"/>
        <v>0</v>
      </c>
      <c r="Z172" s="113">
        <f t="shared" si="40"/>
        <v>0</v>
      </c>
      <c r="AA172" s="113">
        <v>0</v>
      </c>
      <c r="AB172" s="114">
        <v>0</v>
      </c>
      <c r="AC172" s="11">
        <f t="shared" si="41"/>
        <v>0</v>
      </c>
      <c r="AD172" s="115">
        <f t="shared" si="30"/>
        <v>0</v>
      </c>
      <c r="AE172" s="115">
        <f t="shared" si="31"/>
        <v>0</v>
      </c>
      <c r="AF172" s="115">
        <f t="shared" si="32"/>
        <v>0</v>
      </c>
      <c r="AG172" s="11"/>
      <c r="AH172" s="115">
        <f t="shared" si="34"/>
        <v>0</v>
      </c>
      <c r="AI172" s="115">
        <f t="shared" si="35"/>
        <v>0</v>
      </c>
      <c r="AJ172" s="115">
        <f t="shared" si="36"/>
        <v>0</v>
      </c>
      <c r="AL172" s="11">
        <f t="shared" si="33"/>
        <v>0</v>
      </c>
      <c r="AM172" s="120" t="s">
        <v>261</v>
      </c>
    </row>
    <row r="173" spans="1:39">
      <c r="A173" s="129"/>
      <c r="B173" s="129" t="s">
        <v>49</v>
      </c>
      <c r="C173" s="96" t="s">
        <v>262</v>
      </c>
      <c r="D173" s="120" t="s">
        <v>263</v>
      </c>
      <c r="E173" s="98"/>
      <c r="F173" s="99">
        <f>VLOOKUP(D173,'Feb14 Revenue'!D:V,19,FALSE)</f>
        <v>-204.72000000000025</v>
      </c>
      <c r="G173" s="100"/>
      <c r="H173" s="100"/>
      <c r="I173" s="101"/>
      <c r="J173" s="102">
        <f t="shared" si="29"/>
        <v>-204.72000000000025</v>
      </c>
      <c r="K173" s="103"/>
      <c r="L173" s="104"/>
      <c r="M173" s="105"/>
      <c r="N173" s="103">
        <v>0</v>
      </c>
      <c r="O173" s="106"/>
      <c r="P173" s="103">
        <v>0</v>
      </c>
      <c r="Q173" s="107">
        <f t="shared" si="28"/>
        <v>0</v>
      </c>
      <c r="R173" s="107"/>
      <c r="S173" s="107"/>
      <c r="T173" s="108"/>
      <c r="U173" s="119"/>
      <c r="V173" s="110" t="str">
        <f t="shared" si="37"/>
        <v/>
      </c>
      <c r="W173" s="103"/>
      <c r="X173" s="112">
        <f t="shared" si="38"/>
        <v>0</v>
      </c>
      <c r="Y173" s="112">
        <f t="shared" si="39"/>
        <v>0</v>
      </c>
      <c r="Z173" s="113">
        <f t="shared" si="40"/>
        <v>0</v>
      </c>
      <c r="AA173" s="113">
        <v>0</v>
      </c>
      <c r="AB173" s="114">
        <v>0</v>
      </c>
      <c r="AC173" s="11">
        <f t="shared" si="41"/>
        <v>0</v>
      </c>
      <c r="AD173" s="115">
        <f t="shared" si="30"/>
        <v>-204.72000000000025</v>
      </c>
      <c r="AE173" s="115">
        <f t="shared" si="31"/>
        <v>0</v>
      </c>
      <c r="AF173" s="115">
        <f t="shared" si="32"/>
        <v>0</v>
      </c>
      <c r="AG173" s="11"/>
      <c r="AH173" s="115">
        <f t="shared" si="34"/>
        <v>0</v>
      </c>
      <c r="AI173" s="115">
        <f t="shared" si="35"/>
        <v>0</v>
      </c>
      <c r="AJ173" s="115">
        <f t="shared" si="36"/>
        <v>0</v>
      </c>
      <c r="AL173" s="11">
        <f t="shared" si="33"/>
        <v>-204.72000000000025</v>
      </c>
      <c r="AM173" s="120" t="s">
        <v>263</v>
      </c>
    </row>
    <row r="174" spans="1:39" s="124" customFormat="1">
      <c r="A174" s="127"/>
      <c r="B174" s="127" t="s">
        <v>46</v>
      </c>
      <c r="C174" s="96"/>
      <c r="D174" s="120" t="s">
        <v>264</v>
      </c>
      <c r="E174" s="98"/>
      <c r="F174" s="99">
        <f>VLOOKUP(D174,'Feb14 Revenue'!D:V,19,FALSE)</f>
        <v>0</v>
      </c>
      <c r="G174" s="100"/>
      <c r="H174" s="100"/>
      <c r="I174" s="101"/>
      <c r="J174" s="102">
        <f t="shared" si="29"/>
        <v>0</v>
      </c>
      <c r="K174" s="103"/>
      <c r="L174" s="104"/>
      <c r="M174" s="105"/>
      <c r="N174" s="103">
        <v>0</v>
      </c>
      <c r="O174" s="106"/>
      <c r="P174" s="103">
        <v>0</v>
      </c>
      <c r="Q174" s="107">
        <f t="shared" si="28"/>
        <v>0</v>
      </c>
      <c r="R174" s="107"/>
      <c r="S174" s="107"/>
      <c r="T174" s="108"/>
      <c r="U174" s="119"/>
      <c r="V174" s="110" t="str">
        <f t="shared" si="37"/>
        <v/>
      </c>
      <c r="W174" s="103"/>
      <c r="X174" s="112">
        <f t="shared" si="38"/>
        <v>0</v>
      </c>
      <c r="Y174" s="112">
        <f t="shared" si="39"/>
        <v>0</v>
      </c>
      <c r="Z174" s="113">
        <f t="shared" si="40"/>
        <v>0</v>
      </c>
      <c r="AA174" s="113">
        <v>0</v>
      </c>
      <c r="AB174" s="114">
        <v>0</v>
      </c>
      <c r="AC174" s="11">
        <f t="shared" si="41"/>
        <v>0</v>
      </c>
      <c r="AD174" s="115">
        <f t="shared" si="30"/>
        <v>0</v>
      </c>
      <c r="AE174" s="115">
        <f t="shared" si="31"/>
        <v>0</v>
      </c>
      <c r="AF174" s="115">
        <f t="shared" si="32"/>
        <v>0</v>
      </c>
      <c r="AG174" s="11"/>
      <c r="AH174" s="115">
        <f t="shared" si="34"/>
        <v>0</v>
      </c>
      <c r="AI174" s="115">
        <f t="shared" si="35"/>
        <v>0</v>
      </c>
      <c r="AJ174" s="115">
        <f t="shared" si="36"/>
        <v>0</v>
      </c>
      <c r="AL174" s="11">
        <f t="shared" si="33"/>
        <v>0</v>
      </c>
      <c r="AM174" s="118" t="s">
        <v>256</v>
      </c>
    </row>
    <row r="175" spans="1:39">
      <c r="A175" s="129"/>
      <c r="B175" s="129" t="s">
        <v>49</v>
      </c>
      <c r="C175" s="96" t="s">
        <v>265</v>
      </c>
      <c r="D175" s="120" t="s">
        <v>266</v>
      </c>
      <c r="E175" s="98">
        <v>117163.27</v>
      </c>
      <c r="F175" s="99">
        <f>VLOOKUP(D175,'Feb14 Revenue'!D:V,19,FALSE)</f>
        <v>-120000</v>
      </c>
      <c r="G175" s="100"/>
      <c r="H175" s="100"/>
      <c r="I175" s="125">
        <v>121760.86</v>
      </c>
      <c r="J175" s="102">
        <f t="shared" si="29"/>
        <v>118924.13</v>
      </c>
      <c r="K175" s="103"/>
      <c r="L175" s="104"/>
      <c r="M175" s="105"/>
      <c r="N175" s="103">
        <v>0</v>
      </c>
      <c r="O175" s="106"/>
      <c r="P175" s="103">
        <v>0</v>
      </c>
      <c r="Q175" s="107">
        <f t="shared" si="28"/>
        <v>0</v>
      </c>
      <c r="R175" s="107"/>
      <c r="S175" s="107"/>
      <c r="T175" s="108"/>
      <c r="U175" s="119"/>
      <c r="V175" s="110" t="str">
        <f t="shared" si="37"/>
        <v/>
      </c>
      <c r="W175" s="103"/>
      <c r="X175" s="112">
        <f t="shared" si="38"/>
        <v>0</v>
      </c>
      <c r="Y175" s="112">
        <f t="shared" si="39"/>
        <v>0</v>
      </c>
      <c r="Z175" s="113">
        <f t="shared" si="40"/>
        <v>0</v>
      </c>
      <c r="AA175" s="113">
        <v>0</v>
      </c>
      <c r="AB175" s="114">
        <v>0</v>
      </c>
      <c r="AC175" s="11">
        <f t="shared" si="41"/>
        <v>0</v>
      </c>
      <c r="AD175" s="115">
        <f t="shared" si="30"/>
        <v>118924.13</v>
      </c>
      <c r="AE175" s="115">
        <f t="shared" si="31"/>
        <v>0</v>
      </c>
      <c r="AF175" s="115">
        <f t="shared" si="32"/>
        <v>0</v>
      </c>
      <c r="AG175" s="11"/>
      <c r="AH175" s="115">
        <f t="shared" si="34"/>
        <v>0</v>
      </c>
      <c r="AI175" s="115">
        <f t="shared" si="35"/>
        <v>0</v>
      </c>
      <c r="AJ175" s="115">
        <f t="shared" si="36"/>
        <v>0</v>
      </c>
      <c r="AL175" s="11">
        <f t="shared" si="33"/>
        <v>118924.13</v>
      </c>
      <c r="AM175" s="120" t="s">
        <v>266</v>
      </c>
    </row>
    <row r="176" spans="1:39">
      <c r="A176" s="129"/>
      <c r="B176" s="129" t="s">
        <v>49</v>
      </c>
      <c r="C176" s="128" t="s">
        <v>267</v>
      </c>
      <c r="D176" s="144" t="s">
        <v>268</v>
      </c>
      <c r="E176" s="98">
        <v>9574.5</v>
      </c>
      <c r="F176" s="99">
        <f>VLOOKUP(D176,'Feb14 Revenue'!D:V,19,FALSE)</f>
        <v>-12301.55</v>
      </c>
      <c r="G176" s="100"/>
      <c r="H176" s="100"/>
      <c r="I176" s="101"/>
      <c r="J176" s="102">
        <f t="shared" si="29"/>
        <v>-2727.0499999999993</v>
      </c>
      <c r="K176" s="103"/>
      <c r="L176" s="104"/>
      <c r="M176" s="105">
        <v>10000</v>
      </c>
      <c r="N176" s="103">
        <v>0</v>
      </c>
      <c r="O176" s="106"/>
      <c r="P176" s="103">
        <v>0</v>
      </c>
      <c r="Q176" s="107">
        <f t="shared" si="28"/>
        <v>10000</v>
      </c>
      <c r="R176" s="107"/>
      <c r="S176" s="107"/>
      <c r="T176" s="108"/>
      <c r="U176" s="119"/>
      <c r="V176" s="110" t="str">
        <f t="shared" si="37"/>
        <v/>
      </c>
      <c r="W176" s="103"/>
      <c r="X176" s="112">
        <f t="shared" si="38"/>
        <v>10000</v>
      </c>
      <c r="Y176" s="112">
        <f t="shared" si="39"/>
        <v>0</v>
      </c>
      <c r="Z176" s="113">
        <f t="shared" si="40"/>
        <v>0</v>
      </c>
      <c r="AA176" s="113">
        <v>0</v>
      </c>
      <c r="AB176" s="114">
        <v>0</v>
      </c>
      <c r="AC176" s="11">
        <f t="shared" si="41"/>
        <v>0</v>
      </c>
      <c r="AD176" s="115">
        <f t="shared" si="30"/>
        <v>-2727.0499999999993</v>
      </c>
      <c r="AE176" s="115">
        <f>IF(B176="M",J176,0)</f>
        <v>0</v>
      </c>
      <c r="AF176" s="115">
        <f t="shared" si="32"/>
        <v>0</v>
      </c>
      <c r="AG176" s="11"/>
      <c r="AH176" s="115">
        <f t="shared" si="34"/>
        <v>10000</v>
      </c>
      <c r="AI176" s="115">
        <f t="shared" si="35"/>
        <v>0</v>
      </c>
      <c r="AJ176" s="115">
        <f t="shared" si="36"/>
        <v>0</v>
      </c>
      <c r="AL176" s="11">
        <f t="shared" si="33"/>
        <v>7272.9500000000007</v>
      </c>
      <c r="AM176" s="144" t="s">
        <v>268</v>
      </c>
    </row>
    <row r="177" spans="1:39" s="124" customFormat="1">
      <c r="A177" s="127"/>
      <c r="B177" s="127" t="s">
        <v>49</v>
      </c>
      <c r="C177" s="96"/>
      <c r="D177" s="145" t="s">
        <v>269</v>
      </c>
      <c r="E177" s="98"/>
      <c r="F177" s="99">
        <f>VLOOKUP(D177,'Feb14 Revenue'!D:V,19,FALSE)</f>
        <v>0</v>
      </c>
      <c r="G177" s="100"/>
      <c r="H177" s="100"/>
      <c r="I177" s="101"/>
      <c r="J177" s="102">
        <f t="shared" si="29"/>
        <v>0</v>
      </c>
      <c r="K177" s="103"/>
      <c r="L177" s="104"/>
      <c r="M177" s="105"/>
      <c r="N177" s="103">
        <v>0</v>
      </c>
      <c r="O177" s="106"/>
      <c r="P177" s="103">
        <v>0</v>
      </c>
      <c r="Q177" s="107">
        <f t="shared" si="28"/>
        <v>0</v>
      </c>
      <c r="R177" s="107"/>
      <c r="S177" s="107"/>
      <c r="T177" s="108"/>
      <c r="U177" s="119"/>
      <c r="V177" s="110" t="str">
        <f t="shared" si="37"/>
        <v/>
      </c>
      <c r="W177" s="103"/>
      <c r="X177" s="112">
        <f t="shared" si="38"/>
        <v>0</v>
      </c>
      <c r="Y177" s="112">
        <f t="shared" si="39"/>
        <v>0</v>
      </c>
      <c r="Z177" s="113">
        <f t="shared" si="40"/>
        <v>0</v>
      </c>
      <c r="AA177" s="113">
        <v>0</v>
      </c>
      <c r="AB177" s="114">
        <v>0</v>
      </c>
      <c r="AC177" s="11">
        <f t="shared" si="41"/>
        <v>0</v>
      </c>
      <c r="AD177" s="115">
        <f t="shared" si="30"/>
        <v>0</v>
      </c>
      <c r="AE177" s="115">
        <f t="shared" si="31"/>
        <v>0</v>
      </c>
      <c r="AF177" s="115">
        <f t="shared" si="32"/>
        <v>0</v>
      </c>
      <c r="AG177" s="11"/>
      <c r="AH177" s="115">
        <f t="shared" si="34"/>
        <v>0</v>
      </c>
      <c r="AI177" s="115">
        <f t="shared" si="35"/>
        <v>0</v>
      </c>
      <c r="AJ177" s="115">
        <f t="shared" si="36"/>
        <v>0</v>
      </c>
      <c r="AL177" s="11">
        <f t="shared" si="33"/>
        <v>0</v>
      </c>
      <c r="AM177" s="146" t="s">
        <v>269</v>
      </c>
    </row>
    <row r="178" spans="1:39" s="124" customFormat="1">
      <c r="A178" s="127"/>
      <c r="B178" s="127" t="s">
        <v>49</v>
      </c>
      <c r="C178" s="96" t="s">
        <v>270</v>
      </c>
      <c r="D178" s="143" t="s">
        <v>271</v>
      </c>
      <c r="E178" s="98">
        <v>304555.07</v>
      </c>
      <c r="F178" s="99">
        <f>VLOOKUP(D178,'Feb14 Revenue'!D:V,19,FALSE)</f>
        <v>-100000</v>
      </c>
      <c r="G178" s="100"/>
      <c r="H178" s="100"/>
      <c r="I178" s="101"/>
      <c r="J178" s="102">
        <f t="shared" si="29"/>
        <v>204555.07</v>
      </c>
      <c r="K178" s="103"/>
      <c r="L178" s="104"/>
      <c r="M178" s="147">
        <v>100000</v>
      </c>
      <c r="N178" s="103">
        <v>0</v>
      </c>
      <c r="O178" s="106"/>
      <c r="P178" s="103">
        <v>0</v>
      </c>
      <c r="Q178" s="107">
        <f t="shared" si="28"/>
        <v>100000</v>
      </c>
      <c r="R178" s="107"/>
      <c r="S178" s="107"/>
      <c r="T178" s="108"/>
      <c r="U178" s="119"/>
      <c r="V178" s="110" t="str">
        <f t="shared" si="37"/>
        <v/>
      </c>
      <c r="W178" s="103"/>
      <c r="X178" s="112">
        <f t="shared" si="38"/>
        <v>100000</v>
      </c>
      <c r="Y178" s="112">
        <f t="shared" si="39"/>
        <v>0</v>
      </c>
      <c r="Z178" s="113">
        <f t="shared" si="40"/>
        <v>0</v>
      </c>
      <c r="AA178" s="113">
        <v>0</v>
      </c>
      <c r="AB178" s="114">
        <v>0</v>
      </c>
      <c r="AC178" s="11">
        <f t="shared" si="41"/>
        <v>0</v>
      </c>
      <c r="AD178" s="115">
        <f t="shared" si="30"/>
        <v>204555.07</v>
      </c>
      <c r="AE178" s="115">
        <f t="shared" si="31"/>
        <v>0</v>
      </c>
      <c r="AF178" s="115">
        <f t="shared" si="32"/>
        <v>0</v>
      </c>
      <c r="AG178" s="11"/>
      <c r="AH178" s="115">
        <f t="shared" si="34"/>
        <v>100000</v>
      </c>
      <c r="AI178" s="115">
        <f t="shared" si="35"/>
        <v>0</v>
      </c>
      <c r="AJ178" s="115">
        <f t="shared" si="36"/>
        <v>0</v>
      </c>
      <c r="AL178" s="11">
        <f t="shared" si="33"/>
        <v>304555.07</v>
      </c>
      <c r="AM178" s="143" t="s">
        <v>271</v>
      </c>
    </row>
    <row r="179" spans="1:39" s="124" customFormat="1">
      <c r="A179" s="127"/>
      <c r="B179" s="127" t="s">
        <v>49</v>
      </c>
      <c r="C179" s="96"/>
      <c r="D179" s="143" t="s">
        <v>272</v>
      </c>
      <c r="E179" s="98"/>
      <c r="F179" s="99">
        <f>VLOOKUP(D179,'Feb14 Revenue'!D:V,19,FALSE)</f>
        <v>0</v>
      </c>
      <c r="G179" s="100"/>
      <c r="H179" s="100"/>
      <c r="I179" s="101"/>
      <c r="J179" s="102">
        <f t="shared" si="29"/>
        <v>0</v>
      </c>
      <c r="K179" s="103"/>
      <c r="L179" s="104"/>
      <c r="M179" s="105"/>
      <c r="N179" s="103">
        <v>0</v>
      </c>
      <c r="O179" s="106"/>
      <c r="P179" s="103">
        <v>0</v>
      </c>
      <c r="Q179" s="107">
        <f t="shared" si="28"/>
        <v>0</v>
      </c>
      <c r="R179" s="107"/>
      <c r="S179" s="107"/>
      <c r="T179" s="108"/>
      <c r="U179" s="119"/>
      <c r="V179" s="110" t="str">
        <f t="shared" si="37"/>
        <v/>
      </c>
      <c r="W179" s="103"/>
      <c r="X179" s="112">
        <f t="shared" si="38"/>
        <v>0</v>
      </c>
      <c r="Y179" s="112">
        <f t="shared" si="39"/>
        <v>0</v>
      </c>
      <c r="Z179" s="113">
        <f t="shared" si="40"/>
        <v>0</v>
      </c>
      <c r="AA179" s="113">
        <v>0</v>
      </c>
      <c r="AB179" s="114">
        <v>0</v>
      </c>
      <c r="AC179" s="11">
        <f t="shared" si="41"/>
        <v>0</v>
      </c>
      <c r="AD179" s="115">
        <f t="shared" si="30"/>
        <v>0</v>
      </c>
      <c r="AE179" s="115">
        <f t="shared" si="31"/>
        <v>0</v>
      </c>
      <c r="AF179" s="115">
        <f t="shared" si="32"/>
        <v>0</v>
      </c>
      <c r="AG179" s="11"/>
      <c r="AH179" s="115">
        <f t="shared" si="34"/>
        <v>0</v>
      </c>
      <c r="AI179" s="115">
        <f t="shared" si="35"/>
        <v>0</v>
      </c>
      <c r="AJ179" s="115">
        <f t="shared" si="36"/>
        <v>0</v>
      </c>
      <c r="AL179" s="11">
        <f t="shared" si="33"/>
        <v>0</v>
      </c>
      <c r="AM179" s="143" t="s">
        <v>272</v>
      </c>
    </row>
    <row r="180" spans="1:39" s="124" customFormat="1">
      <c r="A180" s="127"/>
      <c r="B180" s="127" t="s">
        <v>46</v>
      </c>
      <c r="C180" s="96" t="s">
        <v>273</v>
      </c>
      <c r="D180" s="118" t="s">
        <v>274</v>
      </c>
      <c r="E180" s="98"/>
      <c r="F180" s="99">
        <f>VLOOKUP(D180,'Feb14 Revenue'!D:V,19,FALSE)</f>
        <v>0</v>
      </c>
      <c r="G180" s="100"/>
      <c r="H180" s="100"/>
      <c r="I180" s="101"/>
      <c r="J180" s="102">
        <f t="shared" si="29"/>
        <v>0</v>
      </c>
      <c r="K180" s="103"/>
      <c r="L180" s="104"/>
      <c r="M180" s="105"/>
      <c r="N180" s="103">
        <v>0</v>
      </c>
      <c r="O180" s="106"/>
      <c r="P180" s="103">
        <v>0</v>
      </c>
      <c r="Q180" s="107">
        <f t="shared" si="28"/>
        <v>0</v>
      </c>
      <c r="R180" s="107"/>
      <c r="S180" s="107"/>
      <c r="T180" s="108"/>
      <c r="U180" s="119"/>
      <c r="V180" s="110" t="str">
        <f t="shared" si="37"/>
        <v/>
      </c>
      <c r="W180" s="103"/>
      <c r="X180" s="112">
        <f t="shared" si="38"/>
        <v>0</v>
      </c>
      <c r="Y180" s="112">
        <f t="shared" si="39"/>
        <v>0</v>
      </c>
      <c r="Z180" s="113">
        <f t="shared" si="40"/>
        <v>0</v>
      </c>
      <c r="AA180" s="113">
        <v>0</v>
      </c>
      <c r="AB180" s="114">
        <v>0</v>
      </c>
      <c r="AC180" s="11">
        <f t="shared" si="41"/>
        <v>0</v>
      </c>
      <c r="AD180" s="115">
        <f t="shared" si="30"/>
        <v>0</v>
      </c>
      <c r="AE180" s="115">
        <f t="shared" si="31"/>
        <v>0</v>
      </c>
      <c r="AF180" s="115">
        <f t="shared" si="32"/>
        <v>0</v>
      </c>
      <c r="AG180" s="11"/>
      <c r="AH180" s="115">
        <f t="shared" si="34"/>
        <v>0</v>
      </c>
      <c r="AI180" s="115">
        <f t="shared" si="35"/>
        <v>0</v>
      </c>
      <c r="AJ180" s="115">
        <f t="shared" si="36"/>
        <v>0</v>
      </c>
      <c r="AL180" s="11">
        <f t="shared" si="33"/>
        <v>0</v>
      </c>
      <c r="AM180" s="118" t="s">
        <v>274</v>
      </c>
    </row>
    <row r="181" spans="1:39">
      <c r="A181" s="116"/>
      <c r="B181" s="116" t="s">
        <v>49</v>
      </c>
      <c r="C181" s="126" t="s">
        <v>275</v>
      </c>
      <c r="D181" s="120" t="s">
        <v>276</v>
      </c>
      <c r="E181" s="98"/>
      <c r="F181" s="99">
        <f>VLOOKUP(D181,'Feb14 Revenue'!D:V,19,FALSE)</f>
        <v>0</v>
      </c>
      <c r="G181" s="100"/>
      <c r="H181" s="100"/>
      <c r="I181" s="101"/>
      <c r="J181" s="102">
        <f t="shared" si="29"/>
        <v>0</v>
      </c>
      <c r="K181" s="103"/>
      <c r="L181" s="104"/>
      <c r="M181" s="105"/>
      <c r="N181" s="103">
        <v>0</v>
      </c>
      <c r="O181" s="106"/>
      <c r="P181" s="103">
        <v>0</v>
      </c>
      <c r="Q181" s="107">
        <f t="shared" si="28"/>
        <v>0</v>
      </c>
      <c r="R181" s="107"/>
      <c r="S181" s="107"/>
      <c r="T181" s="108">
        <v>0</v>
      </c>
      <c r="U181" s="119"/>
      <c r="V181" s="110">
        <f t="shared" si="37"/>
        <v>0</v>
      </c>
      <c r="W181" s="103"/>
      <c r="X181" s="112">
        <f t="shared" si="38"/>
        <v>0</v>
      </c>
      <c r="Y181" s="112">
        <f t="shared" si="39"/>
        <v>0</v>
      </c>
      <c r="Z181" s="113">
        <f t="shared" si="40"/>
        <v>0</v>
      </c>
      <c r="AA181" s="113">
        <v>0</v>
      </c>
      <c r="AB181" s="114">
        <v>0</v>
      </c>
      <c r="AC181" s="11">
        <f t="shared" si="41"/>
        <v>0</v>
      </c>
      <c r="AD181" s="115">
        <f t="shared" si="30"/>
        <v>0</v>
      </c>
      <c r="AE181" s="115">
        <f t="shared" si="31"/>
        <v>0</v>
      </c>
      <c r="AF181" s="115">
        <f t="shared" si="32"/>
        <v>0</v>
      </c>
      <c r="AG181" s="11"/>
      <c r="AH181" s="115">
        <f t="shared" si="34"/>
        <v>0</v>
      </c>
      <c r="AI181" s="115">
        <f t="shared" si="35"/>
        <v>0</v>
      </c>
      <c r="AJ181" s="115">
        <f t="shared" si="36"/>
        <v>0</v>
      </c>
      <c r="AL181" s="11">
        <f t="shared" si="33"/>
        <v>0</v>
      </c>
      <c r="AM181" s="120" t="s">
        <v>276</v>
      </c>
    </row>
    <row r="182" spans="1:39">
      <c r="A182" s="116"/>
      <c r="B182" s="116" t="s">
        <v>49</v>
      </c>
      <c r="C182" s="126" t="s">
        <v>277</v>
      </c>
      <c r="D182" s="120" t="s">
        <v>278</v>
      </c>
      <c r="E182" s="98">
        <v>2560.5</v>
      </c>
      <c r="F182" s="99">
        <f>VLOOKUP(D182,'Feb14 Revenue'!D:V,19,FALSE)</f>
        <v>-7380.6399999999994</v>
      </c>
      <c r="G182" s="100"/>
      <c r="H182" s="100"/>
      <c r="I182" s="101"/>
      <c r="J182" s="102">
        <f t="shared" si="29"/>
        <v>-4820.1399999999994</v>
      </c>
      <c r="K182" s="103"/>
      <c r="L182" s="104"/>
      <c r="M182" s="105"/>
      <c r="N182" s="103">
        <v>0</v>
      </c>
      <c r="O182" s="106"/>
      <c r="P182" s="103">
        <v>0</v>
      </c>
      <c r="Q182" s="107">
        <f t="shared" si="28"/>
        <v>0</v>
      </c>
      <c r="R182" s="107"/>
      <c r="S182" s="107"/>
      <c r="T182" s="108"/>
      <c r="U182" s="119"/>
      <c r="V182" s="110" t="str">
        <f t="shared" si="37"/>
        <v/>
      </c>
      <c r="W182" s="103"/>
      <c r="X182" s="112">
        <f t="shared" si="38"/>
        <v>0</v>
      </c>
      <c r="Y182" s="112">
        <f t="shared" si="39"/>
        <v>0</v>
      </c>
      <c r="Z182" s="113">
        <f t="shared" si="40"/>
        <v>0</v>
      </c>
      <c r="AA182" s="113">
        <v>0</v>
      </c>
      <c r="AB182" s="114">
        <v>0</v>
      </c>
      <c r="AC182" s="11">
        <f t="shared" si="41"/>
        <v>0</v>
      </c>
      <c r="AD182" s="115">
        <f t="shared" si="30"/>
        <v>-4820.1399999999994</v>
      </c>
      <c r="AE182" s="115">
        <f t="shared" si="31"/>
        <v>0</v>
      </c>
      <c r="AF182" s="115">
        <f t="shared" si="32"/>
        <v>0</v>
      </c>
      <c r="AG182" s="11"/>
      <c r="AH182" s="115">
        <f t="shared" si="34"/>
        <v>0</v>
      </c>
      <c r="AI182" s="115">
        <f t="shared" si="35"/>
        <v>0</v>
      </c>
      <c r="AJ182" s="115">
        <f t="shared" si="36"/>
        <v>0</v>
      </c>
      <c r="AL182" s="11">
        <f t="shared" si="33"/>
        <v>-4820.1399999999994</v>
      </c>
      <c r="AM182" s="120" t="s">
        <v>278</v>
      </c>
    </row>
    <row r="183" spans="1:39">
      <c r="A183" s="116"/>
      <c r="B183" s="116" t="s">
        <v>46</v>
      </c>
      <c r="C183" s="122" t="s">
        <v>279</v>
      </c>
      <c r="D183" s="120" t="s">
        <v>280</v>
      </c>
      <c r="E183" s="98"/>
      <c r="F183" s="99">
        <f>VLOOKUP(D183,'Feb14 Revenue'!D:V,19,FALSE)</f>
        <v>0</v>
      </c>
      <c r="G183" s="100"/>
      <c r="H183" s="100"/>
      <c r="I183" s="101"/>
      <c r="J183" s="102">
        <f t="shared" si="29"/>
        <v>0</v>
      </c>
      <c r="K183" s="103"/>
      <c r="L183" s="104"/>
      <c r="M183" s="105"/>
      <c r="N183" s="103">
        <v>0</v>
      </c>
      <c r="O183" s="106"/>
      <c r="P183" s="103">
        <v>0</v>
      </c>
      <c r="Q183" s="107">
        <f t="shared" si="28"/>
        <v>0</v>
      </c>
      <c r="R183" s="107"/>
      <c r="S183" s="107"/>
      <c r="T183" s="108"/>
      <c r="U183" s="119"/>
      <c r="V183" s="110" t="str">
        <f t="shared" si="37"/>
        <v/>
      </c>
      <c r="W183" s="103"/>
      <c r="X183" s="112">
        <f t="shared" si="38"/>
        <v>0</v>
      </c>
      <c r="Y183" s="112">
        <f t="shared" si="39"/>
        <v>0</v>
      </c>
      <c r="Z183" s="113">
        <f t="shared" si="40"/>
        <v>0</v>
      </c>
      <c r="AA183" s="113">
        <v>0</v>
      </c>
      <c r="AB183" s="114">
        <v>0</v>
      </c>
      <c r="AC183" s="11">
        <f t="shared" si="41"/>
        <v>0</v>
      </c>
      <c r="AD183" s="115">
        <f t="shared" si="30"/>
        <v>0</v>
      </c>
      <c r="AE183" s="115">
        <f t="shared" si="31"/>
        <v>0</v>
      </c>
      <c r="AF183" s="115">
        <f t="shared" si="32"/>
        <v>0</v>
      </c>
      <c r="AG183" s="11"/>
      <c r="AH183" s="115">
        <f t="shared" si="34"/>
        <v>0</v>
      </c>
      <c r="AI183" s="115">
        <f t="shared" si="35"/>
        <v>0</v>
      </c>
      <c r="AJ183" s="115">
        <f t="shared" si="36"/>
        <v>0</v>
      </c>
      <c r="AL183" s="11">
        <f t="shared" si="33"/>
        <v>0</v>
      </c>
      <c r="AM183" s="120" t="s">
        <v>280</v>
      </c>
    </row>
    <row r="184" spans="1:39">
      <c r="A184" s="129"/>
      <c r="B184" s="129" t="s">
        <v>49</v>
      </c>
      <c r="C184" s="96"/>
      <c r="D184" s="120" t="s">
        <v>281</v>
      </c>
      <c r="E184" s="98"/>
      <c r="F184" s="99">
        <f>VLOOKUP(D184,'Feb14 Revenue'!D:V,19,FALSE)</f>
        <v>0</v>
      </c>
      <c r="G184" s="100"/>
      <c r="H184" s="100"/>
      <c r="I184" s="101"/>
      <c r="J184" s="102">
        <f t="shared" si="29"/>
        <v>0</v>
      </c>
      <c r="K184" s="103"/>
      <c r="L184" s="104"/>
      <c r="M184" s="105"/>
      <c r="N184" s="103">
        <v>0</v>
      </c>
      <c r="O184" s="106"/>
      <c r="P184" s="103">
        <v>0</v>
      </c>
      <c r="Q184" s="107">
        <f t="shared" si="28"/>
        <v>0</v>
      </c>
      <c r="R184" s="107"/>
      <c r="S184" s="107"/>
      <c r="T184" s="108"/>
      <c r="U184" s="119"/>
      <c r="V184" s="110" t="str">
        <f t="shared" si="37"/>
        <v/>
      </c>
      <c r="W184" s="103"/>
      <c r="X184" s="112">
        <f t="shared" si="38"/>
        <v>0</v>
      </c>
      <c r="Y184" s="112">
        <f t="shared" si="39"/>
        <v>0</v>
      </c>
      <c r="Z184" s="113">
        <f t="shared" si="40"/>
        <v>0</v>
      </c>
      <c r="AA184" s="113">
        <v>0</v>
      </c>
      <c r="AB184" s="114">
        <v>0</v>
      </c>
      <c r="AC184" s="11">
        <f t="shared" si="41"/>
        <v>0</v>
      </c>
      <c r="AD184" s="115">
        <f t="shared" si="30"/>
        <v>0</v>
      </c>
      <c r="AE184" s="115">
        <f t="shared" si="31"/>
        <v>0</v>
      </c>
      <c r="AF184" s="115">
        <f t="shared" si="32"/>
        <v>0</v>
      </c>
      <c r="AG184" s="11"/>
      <c r="AH184" s="115">
        <f t="shared" si="34"/>
        <v>0</v>
      </c>
      <c r="AI184" s="115">
        <f t="shared" si="35"/>
        <v>0</v>
      </c>
      <c r="AJ184" s="115">
        <f t="shared" si="36"/>
        <v>0</v>
      </c>
      <c r="AL184" s="11">
        <f t="shared" si="33"/>
        <v>0</v>
      </c>
      <c r="AM184" s="120" t="s">
        <v>281</v>
      </c>
    </row>
    <row r="185" spans="1:39">
      <c r="A185" s="129"/>
      <c r="B185" s="129" t="s">
        <v>46</v>
      </c>
      <c r="C185" s="96" t="s">
        <v>282</v>
      </c>
      <c r="D185" s="120" t="s">
        <v>283</v>
      </c>
      <c r="E185" s="98"/>
      <c r="F185" s="99">
        <f>VLOOKUP(D185,'Feb14 Revenue'!D:V,19,FALSE)</f>
        <v>0</v>
      </c>
      <c r="G185" s="100"/>
      <c r="H185" s="100"/>
      <c r="I185" s="101"/>
      <c r="J185" s="102">
        <f t="shared" si="29"/>
        <v>0</v>
      </c>
      <c r="K185" s="103"/>
      <c r="L185" s="104"/>
      <c r="M185" s="105"/>
      <c r="N185" s="103">
        <v>0</v>
      </c>
      <c r="O185" s="106"/>
      <c r="P185" s="103">
        <v>0</v>
      </c>
      <c r="Q185" s="107">
        <f t="shared" si="28"/>
        <v>0</v>
      </c>
      <c r="R185" s="107"/>
      <c r="S185" s="107"/>
      <c r="T185" s="108"/>
      <c r="U185" s="119"/>
      <c r="V185" s="110" t="str">
        <f t="shared" si="37"/>
        <v/>
      </c>
      <c r="W185" s="103"/>
      <c r="X185" s="112">
        <f t="shared" si="38"/>
        <v>0</v>
      </c>
      <c r="Y185" s="112">
        <f t="shared" si="39"/>
        <v>0</v>
      </c>
      <c r="Z185" s="113">
        <f t="shared" si="40"/>
        <v>0</v>
      </c>
      <c r="AA185" s="113">
        <v>0</v>
      </c>
      <c r="AB185" s="114">
        <v>0</v>
      </c>
      <c r="AC185" s="11">
        <f t="shared" si="41"/>
        <v>0</v>
      </c>
      <c r="AD185" s="115">
        <f t="shared" si="30"/>
        <v>0</v>
      </c>
      <c r="AE185" s="115">
        <f t="shared" si="31"/>
        <v>0</v>
      </c>
      <c r="AF185" s="115">
        <f t="shared" si="32"/>
        <v>0</v>
      </c>
      <c r="AG185" s="11"/>
      <c r="AH185" s="115">
        <f t="shared" si="34"/>
        <v>0</v>
      </c>
      <c r="AI185" s="115">
        <f t="shared" si="35"/>
        <v>0</v>
      </c>
      <c r="AJ185" s="115">
        <f t="shared" si="36"/>
        <v>0</v>
      </c>
      <c r="AL185" s="11">
        <f t="shared" si="33"/>
        <v>0</v>
      </c>
      <c r="AM185" s="120" t="s">
        <v>283</v>
      </c>
    </row>
    <row r="186" spans="1:39">
      <c r="A186" s="129"/>
      <c r="B186" s="129" t="s">
        <v>81</v>
      </c>
      <c r="C186" s="96" t="s">
        <v>282</v>
      </c>
      <c r="D186" s="120" t="s">
        <v>283</v>
      </c>
      <c r="E186" s="98"/>
      <c r="F186" s="99">
        <f>VLOOKUP(D186,'Feb14 Revenue'!D:V,19,FALSE)</f>
        <v>0</v>
      </c>
      <c r="G186" s="100"/>
      <c r="H186" s="100"/>
      <c r="I186" s="101"/>
      <c r="J186" s="102">
        <f t="shared" si="29"/>
        <v>0</v>
      </c>
      <c r="K186" s="103"/>
      <c r="L186" s="104"/>
      <c r="M186" s="105"/>
      <c r="N186" s="103">
        <v>0</v>
      </c>
      <c r="O186" s="106"/>
      <c r="P186" s="103">
        <v>0</v>
      </c>
      <c r="Q186" s="107">
        <f t="shared" si="28"/>
        <v>0</v>
      </c>
      <c r="R186" s="107"/>
      <c r="S186" s="107"/>
      <c r="T186" s="108"/>
      <c r="U186" s="119"/>
      <c r="V186" s="110" t="str">
        <f t="shared" si="37"/>
        <v/>
      </c>
      <c r="W186" s="103"/>
      <c r="X186" s="112">
        <f t="shared" si="38"/>
        <v>0</v>
      </c>
      <c r="Y186" s="112">
        <f t="shared" si="39"/>
        <v>0</v>
      </c>
      <c r="Z186" s="113">
        <f t="shared" si="40"/>
        <v>0</v>
      </c>
      <c r="AA186" s="113">
        <v>0</v>
      </c>
      <c r="AB186" s="114">
        <v>0</v>
      </c>
      <c r="AC186" s="11">
        <f t="shared" si="41"/>
        <v>0</v>
      </c>
      <c r="AD186" s="115">
        <f t="shared" si="30"/>
        <v>0</v>
      </c>
      <c r="AE186" s="115">
        <f t="shared" si="31"/>
        <v>0</v>
      </c>
      <c r="AF186" s="115">
        <f t="shared" si="32"/>
        <v>0</v>
      </c>
      <c r="AG186" s="11"/>
      <c r="AH186" s="115">
        <f t="shared" si="34"/>
        <v>0</v>
      </c>
      <c r="AI186" s="115">
        <f t="shared" si="35"/>
        <v>0</v>
      </c>
      <c r="AJ186" s="115">
        <f t="shared" si="36"/>
        <v>0</v>
      </c>
      <c r="AL186" s="11">
        <f t="shared" si="33"/>
        <v>0</v>
      </c>
      <c r="AM186" s="120" t="s">
        <v>283</v>
      </c>
    </row>
    <row r="187" spans="1:39">
      <c r="A187" s="129"/>
      <c r="B187" s="129" t="s">
        <v>49</v>
      </c>
      <c r="C187" s="96" t="s">
        <v>284</v>
      </c>
      <c r="D187" s="144" t="s">
        <v>285</v>
      </c>
      <c r="E187" s="98"/>
      <c r="F187" s="99">
        <f>VLOOKUP(D187,'Feb14 Revenue'!D:V,19,FALSE)</f>
        <v>0</v>
      </c>
      <c r="G187" s="100"/>
      <c r="H187" s="100"/>
      <c r="I187" s="125">
        <f>994.89+17298.74</f>
        <v>18293.63</v>
      </c>
      <c r="J187" s="102">
        <f t="shared" si="29"/>
        <v>18293.63</v>
      </c>
      <c r="K187" s="103"/>
      <c r="L187" s="104"/>
      <c r="M187" s="105"/>
      <c r="N187" s="103">
        <v>0</v>
      </c>
      <c r="O187" s="106"/>
      <c r="P187" s="103">
        <v>0</v>
      </c>
      <c r="Q187" s="107">
        <f t="shared" si="28"/>
        <v>0</v>
      </c>
      <c r="R187" s="107"/>
      <c r="S187" s="107"/>
      <c r="T187" s="108"/>
      <c r="U187" s="119"/>
      <c r="V187" s="110" t="str">
        <f t="shared" si="37"/>
        <v/>
      </c>
      <c r="W187" s="103"/>
      <c r="X187" s="112">
        <f t="shared" si="38"/>
        <v>0</v>
      </c>
      <c r="Y187" s="112">
        <f t="shared" si="39"/>
        <v>0</v>
      </c>
      <c r="Z187" s="113">
        <f t="shared" si="40"/>
        <v>0</v>
      </c>
      <c r="AA187" s="113">
        <v>0</v>
      </c>
      <c r="AB187" s="114">
        <v>0</v>
      </c>
      <c r="AC187" s="11">
        <f t="shared" si="41"/>
        <v>0</v>
      </c>
      <c r="AD187" s="115">
        <f t="shared" si="30"/>
        <v>18293.63</v>
      </c>
      <c r="AE187" s="115">
        <f t="shared" si="31"/>
        <v>0</v>
      </c>
      <c r="AF187" s="115">
        <f t="shared" si="32"/>
        <v>0</v>
      </c>
      <c r="AG187" s="11"/>
      <c r="AH187" s="115">
        <f t="shared" si="34"/>
        <v>0</v>
      </c>
      <c r="AI187" s="115">
        <f t="shared" si="35"/>
        <v>0</v>
      </c>
      <c r="AJ187" s="115">
        <f t="shared" si="36"/>
        <v>0</v>
      </c>
      <c r="AL187" s="11">
        <f t="shared" si="33"/>
        <v>18293.63</v>
      </c>
      <c r="AM187" s="144" t="s">
        <v>285</v>
      </c>
    </row>
    <row r="188" spans="1:39">
      <c r="A188" s="116"/>
      <c r="B188" s="116" t="s">
        <v>46</v>
      </c>
      <c r="C188" s="122"/>
      <c r="D188" s="144" t="s">
        <v>286</v>
      </c>
      <c r="E188" s="98"/>
      <c r="F188" s="99">
        <f>VLOOKUP(D188,'Feb14 Revenue'!D:V,19,FALSE)</f>
        <v>-140000</v>
      </c>
      <c r="G188" s="100"/>
      <c r="H188" s="100"/>
      <c r="I188" s="101"/>
      <c r="J188" s="102">
        <f t="shared" si="29"/>
        <v>-140000</v>
      </c>
      <c r="K188" s="103"/>
      <c r="L188" s="104"/>
      <c r="M188" s="105">
        <v>150000</v>
      </c>
      <c r="N188" s="103">
        <v>0</v>
      </c>
      <c r="O188" s="106"/>
      <c r="P188" s="103">
        <v>0</v>
      </c>
      <c r="Q188" s="107">
        <f t="shared" si="28"/>
        <v>150000</v>
      </c>
      <c r="R188" s="107"/>
      <c r="S188" s="107"/>
      <c r="T188" s="108"/>
      <c r="U188" s="119"/>
      <c r="V188" s="110" t="str">
        <f t="shared" si="37"/>
        <v/>
      </c>
      <c r="W188" s="103"/>
      <c r="X188" s="112">
        <f t="shared" si="38"/>
        <v>0</v>
      </c>
      <c r="Y188" s="112">
        <f t="shared" si="39"/>
        <v>150000</v>
      </c>
      <c r="Z188" s="113">
        <f t="shared" si="40"/>
        <v>0</v>
      </c>
      <c r="AA188" s="113">
        <v>0</v>
      </c>
      <c r="AB188" s="114">
        <v>0</v>
      </c>
      <c r="AC188" s="11">
        <f t="shared" si="41"/>
        <v>0</v>
      </c>
      <c r="AD188" s="115">
        <f t="shared" si="30"/>
        <v>0</v>
      </c>
      <c r="AE188" s="115">
        <f t="shared" si="31"/>
        <v>-140000</v>
      </c>
      <c r="AF188" s="115">
        <f t="shared" si="32"/>
        <v>0</v>
      </c>
      <c r="AG188" s="11"/>
      <c r="AH188" s="115">
        <f t="shared" si="34"/>
        <v>0</v>
      </c>
      <c r="AI188" s="115">
        <f t="shared" si="35"/>
        <v>150000</v>
      </c>
      <c r="AJ188" s="115">
        <f t="shared" si="36"/>
        <v>0</v>
      </c>
      <c r="AL188" s="11">
        <f t="shared" si="33"/>
        <v>10000</v>
      </c>
      <c r="AM188" s="144" t="s">
        <v>286</v>
      </c>
    </row>
    <row r="189" spans="1:39">
      <c r="A189" s="129"/>
      <c r="B189" s="129" t="s">
        <v>49</v>
      </c>
      <c r="C189" s="96"/>
      <c r="D189" s="120" t="s">
        <v>287</v>
      </c>
      <c r="E189" s="98"/>
      <c r="F189" s="99">
        <f>VLOOKUP(D189,'Feb14 Revenue'!D:V,19,FALSE)</f>
        <v>-8108.4499999999971</v>
      </c>
      <c r="G189" s="100"/>
      <c r="H189" s="100"/>
      <c r="I189" s="101"/>
      <c r="J189" s="102">
        <f t="shared" si="29"/>
        <v>-8108.4499999999971</v>
      </c>
      <c r="K189" s="103"/>
      <c r="L189" s="104"/>
      <c r="M189" s="105">
        <v>70000</v>
      </c>
      <c r="N189" s="103">
        <v>0</v>
      </c>
      <c r="O189" s="106"/>
      <c r="P189" s="103">
        <v>0</v>
      </c>
      <c r="Q189" s="107">
        <f t="shared" si="28"/>
        <v>70000</v>
      </c>
      <c r="R189" s="107"/>
      <c r="S189" s="107"/>
      <c r="T189" s="108"/>
      <c r="U189" s="119"/>
      <c r="V189" s="110" t="str">
        <f t="shared" si="37"/>
        <v/>
      </c>
      <c r="W189" s="103"/>
      <c r="X189" s="112">
        <f t="shared" si="38"/>
        <v>70000</v>
      </c>
      <c r="Y189" s="112">
        <f t="shared" si="39"/>
        <v>0</v>
      </c>
      <c r="Z189" s="113">
        <f t="shared" si="40"/>
        <v>0</v>
      </c>
      <c r="AA189" s="113">
        <v>0</v>
      </c>
      <c r="AB189" s="114">
        <v>0</v>
      </c>
      <c r="AC189" s="11">
        <f t="shared" si="41"/>
        <v>0</v>
      </c>
      <c r="AD189" s="115">
        <f t="shared" si="30"/>
        <v>-8108.4499999999971</v>
      </c>
      <c r="AE189" s="115">
        <f t="shared" si="31"/>
        <v>0</v>
      </c>
      <c r="AF189" s="115">
        <f t="shared" si="32"/>
        <v>0</v>
      </c>
      <c r="AG189" s="11"/>
      <c r="AH189" s="115">
        <f t="shared" si="34"/>
        <v>70000</v>
      </c>
      <c r="AI189" s="115">
        <f t="shared" si="35"/>
        <v>0</v>
      </c>
      <c r="AJ189" s="115">
        <f t="shared" si="36"/>
        <v>0</v>
      </c>
      <c r="AL189" s="11">
        <f t="shared" si="33"/>
        <v>61891.55</v>
      </c>
      <c r="AM189" s="120" t="s">
        <v>287</v>
      </c>
    </row>
    <row r="190" spans="1:39">
      <c r="A190" s="116" t="s">
        <v>60</v>
      </c>
      <c r="B190" s="116" t="s">
        <v>46</v>
      </c>
      <c r="C190" s="122"/>
      <c r="D190" s="120" t="s">
        <v>288</v>
      </c>
      <c r="E190" s="98"/>
      <c r="F190" s="99">
        <f>VLOOKUP(D190,'Feb14 Revenue'!D:V,19,FALSE)</f>
        <v>0</v>
      </c>
      <c r="G190" s="100"/>
      <c r="H190" s="100"/>
      <c r="I190" s="125">
        <v>9783</v>
      </c>
      <c r="J190" s="102">
        <f t="shared" si="29"/>
        <v>9783</v>
      </c>
      <c r="K190" s="103"/>
      <c r="L190" s="104"/>
      <c r="M190" s="105"/>
      <c r="N190" s="103">
        <v>0</v>
      </c>
      <c r="O190" s="106"/>
      <c r="P190" s="103">
        <v>0</v>
      </c>
      <c r="Q190" s="107">
        <f t="shared" si="28"/>
        <v>0</v>
      </c>
      <c r="R190" s="107"/>
      <c r="S190" s="107"/>
      <c r="T190" s="108"/>
      <c r="U190" s="119"/>
      <c r="V190" s="110" t="str">
        <f t="shared" si="37"/>
        <v/>
      </c>
      <c r="W190" s="103"/>
      <c r="X190" s="112">
        <f t="shared" si="38"/>
        <v>0</v>
      </c>
      <c r="Y190" s="112">
        <f t="shared" si="39"/>
        <v>0</v>
      </c>
      <c r="Z190" s="113">
        <f t="shared" si="40"/>
        <v>0</v>
      </c>
      <c r="AA190" s="113">
        <v>0</v>
      </c>
      <c r="AB190" s="114">
        <v>0</v>
      </c>
      <c r="AC190" s="11">
        <f t="shared" si="41"/>
        <v>0</v>
      </c>
      <c r="AD190" s="115">
        <f t="shared" si="30"/>
        <v>0</v>
      </c>
      <c r="AE190" s="115">
        <f t="shared" si="31"/>
        <v>9783</v>
      </c>
      <c r="AF190" s="115">
        <f t="shared" si="32"/>
        <v>0</v>
      </c>
      <c r="AG190" s="11"/>
      <c r="AH190" s="115">
        <f t="shared" si="34"/>
        <v>0</v>
      </c>
      <c r="AI190" s="115">
        <f t="shared" si="35"/>
        <v>0</v>
      </c>
      <c r="AJ190" s="115">
        <f t="shared" si="36"/>
        <v>0</v>
      </c>
      <c r="AL190" s="11">
        <f t="shared" si="33"/>
        <v>9783</v>
      </c>
      <c r="AM190" s="120" t="s">
        <v>288</v>
      </c>
    </row>
    <row r="191" spans="1:39">
      <c r="A191" s="116"/>
      <c r="B191" s="116" t="s">
        <v>49</v>
      </c>
      <c r="C191" s="122" t="s">
        <v>289</v>
      </c>
      <c r="D191" s="120" t="s">
        <v>290</v>
      </c>
      <c r="E191" s="98"/>
      <c r="F191" s="99">
        <f>VLOOKUP(D191,'Feb14 Revenue'!D:V,19,FALSE)</f>
        <v>91619.100000000093</v>
      </c>
      <c r="G191" s="100"/>
      <c r="H191" s="100"/>
      <c r="I191" s="101"/>
      <c r="J191" s="102">
        <f t="shared" si="29"/>
        <v>91619.100000000093</v>
      </c>
      <c r="K191" s="103"/>
      <c r="L191" s="104"/>
      <c r="M191" s="105">
        <v>3750000</v>
      </c>
      <c r="N191" s="103">
        <v>0</v>
      </c>
      <c r="O191" s="106"/>
      <c r="P191" s="103">
        <v>0</v>
      </c>
      <c r="Q191" s="107">
        <f t="shared" si="28"/>
        <v>3750000</v>
      </c>
      <c r="R191" s="107"/>
      <c r="S191" s="107"/>
      <c r="T191" s="108"/>
      <c r="U191" s="119"/>
      <c r="V191" s="110" t="str">
        <f t="shared" si="37"/>
        <v/>
      </c>
      <c r="W191" s="103"/>
      <c r="X191" s="112">
        <f t="shared" si="38"/>
        <v>3750000</v>
      </c>
      <c r="Y191" s="112">
        <f t="shared" si="39"/>
        <v>0</v>
      </c>
      <c r="Z191" s="113">
        <f t="shared" si="40"/>
        <v>0</v>
      </c>
      <c r="AA191" s="113">
        <v>0</v>
      </c>
      <c r="AB191" s="114">
        <v>0</v>
      </c>
      <c r="AC191" s="11">
        <f t="shared" si="41"/>
        <v>0</v>
      </c>
      <c r="AD191" s="115">
        <f t="shared" si="30"/>
        <v>91619.100000000093</v>
      </c>
      <c r="AE191" s="115">
        <f t="shared" si="31"/>
        <v>0</v>
      </c>
      <c r="AF191" s="115">
        <f t="shared" si="32"/>
        <v>0</v>
      </c>
      <c r="AG191" s="11"/>
      <c r="AH191" s="115">
        <f t="shared" si="34"/>
        <v>3750000</v>
      </c>
      <c r="AI191" s="115">
        <f t="shared" si="35"/>
        <v>0</v>
      </c>
      <c r="AJ191" s="115">
        <f t="shared" si="36"/>
        <v>0</v>
      </c>
      <c r="AL191" s="11">
        <f t="shared" si="33"/>
        <v>3841619.1</v>
      </c>
      <c r="AM191" s="120" t="s">
        <v>290</v>
      </c>
    </row>
    <row r="192" spans="1:39">
      <c r="A192" s="116"/>
      <c r="B192" s="116" t="s">
        <v>49</v>
      </c>
      <c r="C192" s="122" t="s">
        <v>289</v>
      </c>
      <c r="D192" s="120" t="s">
        <v>291</v>
      </c>
      <c r="E192" s="98"/>
      <c r="F192" s="99">
        <f>VLOOKUP(D192,'Feb14 Revenue'!D:V,19,FALSE)</f>
        <v>5069.0599999999977</v>
      </c>
      <c r="G192" s="100"/>
      <c r="H192" s="100"/>
      <c r="I192" s="101"/>
      <c r="J192" s="102">
        <f t="shared" si="29"/>
        <v>5069.0599999999977</v>
      </c>
      <c r="K192" s="103"/>
      <c r="L192" s="104"/>
      <c r="M192" s="105">
        <v>80000</v>
      </c>
      <c r="N192" s="103">
        <v>0</v>
      </c>
      <c r="O192" s="106"/>
      <c r="P192" s="103">
        <v>0</v>
      </c>
      <c r="Q192" s="107">
        <f t="shared" si="28"/>
        <v>80000</v>
      </c>
      <c r="R192" s="107"/>
      <c r="S192" s="107"/>
      <c r="T192" s="108"/>
      <c r="U192" s="119"/>
      <c r="V192" s="110" t="str">
        <f t="shared" si="37"/>
        <v/>
      </c>
      <c r="W192" s="103"/>
      <c r="X192" s="112">
        <f t="shared" si="38"/>
        <v>80000</v>
      </c>
      <c r="Y192" s="112">
        <f t="shared" si="39"/>
        <v>0</v>
      </c>
      <c r="Z192" s="113">
        <f t="shared" si="40"/>
        <v>0</v>
      </c>
      <c r="AA192" s="113">
        <v>0</v>
      </c>
      <c r="AB192" s="114">
        <v>0</v>
      </c>
      <c r="AC192" s="11">
        <f t="shared" si="41"/>
        <v>0</v>
      </c>
      <c r="AD192" s="115">
        <f t="shared" si="30"/>
        <v>5069.0599999999977</v>
      </c>
      <c r="AE192" s="115">
        <f t="shared" si="31"/>
        <v>0</v>
      </c>
      <c r="AF192" s="115">
        <f t="shared" si="32"/>
        <v>0</v>
      </c>
      <c r="AG192" s="11"/>
      <c r="AH192" s="115">
        <f t="shared" si="34"/>
        <v>80000</v>
      </c>
      <c r="AI192" s="115">
        <f t="shared" si="35"/>
        <v>0</v>
      </c>
      <c r="AJ192" s="115">
        <f t="shared" si="36"/>
        <v>0</v>
      </c>
      <c r="AL192" s="11">
        <f t="shared" si="33"/>
        <v>85069.06</v>
      </c>
      <c r="AM192" s="120" t="s">
        <v>292</v>
      </c>
    </row>
    <row r="193" spans="1:39">
      <c r="A193" s="129"/>
      <c r="B193" s="129" t="s">
        <v>49</v>
      </c>
      <c r="C193" s="96"/>
      <c r="D193" s="120" t="s">
        <v>293</v>
      </c>
      <c r="E193" s="98"/>
      <c r="F193" s="99">
        <f>VLOOKUP(D193,'Feb14 Revenue'!D:V,19,FALSE)</f>
        <v>0</v>
      </c>
      <c r="G193" s="100"/>
      <c r="H193" s="100"/>
      <c r="I193" s="101"/>
      <c r="J193" s="102">
        <f t="shared" si="29"/>
        <v>0</v>
      </c>
      <c r="K193" s="103"/>
      <c r="L193" s="104"/>
      <c r="M193" s="105"/>
      <c r="N193" s="103">
        <v>0</v>
      </c>
      <c r="O193" s="106"/>
      <c r="P193" s="103">
        <v>0</v>
      </c>
      <c r="Q193" s="107">
        <f t="shared" si="28"/>
        <v>0</v>
      </c>
      <c r="R193" s="107"/>
      <c r="S193" s="107"/>
      <c r="T193" s="108"/>
      <c r="U193" s="119"/>
      <c r="V193" s="110" t="str">
        <f t="shared" si="37"/>
        <v/>
      </c>
      <c r="W193" s="103"/>
      <c r="X193" s="112">
        <f t="shared" si="38"/>
        <v>0</v>
      </c>
      <c r="Y193" s="112">
        <f t="shared" si="39"/>
        <v>0</v>
      </c>
      <c r="Z193" s="113">
        <f t="shared" si="40"/>
        <v>0</v>
      </c>
      <c r="AA193" s="113">
        <v>0</v>
      </c>
      <c r="AB193" s="114">
        <v>0</v>
      </c>
      <c r="AC193" s="11">
        <f t="shared" si="41"/>
        <v>0</v>
      </c>
      <c r="AD193" s="115">
        <f t="shared" si="30"/>
        <v>0</v>
      </c>
      <c r="AE193" s="115">
        <f t="shared" si="31"/>
        <v>0</v>
      </c>
      <c r="AF193" s="115">
        <f t="shared" si="32"/>
        <v>0</v>
      </c>
      <c r="AG193" s="11"/>
      <c r="AH193" s="115">
        <f t="shared" si="34"/>
        <v>0</v>
      </c>
      <c r="AI193" s="115">
        <f t="shared" si="35"/>
        <v>0</v>
      </c>
      <c r="AJ193" s="115">
        <f t="shared" si="36"/>
        <v>0</v>
      </c>
      <c r="AL193" s="11">
        <f t="shared" si="33"/>
        <v>0</v>
      </c>
      <c r="AM193" s="120" t="s">
        <v>293</v>
      </c>
    </row>
    <row r="194" spans="1:39" hidden="1">
      <c r="A194" s="129"/>
      <c r="B194" s="129" t="s">
        <v>46</v>
      </c>
      <c r="C194" s="96"/>
      <c r="D194" s="120" t="s">
        <v>294</v>
      </c>
      <c r="E194" s="98"/>
      <c r="F194" s="99">
        <f>VLOOKUP(D194,'Feb14 Revenue'!D:V,19,FALSE)</f>
        <v>0</v>
      </c>
      <c r="G194" s="100"/>
      <c r="H194" s="100"/>
      <c r="I194" s="101"/>
      <c r="J194" s="102">
        <f t="shared" si="29"/>
        <v>0</v>
      </c>
      <c r="K194" s="103"/>
      <c r="L194" s="104"/>
      <c r="M194" s="105"/>
      <c r="N194" s="103">
        <v>0</v>
      </c>
      <c r="O194" s="106"/>
      <c r="P194" s="103">
        <v>0</v>
      </c>
      <c r="Q194" s="107">
        <f t="shared" si="28"/>
        <v>0</v>
      </c>
      <c r="R194" s="107"/>
      <c r="S194" s="107"/>
      <c r="T194" s="108"/>
      <c r="U194" s="119"/>
      <c r="V194" s="110" t="str">
        <f t="shared" si="37"/>
        <v/>
      </c>
      <c r="W194" s="103"/>
      <c r="X194" s="112">
        <f t="shared" si="38"/>
        <v>0</v>
      </c>
      <c r="Y194" s="112">
        <f t="shared" si="39"/>
        <v>0</v>
      </c>
      <c r="Z194" s="113">
        <f t="shared" si="40"/>
        <v>0</v>
      </c>
      <c r="AA194" s="113">
        <v>0</v>
      </c>
      <c r="AB194" s="114">
        <v>0</v>
      </c>
      <c r="AC194" s="11">
        <f t="shared" si="41"/>
        <v>0</v>
      </c>
      <c r="AD194" s="115">
        <f t="shared" si="30"/>
        <v>0</v>
      </c>
      <c r="AE194" s="115">
        <f t="shared" si="31"/>
        <v>0</v>
      </c>
      <c r="AF194" s="115">
        <f t="shared" si="32"/>
        <v>0</v>
      </c>
      <c r="AG194" s="11"/>
      <c r="AH194" s="115">
        <f t="shared" si="34"/>
        <v>0</v>
      </c>
      <c r="AI194" s="115">
        <f t="shared" si="35"/>
        <v>0</v>
      </c>
      <c r="AJ194" s="115">
        <f t="shared" si="36"/>
        <v>0</v>
      </c>
      <c r="AL194" s="11">
        <f t="shared" si="33"/>
        <v>0</v>
      </c>
      <c r="AM194" s="120" t="s">
        <v>294</v>
      </c>
    </row>
    <row r="195" spans="1:39">
      <c r="A195" s="129"/>
      <c r="B195" s="129" t="s">
        <v>46</v>
      </c>
      <c r="C195" s="96"/>
      <c r="D195" s="120" t="s">
        <v>295</v>
      </c>
      <c r="E195" s="98"/>
      <c r="F195" s="99">
        <f>VLOOKUP(D195,'Feb14 Revenue'!D:V,19,FALSE)</f>
        <v>0</v>
      </c>
      <c r="G195" s="100"/>
      <c r="H195" s="100"/>
      <c r="I195" s="101"/>
      <c r="J195" s="102">
        <f t="shared" si="29"/>
        <v>0</v>
      </c>
      <c r="K195" s="103"/>
      <c r="L195" s="104"/>
      <c r="M195" s="105"/>
      <c r="N195" s="103">
        <v>0</v>
      </c>
      <c r="O195" s="106"/>
      <c r="P195" s="103">
        <v>0</v>
      </c>
      <c r="Q195" s="107">
        <f t="shared" si="28"/>
        <v>0</v>
      </c>
      <c r="R195" s="107"/>
      <c r="S195" s="107"/>
      <c r="T195" s="108"/>
      <c r="U195" s="119"/>
      <c r="V195" s="110" t="str">
        <f t="shared" si="37"/>
        <v/>
      </c>
      <c r="W195" s="103"/>
      <c r="X195" s="112">
        <f t="shared" si="38"/>
        <v>0</v>
      </c>
      <c r="Y195" s="112">
        <f t="shared" si="39"/>
        <v>0</v>
      </c>
      <c r="Z195" s="113">
        <f t="shared" si="40"/>
        <v>0</v>
      </c>
      <c r="AA195" s="113">
        <v>0</v>
      </c>
      <c r="AB195" s="114">
        <v>0</v>
      </c>
      <c r="AC195" s="11">
        <f t="shared" si="41"/>
        <v>0</v>
      </c>
      <c r="AD195" s="115">
        <f t="shared" si="30"/>
        <v>0</v>
      </c>
      <c r="AE195" s="115">
        <f t="shared" si="31"/>
        <v>0</v>
      </c>
      <c r="AF195" s="115">
        <f t="shared" si="32"/>
        <v>0</v>
      </c>
      <c r="AG195" s="11"/>
      <c r="AH195" s="115">
        <f t="shared" si="34"/>
        <v>0</v>
      </c>
      <c r="AI195" s="115">
        <f t="shared" si="35"/>
        <v>0</v>
      </c>
      <c r="AJ195" s="115">
        <f t="shared" si="36"/>
        <v>0</v>
      </c>
      <c r="AL195" s="11">
        <f t="shared" si="33"/>
        <v>0</v>
      </c>
      <c r="AM195" s="120" t="s">
        <v>295</v>
      </c>
    </row>
    <row r="196" spans="1:39" hidden="1">
      <c r="A196" s="129"/>
      <c r="B196" s="129" t="s">
        <v>46</v>
      </c>
      <c r="C196" s="96"/>
      <c r="D196" s="120" t="s">
        <v>296</v>
      </c>
      <c r="E196" s="98"/>
      <c r="F196" s="99">
        <f>VLOOKUP(D196,'Feb14 Revenue'!D:V,19,FALSE)</f>
        <v>0</v>
      </c>
      <c r="G196" s="100"/>
      <c r="H196" s="100"/>
      <c r="I196" s="101"/>
      <c r="J196" s="102">
        <f t="shared" si="29"/>
        <v>0</v>
      </c>
      <c r="K196" s="103"/>
      <c r="L196" s="104"/>
      <c r="M196" s="105"/>
      <c r="N196" s="103">
        <v>0</v>
      </c>
      <c r="O196" s="106"/>
      <c r="P196" s="103">
        <v>0</v>
      </c>
      <c r="Q196" s="107">
        <f t="shared" si="28"/>
        <v>0</v>
      </c>
      <c r="R196" s="107"/>
      <c r="S196" s="107"/>
      <c r="T196" s="108"/>
      <c r="U196" s="119"/>
      <c r="V196" s="110" t="str">
        <f t="shared" si="37"/>
        <v/>
      </c>
      <c r="W196" s="103"/>
      <c r="X196" s="112">
        <f t="shared" si="38"/>
        <v>0</v>
      </c>
      <c r="Y196" s="112">
        <f t="shared" si="39"/>
        <v>0</v>
      </c>
      <c r="Z196" s="113">
        <f t="shared" si="40"/>
        <v>0</v>
      </c>
      <c r="AA196" s="113">
        <v>0</v>
      </c>
      <c r="AB196" s="114">
        <v>0</v>
      </c>
      <c r="AC196" s="11">
        <f t="shared" si="41"/>
        <v>0</v>
      </c>
      <c r="AD196" s="115">
        <f t="shared" si="30"/>
        <v>0</v>
      </c>
      <c r="AE196" s="115">
        <f t="shared" si="31"/>
        <v>0</v>
      </c>
      <c r="AF196" s="115">
        <f t="shared" si="32"/>
        <v>0</v>
      </c>
      <c r="AG196" s="11"/>
      <c r="AH196" s="115">
        <f t="shared" si="34"/>
        <v>0</v>
      </c>
      <c r="AI196" s="115">
        <f t="shared" si="35"/>
        <v>0</v>
      </c>
      <c r="AJ196" s="115">
        <f t="shared" si="36"/>
        <v>0</v>
      </c>
      <c r="AL196" s="11">
        <f t="shared" si="33"/>
        <v>0</v>
      </c>
      <c r="AM196" s="120" t="s">
        <v>296</v>
      </c>
    </row>
    <row r="197" spans="1:39">
      <c r="A197" s="129"/>
      <c r="B197" s="129" t="s">
        <v>49</v>
      </c>
      <c r="C197" s="96"/>
      <c r="D197" s="120" t="s">
        <v>297</v>
      </c>
      <c r="E197" s="98">
        <v>4817.8999999999996</v>
      </c>
      <c r="F197" s="99">
        <f>VLOOKUP(D197,'Feb14 Revenue'!D:V,19,FALSE)</f>
        <v>0</v>
      </c>
      <c r="G197" s="100"/>
      <c r="H197" s="100"/>
      <c r="I197" s="101"/>
      <c r="J197" s="102">
        <f t="shared" si="29"/>
        <v>4817.8999999999996</v>
      </c>
      <c r="K197" s="103"/>
      <c r="L197" s="104"/>
      <c r="M197" s="105"/>
      <c r="N197" s="103">
        <v>0</v>
      </c>
      <c r="O197" s="106"/>
      <c r="P197" s="103">
        <v>0</v>
      </c>
      <c r="Q197" s="107">
        <f t="shared" si="28"/>
        <v>0</v>
      </c>
      <c r="R197" s="107"/>
      <c r="S197" s="107"/>
      <c r="T197" s="108"/>
      <c r="U197" s="119"/>
      <c r="V197" s="110" t="str">
        <f t="shared" si="37"/>
        <v/>
      </c>
      <c r="W197" s="103"/>
      <c r="X197" s="112">
        <f t="shared" si="38"/>
        <v>0</v>
      </c>
      <c r="Y197" s="112">
        <f t="shared" si="39"/>
        <v>0</v>
      </c>
      <c r="Z197" s="113">
        <f t="shared" si="40"/>
        <v>0</v>
      </c>
      <c r="AA197" s="113">
        <v>0</v>
      </c>
      <c r="AB197" s="114">
        <v>0</v>
      </c>
      <c r="AC197" s="11">
        <f t="shared" si="41"/>
        <v>0</v>
      </c>
      <c r="AD197" s="115">
        <f t="shared" si="30"/>
        <v>4817.8999999999996</v>
      </c>
      <c r="AE197" s="115">
        <f t="shared" si="31"/>
        <v>0</v>
      </c>
      <c r="AF197" s="115">
        <f t="shared" si="32"/>
        <v>0</v>
      </c>
      <c r="AG197" s="11"/>
      <c r="AH197" s="115">
        <f t="shared" si="34"/>
        <v>0</v>
      </c>
      <c r="AI197" s="115">
        <f t="shared" si="35"/>
        <v>0</v>
      </c>
      <c r="AJ197" s="115">
        <f t="shared" si="36"/>
        <v>0</v>
      </c>
      <c r="AL197" s="11">
        <f t="shared" si="33"/>
        <v>4817.8999999999996</v>
      </c>
      <c r="AM197" s="120" t="s">
        <v>297</v>
      </c>
    </row>
    <row r="198" spans="1:39">
      <c r="A198" s="129"/>
      <c r="B198" s="129" t="s">
        <v>46</v>
      </c>
      <c r="C198" s="96" t="s">
        <v>298</v>
      </c>
      <c r="D198" s="120" t="s">
        <v>299</v>
      </c>
      <c r="E198" s="98"/>
      <c r="F198" s="99">
        <f>VLOOKUP(D198,'Feb14 Revenue'!D:V,19,FALSE)</f>
        <v>0</v>
      </c>
      <c r="G198" s="100"/>
      <c r="H198" s="100"/>
      <c r="I198" s="101"/>
      <c r="J198" s="102">
        <f t="shared" si="29"/>
        <v>0</v>
      </c>
      <c r="K198" s="103"/>
      <c r="L198" s="104"/>
      <c r="M198" s="105"/>
      <c r="N198" s="103">
        <v>0</v>
      </c>
      <c r="O198" s="106"/>
      <c r="P198" s="103">
        <v>0</v>
      </c>
      <c r="Q198" s="107">
        <f t="shared" si="28"/>
        <v>0</v>
      </c>
      <c r="R198" s="107"/>
      <c r="S198" s="107"/>
      <c r="T198" s="108"/>
      <c r="U198" s="119"/>
      <c r="V198" s="110" t="str">
        <f t="shared" si="37"/>
        <v/>
      </c>
      <c r="W198" s="103"/>
      <c r="X198" s="112">
        <f t="shared" si="38"/>
        <v>0</v>
      </c>
      <c r="Y198" s="112">
        <f t="shared" si="39"/>
        <v>0</v>
      </c>
      <c r="Z198" s="113">
        <f t="shared" si="40"/>
        <v>0</v>
      </c>
      <c r="AA198" s="113">
        <v>0</v>
      </c>
      <c r="AB198" s="114">
        <v>0</v>
      </c>
      <c r="AC198" s="11">
        <f t="shared" si="41"/>
        <v>0</v>
      </c>
      <c r="AD198" s="115">
        <f t="shared" si="30"/>
        <v>0</v>
      </c>
      <c r="AE198" s="115">
        <f t="shared" si="31"/>
        <v>0</v>
      </c>
      <c r="AF198" s="115">
        <f t="shared" si="32"/>
        <v>0</v>
      </c>
      <c r="AG198" s="11"/>
      <c r="AH198" s="115">
        <f t="shared" si="34"/>
        <v>0</v>
      </c>
      <c r="AI198" s="115">
        <f t="shared" si="35"/>
        <v>0</v>
      </c>
      <c r="AJ198" s="115">
        <f t="shared" si="36"/>
        <v>0</v>
      </c>
      <c r="AL198" s="11">
        <f t="shared" si="33"/>
        <v>0</v>
      </c>
      <c r="AM198" s="120" t="s">
        <v>299</v>
      </c>
    </row>
    <row r="199" spans="1:39" hidden="1">
      <c r="A199" s="116"/>
      <c r="B199" s="116" t="s">
        <v>49</v>
      </c>
      <c r="C199" s="122" t="s">
        <v>300</v>
      </c>
      <c r="D199" s="120" t="s">
        <v>301</v>
      </c>
      <c r="E199" s="98"/>
      <c r="F199" s="99">
        <f>VLOOKUP(D199,'Feb14 Revenue'!D:V,19,FALSE)</f>
        <v>0</v>
      </c>
      <c r="G199" s="100"/>
      <c r="H199" s="100"/>
      <c r="I199" s="101"/>
      <c r="J199" s="102">
        <f t="shared" si="29"/>
        <v>0</v>
      </c>
      <c r="K199" s="103"/>
      <c r="L199" s="104"/>
      <c r="M199" s="105"/>
      <c r="N199" s="103">
        <v>0</v>
      </c>
      <c r="O199" s="106"/>
      <c r="P199" s="103">
        <v>0</v>
      </c>
      <c r="Q199" s="107">
        <f t="shared" si="28"/>
        <v>0</v>
      </c>
      <c r="R199" s="107"/>
      <c r="S199" s="107"/>
      <c r="T199" s="108"/>
      <c r="U199" s="119"/>
      <c r="V199" s="110" t="str">
        <f t="shared" si="37"/>
        <v/>
      </c>
      <c r="W199" s="103"/>
      <c r="X199" s="112">
        <f t="shared" si="38"/>
        <v>0</v>
      </c>
      <c r="Y199" s="112">
        <f t="shared" si="39"/>
        <v>0</v>
      </c>
      <c r="Z199" s="113">
        <f t="shared" si="40"/>
        <v>0</v>
      </c>
      <c r="AA199" s="113">
        <v>0</v>
      </c>
      <c r="AB199" s="114">
        <v>0</v>
      </c>
      <c r="AC199" s="11">
        <f t="shared" si="41"/>
        <v>0</v>
      </c>
      <c r="AD199" s="115">
        <f t="shared" si="30"/>
        <v>0</v>
      </c>
      <c r="AE199" s="115">
        <f t="shared" si="31"/>
        <v>0</v>
      </c>
      <c r="AF199" s="115">
        <f t="shared" si="32"/>
        <v>0</v>
      </c>
      <c r="AG199" s="11"/>
      <c r="AH199" s="115">
        <f t="shared" si="34"/>
        <v>0</v>
      </c>
      <c r="AI199" s="115">
        <f t="shared" si="35"/>
        <v>0</v>
      </c>
      <c r="AJ199" s="115">
        <f t="shared" si="36"/>
        <v>0</v>
      </c>
      <c r="AL199" s="11">
        <f t="shared" si="33"/>
        <v>0</v>
      </c>
      <c r="AM199" s="120" t="s">
        <v>301</v>
      </c>
    </row>
    <row r="200" spans="1:39">
      <c r="A200" s="116"/>
      <c r="B200" s="116" t="s">
        <v>49</v>
      </c>
      <c r="C200" s="122"/>
      <c r="D200" s="120" t="s">
        <v>302</v>
      </c>
      <c r="E200" s="98"/>
      <c r="F200" s="99">
        <f>VLOOKUP(D200,'Feb14 Revenue'!D:V,19,FALSE)</f>
        <v>341.91</v>
      </c>
      <c r="G200" s="100"/>
      <c r="H200" s="100"/>
      <c r="I200" s="101"/>
      <c r="J200" s="102">
        <f t="shared" si="29"/>
        <v>341.91</v>
      </c>
      <c r="K200" s="103"/>
      <c r="L200" s="104"/>
      <c r="M200" s="105"/>
      <c r="N200" s="103">
        <v>0</v>
      </c>
      <c r="O200" s="106"/>
      <c r="P200" s="103">
        <v>0</v>
      </c>
      <c r="Q200" s="107">
        <f t="shared" si="28"/>
        <v>0</v>
      </c>
      <c r="R200" s="107"/>
      <c r="S200" s="107"/>
      <c r="T200" s="108"/>
      <c r="U200" s="119"/>
      <c r="V200" s="110" t="str">
        <f t="shared" si="37"/>
        <v/>
      </c>
      <c r="W200" s="103"/>
      <c r="X200" s="112">
        <f t="shared" si="38"/>
        <v>0</v>
      </c>
      <c r="Y200" s="112">
        <f t="shared" si="39"/>
        <v>0</v>
      </c>
      <c r="Z200" s="113">
        <f t="shared" si="40"/>
        <v>0</v>
      </c>
      <c r="AA200" s="113">
        <v>0</v>
      </c>
      <c r="AB200" s="114">
        <v>0</v>
      </c>
      <c r="AC200" s="11">
        <f t="shared" si="41"/>
        <v>0</v>
      </c>
      <c r="AD200" s="115">
        <f t="shared" si="30"/>
        <v>341.91</v>
      </c>
      <c r="AE200" s="115">
        <f t="shared" si="31"/>
        <v>0</v>
      </c>
      <c r="AF200" s="115">
        <f t="shared" si="32"/>
        <v>0</v>
      </c>
      <c r="AG200" s="11"/>
      <c r="AH200" s="115">
        <f t="shared" si="34"/>
        <v>0</v>
      </c>
      <c r="AI200" s="115">
        <f t="shared" si="35"/>
        <v>0</v>
      </c>
      <c r="AJ200" s="115">
        <f t="shared" si="36"/>
        <v>0</v>
      </c>
      <c r="AL200" s="11">
        <f t="shared" si="33"/>
        <v>341.91</v>
      </c>
      <c r="AM200" s="120" t="s">
        <v>302</v>
      </c>
    </row>
    <row r="201" spans="1:39">
      <c r="A201" s="129"/>
      <c r="B201" s="129" t="s">
        <v>49</v>
      </c>
      <c r="C201" s="96"/>
      <c r="D201" s="120" t="s">
        <v>303</v>
      </c>
      <c r="E201" s="98">
        <f>296234.01*0.501</f>
        <v>148413.23901000002</v>
      </c>
      <c r="F201" s="99">
        <f>VLOOKUP(D201,'Feb14 Revenue'!D:V,19,FALSE)</f>
        <v>0</v>
      </c>
      <c r="G201" s="100"/>
      <c r="H201" s="100"/>
      <c r="I201" s="101"/>
      <c r="J201" s="102">
        <f t="shared" si="29"/>
        <v>148413.23901000002</v>
      </c>
      <c r="K201" s="103"/>
      <c r="L201" s="104"/>
      <c r="M201" s="105">
        <v>70000</v>
      </c>
      <c r="N201" s="103">
        <v>0</v>
      </c>
      <c r="O201" s="106"/>
      <c r="P201" s="103">
        <v>0</v>
      </c>
      <c r="Q201" s="107">
        <f t="shared" si="28"/>
        <v>70000</v>
      </c>
      <c r="R201" s="107"/>
      <c r="S201" s="107"/>
      <c r="T201" s="108"/>
      <c r="U201" s="119"/>
      <c r="V201" s="110" t="str">
        <f t="shared" si="37"/>
        <v/>
      </c>
      <c r="W201" s="103"/>
      <c r="X201" s="112">
        <f t="shared" si="38"/>
        <v>70000</v>
      </c>
      <c r="Y201" s="112">
        <f t="shared" si="39"/>
        <v>0</v>
      </c>
      <c r="Z201" s="113">
        <f t="shared" si="40"/>
        <v>0</v>
      </c>
      <c r="AA201" s="113">
        <v>0</v>
      </c>
      <c r="AB201" s="114">
        <v>0</v>
      </c>
      <c r="AC201" s="11">
        <f t="shared" si="41"/>
        <v>0</v>
      </c>
      <c r="AD201" s="115">
        <f t="shared" si="30"/>
        <v>148413.23901000002</v>
      </c>
      <c r="AE201" s="115">
        <f t="shared" si="31"/>
        <v>0</v>
      </c>
      <c r="AF201" s="115">
        <f t="shared" si="32"/>
        <v>0</v>
      </c>
      <c r="AG201" s="11"/>
      <c r="AH201" s="115">
        <f t="shared" si="34"/>
        <v>70000</v>
      </c>
      <c r="AI201" s="115">
        <f t="shared" si="35"/>
        <v>0</v>
      </c>
      <c r="AJ201" s="115">
        <f t="shared" si="36"/>
        <v>0</v>
      </c>
      <c r="AL201" s="11">
        <f t="shared" si="33"/>
        <v>218413.23901000002</v>
      </c>
      <c r="AM201" s="120" t="s">
        <v>281</v>
      </c>
    </row>
    <row r="202" spans="1:39">
      <c r="A202" s="116"/>
      <c r="B202" s="116" t="s">
        <v>49</v>
      </c>
      <c r="C202" s="126" t="s">
        <v>304</v>
      </c>
      <c r="D202" s="120" t="s">
        <v>305</v>
      </c>
      <c r="E202" s="98"/>
      <c r="F202" s="99">
        <f>VLOOKUP(D202,'Feb14 Revenue'!D:V,19,FALSE)</f>
        <v>0</v>
      </c>
      <c r="G202" s="100"/>
      <c r="H202" s="100"/>
      <c r="I202" s="101"/>
      <c r="J202" s="102">
        <f t="shared" si="29"/>
        <v>0</v>
      </c>
      <c r="K202" s="103"/>
      <c r="L202" s="104"/>
      <c r="M202" s="105"/>
      <c r="N202" s="103">
        <v>0</v>
      </c>
      <c r="O202" s="106"/>
      <c r="P202" s="103">
        <v>0</v>
      </c>
      <c r="Q202" s="107">
        <f t="shared" si="28"/>
        <v>0</v>
      </c>
      <c r="R202" s="107"/>
      <c r="S202" s="107"/>
      <c r="T202" s="108"/>
      <c r="U202" s="119"/>
      <c r="V202" s="110" t="str">
        <f t="shared" si="37"/>
        <v/>
      </c>
      <c r="W202" s="103"/>
      <c r="X202" s="112">
        <f t="shared" si="38"/>
        <v>0</v>
      </c>
      <c r="Y202" s="112">
        <f t="shared" si="39"/>
        <v>0</v>
      </c>
      <c r="Z202" s="113">
        <f t="shared" si="40"/>
        <v>0</v>
      </c>
      <c r="AA202" s="113">
        <v>0</v>
      </c>
      <c r="AB202" s="114">
        <v>0</v>
      </c>
      <c r="AC202" s="11">
        <f t="shared" si="41"/>
        <v>0</v>
      </c>
      <c r="AD202" s="115">
        <f t="shared" si="30"/>
        <v>0</v>
      </c>
      <c r="AE202" s="115">
        <f t="shared" si="31"/>
        <v>0</v>
      </c>
      <c r="AF202" s="115">
        <f t="shared" si="32"/>
        <v>0</v>
      </c>
      <c r="AG202" s="11"/>
      <c r="AH202" s="115">
        <f t="shared" si="34"/>
        <v>0</v>
      </c>
      <c r="AI202" s="115">
        <f t="shared" si="35"/>
        <v>0</v>
      </c>
      <c r="AJ202" s="115">
        <f t="shared" si="36"/>
        <v>0</v>
      </c>
      <c r="AL202" s="11">
        <f t="shared" si="33"/>
        <v>0</v>
      </c>
      <c r="AM202" s="120" t="s">
        <v>305</v>
      </c>
    </row>
    <row r="203" spans="1:39">
      <c r="A203" s="129"/>
      <c r="B203" s="129" t="s">
        <v>49</v>
      </c>
      <c r="C203" s="96"/>
      <c r="D203" s="144" t="s">
        <v>306</v>
      </c>
      <c r="E203" s="98"/>
      <c r="F203" s="99">
        <f>VLOOKUP(D203,'Feb14 Revenue'!D:V,19,FALSE)</f>
        <v>0</v>
      </c>
      <c r="G203" s="100"/>
      <c r="H203" s="100"/>
      <c r="I203" s="101"/>
      <c r="J203" s="102">
        <f t="shared" si="29"/>
        <v>0</v>
      </c>
      <c r="K203" s="103"/>
      <c r="L203" s="104"/>
      <c r="M203" s="105"/>
      <c r="N203" s="103">
        <v>0</v>
      </c>
      <c r="O203" s="106"/>
      <c r="P203" s="103">
        <v>0</v>
      </c>
      <c r="Q203" s="107">
        <f t="shared" si="28"/>
        <v>0</v>
      </c>
      <c r="R203" s="107"/>
      <c r="S203" s="107"/>
      <c r="T203" s="108"/>
      <c r="U203" s="119"/>
      <c r="V203" s="110" t="str">
        <f t="shared" si="37"/>
        <v/>
      </c>
      <c r="W203" s="103"/>
      <c r="X203" s="112">
        <f t="shared" si="38"/>
        <v>0</v>
      </c>
      <c r="Y203" s="112">
        <f t="shared" si="39"/>
        <v>0</v>
      </c>
      <c r="Z203" s="113">
        <f t="shared" si="40"/>
        <v>0</v>
      </c>
      <c r="AA203" s="113">
        <v>0</v>
      </c>
      <c r="AB203" s="114">
        <v>0</v>
      </c>
      <c r="AC203" s="11">
        <f t="shared" si="41"/>
        <v>0</v>
      </c>
      <c r="AD203" s="115">
        <f t="shared" si="30"/>
        <v>0</v>
      </c>
      <c r="AE203" s="115">
        <f t="shared" si="31"/>
        <v>0</v>
      </c>
      <c r="AF203" s="115">
        <f t="shared" si="32"/>
        <v>0</v>
      </c>
      <c r="AG203" s="11"/>
      <c r="AH203" s="115">
        <f t="shared" si="34"/>
        <v>0</v>
      </c>
      <c r="AI203" s="115">
        <f t="shared" si="35"/>
        <v>0</v>
      </c>
      <c r="AJ203" s="115">
        <f t="shared" si="36"/>
        <v>0</v>
      </c>
      <c r="AL203" s="11">
        <f t="shared" si="33"/>
        <v>0</v>
      </c>
      <c r="AM203" s="144" t="s">
        <v>285</v>
      </c>
    </row>
    <row r="204" spans="1:39">
      <c r="A204" s="116"/>
      <c r="B204" s="116" t="s">
        <v>46</v>
      </c>
      <c r="C204" s="122" t="s">
        <v>307</v>
      </c>
      <c r="D204" s="120" t="s">
        <v>308</v>
      </c>
      <c r="E204" s="98"/>
      <c r="F204" s="99">
        <f>VLOOKUP(D204,'Feb14 Revenue'!D:V,19,FALSE)</f>
        <v>0</v>
      </c>
      <c r="G204" s="100"/>
      <c r="H204" s="100"/>
      <c r="I204" s="125">
        <v>10929.67</v>
      </c>
      <c r="J204" s="102">
        <f t="shared" si="29"/>
        <v>10929.67</v>
      </c>
      <c r="K204" s="103"/>
      <c r="L204" s="104"/>
      <c r="M204" s="105"/>
      <c r="N204" s="103">
        <v>0</v>
      </c>
      <c r="O204" s="106"/>
      <c r="P204" s="103">
        <v>0</v>
      </c>
      <c r="Q204" s="107">
        <f t="shared" si="28"/>
        <v>0</v>
      </c>
      <c r="R204" s="107"/>
      <c r="S204" s="107"/>
      <c r="T204" s="108"/>
      <c r="U204" s="119"/>
      <c r="V204" s="110" t="str">
        <f t="shared" si="37"/>
        <v/>
      </c>
      <c r="W204" s="103"/>
      <c r="X204" s="112">
        <f t="shared" si="38"/>
        <v>0</v>
      </c>
      <c r="Y204" s="112">
        <f t="shared" si="39"/>
        <v>0</v>
      </c>
      <c r="Z204" s="113">
        <f t="shared" si="40"/>
        <v>0</v>
      </c>
      <c r="AA204" s="113">
        <v>0</v>
      </c>
      <c r="AB204" s="114">
        <v>0</v>
      </c>
      <c r="AC204" s="11">
        <f t="shared" si="41"/>
        <v>0</v>
      </c>
      <c r="AD204" s="115">
        <f t="shared" si="30"/>
        <v>0</v>
      </c>
      <c r="AE204" s="115">
        <f t="shared" si="31"/>
        <v>10929.67</v>
      </c>
      <c r="AF204" s="115">
        <f t="shared" si="32"/>
        <v>0</v>
      </c>
      <c r="AG204" s="11"/>
      <c r="AH204" s="115">
        <f t="shared" si="34"/>
        <v>0</v>
      </c>
      <c r="AI204" s="115">
        <f t="shared" si="35"/>
        <v>0</v>
      </c>
      <c r="AJ204" s="115">
        <f t="shared" si="36"/>
        <v>0</v>
      </c>
      <c r="AL204" s="11">
        <f t="shared" si="33"/>
        <v>10929.67</v>
      </c>
      <c r="AM204" s="120" t="s">
        <v>308</v>
      </c>
    </row>
    <row r="205" spans="1:39">
      <c r="A205" s="116"/>
      <c r="B205" s="116" t="s">
        <v>46</v>
      </c>
      <c r="C205" s="122" t="s">
        <v>307</v>
      </c>
      <c r="D205" s="120" t="s">
        <v>309</v>
      </c>
      <c r="E205" s="98"/>
      <c r="F205" s="99">
        <f>VLOOKUP(D205,'Feb14 Revenue'!D:V,19,FALSE)</f>
        <v>0</v>
      </c>
      <c r="G205" s="100"/>
      <c r="H205" s="100"/>
      <c r="I205" s="125">
        <v>8545.5400000000009</v>
      </c>
      <c r="J205" s="102">
        <f t="shared" si="29"/>
        <v>8545.5400000000009</v>
      </c>
      <c r="K205" s="103"/>
      <c r="L205" s="104"/>
      <c r="M205" s="105"/>
      <c r="N205" s="103">
        <v>0</v>
      </c>
      <c r="O205" s="106"/>
      <c r="P205" s="103">
        <v>0</v>
      </c>
      <c r="Q205" s="107">
        <f t="shared" si="28"/>
        <v>0</v>
      </c>
      <c r="R205" s="107"/>
      <c r="S205" s="107"/>
      <c r="T205" s="108"/>
      <c r="U205" s="119"/>
      <c r="V205" s="110" t="str">
        <f t="shared" si="37"/>
        <v/>
      </c>
      <c r="W205" s="103"/>
      <c r="X205" s="112">
        <f t="shared" si="38"/>
        <v>0</v>
      </c>
      <c r="Y205" s="112">
        <f t="shared" si="39"/>
        <v>0</v>
      </c>
      <c r="Z205" s="113">
        <f t="shared" si="40"/>
        <v>0</v>
      </c>
      <c r="AA205" s="113">
        <v>0</v>
      </c>
      <c r="AB205" s="114">
        <v>0</v>
      </c>
      <c r="AC205" s="11">
        <f t="shared" si="41"/>
        <v>0</v>
      </c>
      <c r="AD205" s="115">
        <f t="shared" si="30"/>
        <v>0</v>
      </c>
      <c r="AE205" s="115">
        <f t="shared" si="31"/>
        <v>8545.5400000000009</v>
      </c>
      <c r="AF205" s="115">
        <f t="shared" si="32"/>
        <v>0</v>
      </c>
      <c r="AG205" s="11"/>
      <c r="AH205" s="115">
        <f t="shared" si="34"/>
        <v>0</v>
      </c>
      <c r="AI205" s="115">
        <f t="shared" si="35"/>
        <v>0</v>
      </c>
      <c r="AJ205" s="115">
        <f t="shared" si="36"/>
        <v>0</v>
      </c>
      <c r="AL205" s="11">
        <f t="shared" si="33"/>
        <v>8545.5400000000009</v>
      </c>
      <c r="AM205" s="120" t="s">
        <v>309</v>
      </c>
    </row>
    <row r="206" spans="1:39" hidden="1">
      <c r="A206" s="129"/>
      <c r="B206" s="129" t="s">
        <v>46</v>
      </c>
      <c r="C206" s="122" t="s">
        <v>307</v>
      </c>
      <c r="D206" s="120" t="s">
        <v>310</v>
      </c>
      <c r="E206" s="98"/>
      <c r="F206" s="99">
        <f>VLOOKUP(D206,'Feb14 Revenue'!D:V,19,FALSE)</f>
        <v>0</v>
      </c>
      <c r="G206" s="100"/>
      <c r="H206" s="100"/>
      <c r="I206" s="125"/>
      <c r="J206" s="102">
        <f t="shared" si="29"/>
        <v>0</v>
      </c>
      <c r="K206" s="103"/>
      <c r="L206" s="104"/>
      <c r="M206" s="105"/>
      <c r="N206" s="103">
        <v>0</v>
      </c>
      <c r="O206" s="106"/>
      <c r="P206" s="103">
        <v>0</v>
      </c>
      <c r="Q206" s="107">
        <f t="shared" si="28"/>
        <v>0</v>
      </c>
      <c r="R206" s="107"/>
      <c r="S206" s="107"/>
      <c r="T206" s="108"/>
      <c r="U206" s="119"/>
      <c r="V206" s="110" t="str">
        <f t="shared" si="37"/>
        <v/>
      </c>
      <c r="W206" s="103"/>
      <c r="X206" s="112">
        <f t="shared" si="38"/>
        <v>0</v>
      </c>
      <c r="Y206" s="112">
        <f t="shared" si="39"/>
        <v>0</v>
      </c>
      <c r="Z206" s="113">
        <f t="shared" si="40"/>
        <v>0</v>
      </c>
      <c r="AA206" s="113">
        <v>0</v>
      </c>
      <c r="AB206" s="114">
        <v>0</v>
      </c>
      <c r="AC206" s="11">
        <f t="shared" si="41"/>
        <v>0</v>
      </c>
      <c r="AD206" s="115">
        <f t="shared" si="30"/>
        <v>0</v>
      </c>
      <c r="AE206" s="115">
        <f t="shared" si="31"/>
        <v>0</v>
      </c>
      <c r="AF206" s="115">
        <f t="shared" si="32"/>
        <v>0</v>
      </c>
      <c r="AG206" s="11"/>
      <c r="AH206" s="115">
        <f t="shared" si="34"/>
        <v>0</v>
      </c>
      <c r="AI206" s="115">
        <f t="shared" si="35"/>
        <v>0</v>
      </c>
      <c r="AJ206" s="115">
        <f t="shared" si="36"/>
        <v>0</v>
      </c>
      <c r="AL206" s="11">
        <f t="shared" si="33"/>
        <v>0</v>
      </c>
      <c r="AM206" s="120" t="s">
        <v>310</v>
      </c>
    </row>
    <row r="207" spans="1:39" hidden="1">
      <c r="A207" s="129"/>
      <c r="B207" s="129" t="s">
        <v>46</v>
      </c>
      <c r="C207" s="122" t="s">
        <v>307</v>
      </c>
      <c r="D207" s="120" t="s">
        <v>311</v>
      </c>
      <c r="E207" s="98"/>
      <c r="F207" s="99">
        <f>VLOOKUP(D207,'Feb14 Revenue'!D:V,19,FALSE)</f>
        <v>0</v>
      </c>
      <c r="G207" s="100"/>
      <c r="H207" s="100"/>
      <c r="I207" s="125"/>
      <c r="J207" s="102">
        <f t="shared" si="29"/>
        <v>0</v>
      </c>
      <c r="K207" s="103"/>
      <c r="L207" s="104"/>
      <c r="M207" s="105"/>
      <c r="N207" s="103">
        <v>0</v>
      </c>
      <c r="O207" s="106"/>
      <c r="P207" s="103">
        <v>0</v>
      </c>
      <c r="Q207" s="107">
        <f t="shared" si="28"/>
        <v>0</v>
      </c>
      <c r="R207" s="107"/>
      <c r="S207" s="107"/>
      <c r="T207" s="108"/>
      <c r="U207" s="119"/>
      <c r="V207" s="110" t="str">
        <f t="shared" si="37"/>
        <v/>
      </c>
      <c r="W207" s="103"/>
      <c r="X207" s="112">
        <f t="shared" si="38"/>
        <v>0</v>
      </c>
      <c r="Y207" s="112">
        <f t="shared" si="39"/>
        <v>0</v>
      </c>
      <c r="Z207" s="113">
        <f t="shared" si="40"/>
        <v>0</v>
      </c>
      <c r="AA207" s="113">
        <v>0</v>
      </c>
      <c r="AB207" s="114">
        <v>0</v>
      </c>
      <c r="AC207" s="11">
        <f t="shared" si="41"/>
        <v>0</v>
      </c>
      <c r="AD207" s="115">
        <f t="shared" si="30"/>
        <v>0</v>
      </c>
      <c r="AE207" s="115">
        <f t="shared" si="31"/>
        <v>0</v>
      </c>
      <c r="AF207" s="115">
        <f t="shared" si="32"/>
        <v>0</v>
      </c>
      <c r="AG207" s="11"/>
      <c r="AH207" s="115">
        <f t="shared" si="34"/>
        <v>0</v>
      </c>
      <c r="AI207" s="115">
        <f t="shared" si="35"/>
        <v>0</v>
      </c>
      <c r="AJ207" s="115">
        <f t="shared" si="36"/>
        <v>0</v>
      </c>
      <c r="AL207" s="11">
        <f t="shared" si="33"/>
        <v>0</v>
      </c>
      <c r="AM207" s="120" t="s">
        <v>311</v>
      </c>
    </row>
    <row r="208" spans="1:39">
      <c r="A208" s="129"/>
      <c r="B208" s="129" t="s">
        <v>46</v>
      </c>
      <c r="C208" s="96"/>
      <c r="D208" s="120" t="s">
        <v>312</v>
      </c>
      <c r="E208" s="98"/>
      <c r="F208" s="99">
        <f>VLOOKUP(D208,'Feb14 Revenue'!D:V,19,FALSE)</f>
        <v>0</v>
      </c>
      <c r="G208" s="100"/>
      <c r="H208" s="100"/>
      <c r="I208" s="125">
        <v>2951.46</v>
      </c>
      <c r="J208" s="102">
        <f t="shared" si="29"/>
        <v>2951.46</v>
      </c>
      <c r="K208" s="103"/>
      <c r="L208" s="104"/>
      <c r="M208" s="105"/>
      <c r="N208" s="103">
        <v>0</v>
      </c>
      <c r="O208" s="106"/>
      <c r="P208" s="103">
        <v>0</v>
      </c>
      <c r="Q208" s="107">
        <f t="shared" si="28"/>
        <v>0</v>
      </c>
      <c r="R208" s="107"/>
      <c r="S208" s="107"/>
      <c r="T208" s="108"/>
      <c r="U208" s="119"/>
      <c r="V208" s="110" t="str">
        <f t="shared" si="37"/>
        <v/>
      </c>
      <c r="W208" s="133"/>
      <c r="X208" s="112">
        <f t="shared" si="38"/>
        <v>0</v>
      </c>
      <c r="Y208" s="112">
        <f t="shared" si="39"/>
        <v>0</v>
      </c>
      <c r="Z208" s="113">
        <f t="shared" si="40"/>
        <v>0</v>
      </c>
      <c r="AA208" s="113">
        <v>0</v>
      </c>
      <c r="AB208" s="114">
        <v>0</v>
      </c>
      <c r="AC208" s="11">
        <f t="shared" si="41"/>
        <v>0</v>
      </c>
      <c r="AD208" s="115">
        <f t="shared" si="30"/>
        <v>0</v>
      </c>
      <c r="AE208" s="115">
        <f t="shared" si="31"/>
        <v>2951.46</v>
      </c>
      <c r="AF208" s="115">
        <f t="shared" si="32"/>
        <v>0</v>
      </c>
      <c r="AG208" s="11"/>
      <c r="AH208" s="115">
        <f t="shared" si="34"/>
        <v>0</v>
      </c>
      <c r="AI208" s="115">
        <f t="shared" si="35"/>
        <v>0</v>
      </c>
      <c r="AJ208" s="115">
        <f t="shared" si="36"/>
        <v>0</v>
      </c>
      <c r="AL208" s="11">
        <f t="shared" si="33"/>
        <v>2951.46</v>
      </c>
      <c r="AM208" s="120" t="s">
        <v>312</v>
      </c>
    </row>
    <row r="209" spans="1:39">
      <c r="A209" s="129"/>
      <c r="B209" s="129" t="s">
        <v>46</v>
      </c>
      <c r="C209" s="96"/>
      <c r="D209" s="148" t="s">
        <v>313</v>
      </c>
      <c r="E209" s="98"/>
      <c r="F209" s="99">
        <f>VLOOKUP(D209,'Feb14 Revenue'!D:V,19,FALSE)</f>
        <v>0</v>
      </c>
      <c r="G209" s="100"/>
      <c r="H209" s="100"/>
      <c r="I209" s="101"/>
      <c r="J209" s="102">
        <f t="shared" si="29"/>
        <v>0</v>
      </c>
      <c r="K209" s="103"/>
      <c r="L209" s="104"/>
      <c r="M209" s="105"/>
      <c r="N209" s="103">
        <v>0</v>
      </c>
      <c r="O209" s="106"/>
      <c r="P209" s="103">
        <v>0</v>
      </c>
      <c r="Q209" s="107">
        <f t="shared" si="28"/>
        <v>0</v>
      </c>
      <c r="R209" s="107"/>
      <c r="S209" s="107"/>
      <c r="T209" s="108"/>
      <c r="U209" s="119"/>
      <c r="V209" s="110" t="str">
        <f t="shared" si="37"/>
        <v/>
      </c>
      <c r="W209" s="133"/>
      <c r="X209" s="112">
        <f t="shared" si="38"/>
        <v>0</v>
      </c>
      <c r="Y209" s="112">
        <f t="shared" si="39"/>
        <v>0</v>
      </c>
      <c r="Z209" s="113">
        <f t="shared" si="40"/>
        <v>0</v>
      </c>
      <c r="AA209" s="113">
        <v>0</v>
      </c>
      <c r="AB209" s="114">
        <v>0</v>
      </c>
      <c r="AC209" s="11">
        <f t="shared" si="41"/>
        <v>0</v>
      </c>
      <c r="AD209" s="115">
        <f t="shared" si="30"/>
        <v>0</v>
      </c>
      <c r="AE209" s="115">
        <f t="shared" si="31"/>
        <v>0</v>
      </c>
      <c r="AF209" s="115">
        <f t="shared" si="32"/>
        <v>0</v>
      </c>
      <c r="AG209" s="11"/>
      <c r="AH209" s="115">
        <f t="shared" si="34"/>
        <v>0</v>
      </c>
      <c r="AI209" s="115">
        <f t="shared" si="35"/>
        <v>0</v>
      </c>
      <c r="AJ209" s="115">
        <f t="shared" si="36"/>
        <v>0</v>
      </c>
      <c r="AL209" s="11">
        <f t="shared" si="33"/>
        <v>0</v>
      </c>
      <c r="AM209" s="148" t="s">
        <v>313</v>
      </c>
    </row>
    <row r="210" spans="1:39">
      <c r="A210" s="129" t="s">
        <v>46</v>
      </c>
      <c r="B210" s="129" t="s">
        <v>81</v>
      </c>
      <c r="C210" s="96" t="s">
        <v>314</v>
      </c>
      <c r="D210" s="148" t="s">
        <v>315</v>
      </c>
      <c r="E210" s="98"/>
      <c r="F210" s="99">
        <f>VLOOKUP(D210,'Feb14 Revenue'!D:V,19,FALSE)</f>
        <v>-16977.800000000003</v>
      </c>
      <c r="G210" s="100"/>
      <c r="H210" s="100"/>
      <c r="I210" s="101"/>
      <c r="J210" s="102">
        <f t="shared" si="29"/>
        <v>-16977.800000000003</v>
      </c>
      <c r="K210" s="103"/>
      <c r="L210" s="104"/>
      <c r="M210" s="105">
        <v>45000</v>
      </c>
      <c r="N210" s="103">
        <v>0</v>
      </c>
      <c r="O210" s="106"/>
      <c r="P210" s="103">
        <v>0</v>
      </c>
      <c r="Q210" s="107">
        <f t="shared" si="28"/>
        <v>45000</v>
      </c>
      <c r="R210" s="107"/>
      <c r="S210" s="107"/>
      <c r="T210" s="108"/>
      <c r="U210" s="119"/>
      <c r="V210" s="110" t="str">
        <f t="shared" si="37"/>
        <v/>
      </c>
      <c r="W210" s="103"/>
      <c r="X210" s="112">
        <f t="shared" si="38"/>
        <v>0</v>
      </c>
      <c r="Y210" s="112">
        <f t="shared" si="39"/>
        <v>0</v>
      </c>
      <c r="Z210" s="113">
        <f t="shared" si="40"/>
        <v>45000</v>
      </c>
      <c r="AA210" s="113">
        <v>0</v>
      </c>
      <c r="AB210" s="114">
        <v>0</v>
      </c>
      <c r="AC210" s="11">
        <f t="shared" si="41"/>
        <v>0</v>
      </c>
      <c r="AD210" s="115">
        <f t="shared" si="30"/>
        <v>0</v>
      </c>
      <c r="AE210" s="115">
        <f t="shared" si="31"/>
        <v>0</v>
      </c>
      <c r="AF210" s="115">
        <f t="shared" si="32"/>
        <v>-16977.800000000003</v>
      </c>
      <c r="AG210" s="11"/>
      <c r="AH210" s="115">
        <f t="shared" si="34"/>
        <v>0</v>
      </c>
      <c r="AI210" s="115">
        <f t="shared" si="35"/>
        <v>0</v>
      </c>
      <c r="AJ210" s="115">
        <f t="shared" si="36"/>
        <v>45000</v>
      </c>
      <c r="AL210" s="11">
        <f t="shared" si="33"/>
        <v>28022.199999999997</v>
      </c>
      <c r="AM210" s="148" t="s">
        <v>315</v>
      </c>
    </row>
    <row r="211" spans="1:39">
      <c r="A211" s="116" t="s">
        <v>60</v>
      </c>
      <c r="B211" s="116" t="s">
        <v>46</v>
      </c>
      <c r="C211" s="122"/>
      <c r="D211" s="120" t="s">
        <v>316</v>
      </c>
      <c r="E211" s="98"/>
      <c r="F211" s="99">
        <f>VLOOKUP(D211,'Feb14 Revenue'!D:V,19,FALSE)</f>
        <v>0</v>
      </c>
      <c r="G211" s="100"/>
      <c r="H211" s="100"/>
      <c r="I211" s="101"/>
      <c r="J211" s="102">
        <f t="shared" si="29"/>
        <v>0</v>
      </c>
      <c r="K211" s="103"/>
      <c r="L211" s="104"/>
      <c r="M211" s="105"/>
      <c r="N211" s="103">
        <v>0</v>
      </c>
      <c r="O211" s="106"/>
      <c r="P211" s="103">
        <v>0</v>
      </c>
      <c r="Q211" s="107">
        <f t="shared" si="28"/>
        <v>0</v>
      </c>
      <c r="R211" s="107"/>
      <c r="S211" s="107"/>
      <c r="T211" s="108"/>
      <c r="U211" s="119"/>
      <c r="V211" s="110" t="str">
        <f t="shared" si="37"/>
        <v/>
      </c>
      <c r="W211" s="103"/>
      <c r="X211" s="112">
        <f t="shared" si="38"/>
        <v>0</v>
      </c>
      <c r="Y211" s="112">
        <f t="shared" si="39"/>
        <v>0</v>
      </c>
      <c r="Z211" s="113">
        <f t="shared" si="40"/>
        <v>0</v>
      </c>
      <c r="AA211" s="113">
        <v>0</v>
      </c>
      <c r="AB211" s="114">
        <v>0</v>
      </c>
      <c r="AC211" s="11">
        <f t="shared" si="41"/>
        <v>0</v>
      </c>
      <c r="AD211" s="115">
        <f t="shared" si="30"/>
        <v>0</v>
      </c>
      <c r="AE211" s="115">
        <f t="shared" si="31"/>
        <v>0</v>
      </c>
      <c r="AF211" s="115">
        <f t="shared" si="32"/>
        <v>0</v>
      </c>
      <c r="AG211" s="11"/>
      <c r="AH211" s="115">
        <f t="shared" si="34"/>
        <v>0</v>
      </c>
      <c r="AI211" s="115">
        <f t="shared" si="35"/>
        <v>0</v>
      </c>
      <c r="AJ211" s="115">
        <f t="shared" si="36"/>
        <v>0</v>
      </c>
      <c r="AL211" s="11">
        <f t="shared" si="33"/>
        <v>0</v>
      </c>
      <c r="AM211" s="120" t="s">
        <v>316</v>
      </c>
    </row>
    <row r="212" spans="1:39">
      <c r="A212" s="129"/>
      <c r="B212" s="129" t="s">
        <v>49</v>
      </c>
      <c r="C212" s="96"/>
      <c r="D212" s="144" t="s">
        <v>317</v>
      </c>
      <c r="E212" s="98"/>
      <c r="F212" s="99">
        <f>VLOOKUP(D212,'Feb14 Revenue'!D:V,19,FALSE)</f>
        <v>0</v>
      </c>
      <c r="G212" s="100"/>
      <c r="H212" s="100"/>
      <c r="I212" s="101"/>
      <c r="J212" s="102">
        <f t="shared" si="29"/>
        <v>0</v>
      </c>
      <c r="K212" s="103"/>
      <c r="L212" s="104"/>
      <c r="M212" s="105"/>
      <c r="N212" s="103">
        <v>0</v>
      </c>
      <c r="O212" s="106"/>
      <c r="P212" s="103">
        <v>0</v>
      </c>
      <c r="Q212" s="107">
        <f t="shared" si="28"/>
        <v>0</v>
      </c>
      <c r="R212" s="107"/>
      <c r="S212" s="107"/>
      <c r="T212" s="108"/>
      <c r="U212" s="119"/>
      <c r="V212" s="110" t="str">
        <f t="shared" si="37"/>
        <v/>
      </c>
      <c r="W212" s="103"/>
      <c r="X212" s="112">
        <f t="shared" si="38"/>
        <v>0</v>
      </c>
      <c r="Y212" s="112">
        <f t="shared" si="39"/>
        <v>0</v>
      </c>
      <c r="Z212" s="113">
        <f t="shared" si="40"/>
        <v>0</v>
      </c>
      <c r="AA212" s="113">
        <v>0</v>
      </c>
      <c r="AB212" s="114">
        <v>0</v>
      </c>
      <c r="AC212" s="11">
        <f t="shared" si="41"/>
        <v>0</v>
      </c>
      <c r="AD212" s="115">
        <f t="shared" si="30"/>
        <v>0</v>
      </c>
      <c r="AE212" s="115">
        <f t="shared" si="31"/>
        <v>0</v>
      </c>
      <c r="AF212" s="115">
        <f t="shared" si="32"/>
        <v>0</v>
      </c>
      <c r="AG212" s="11"/>
      <c r="AH212" s="115">
        <f t="shared" si="34"/>
        <v>0</v>
      </c>
      <c r="AI212" s="115">
        <f t="shared" si="35"/>
        <v>0</v>
      </c>
      <c r="AJ212" s="115">
        <f t="shared" si="36"/>
        <v>0</v>
      </c>
      <c r="AL212" s="11">
        <f t="shared" si="33"/>
        <v>0</v>
      </c>
      <c r="AM212" s="144" t="s">
        <v>285</v>
      </c>
    </row>
    <row r="213" spans="1:39">
      <c r="A213" s="116"/>
      <c r="B213" s="116" t="s">
        <v>81</v>
      </c>
      <c r="C213" s="126" t="s">
        <v>318</v>
      </c>
      <c r="D213" s="120" t="s">
        <v>319</v>
      </c>
      <c r="E213" s="98">
        <v>12597.1</v>
      </c>
      <c r="F213" s="99">
        <f>VLOOKUP(D213,'Feb14 Revenue'!D:V,19,FALSE)</f>
        <v>0</v>
      </c>
      <c r="G213" s="100"/>
      <c r="H213" s="100"/>
      <c r="I213" s="101"/>
      <c r="J213" s="102">
        <f t="shared" si="29"/>
        <v>12597.1</v>
      </c>
      <c r="K213" s="103"/>
      <c r="L213" s="104"/>
      <c r="M213" s="105"/>
      <c r="N213" s="103">
        <v>0</v>
      </c>
      <c r="O213" s="106"/>
      <c r="P213" s="103">
        <v>0</v>
      </c>
      <c r="Q213" s="107">
        <f t="shared" si="28"/>
        <v>0</v>
      </c>
      <c r="R213" s="107"/>
      <c r="S213" s="107"/>
      <c r="T213" s="108"/>
      <c r="U213" s="119"/>
      <c r="V213" s="110" t="str">
        <f t="shared" si="37"/>
        <v/>
      </c>
      <c r="W213" s="103"/>
      <c r="X213" s="112">
        <f t="shared" si="38"/>
        <v>0</v>
      </c>
      <c r="Y213" s="112">
        <f t="shared" si="39"/>
        <v>0</v>
      </c>
      <c r="Z213" s="113">
        <f t="shared" si="40"/>
        <v>0</v>
      </c>
      <c r="AA213" s="113">
        <v>0</v>
      </c>
      <c r="AB213" s="114">
        <v>0</v>
      </c>
      <c r="AC213" s="11">
        <f t="shared" si="41"/>
        <v>0</v>
      </c>
      <c r="AD213" s="115">
        <f t="shared" si="30"/>
        <v>0</v>
      </c>
      <c r="AE213" s="115">
        <f t="shared" si="31"/>
        <v>0</v>
      </c>
      <c r="AF213" s="115">
        <f t="shared" si="32"/>
        <v>12597.1</v>
      </c>
      <c r="AG213" s="11"/>
      <c r="AH213" s="115">
        <f t="shared" si="34"/>
        <v>0</v>
      </c>
      <c r="AI213" s="115">
        <f t="shared" si="35"/>
        <v>0</v>
      </c>
      <c r="AJ213" s="115">
        <f t="shared" si="36"/>
        <v>0</v>
      </c>
      <c r="AL213" s="11">
        <f t="shared" si="33"/>
        <v>12597.1</v>
      </c>
      <c r="AM213" s="120" t="s">
        <v>319</v>
      </c>
    </row>
    <row r="214" spans="1:39">
      <c r="A214" s="116"/>
      <c r="B214" s="116" t="s">
        <v>49</v>
      </c>
      <c r="C214" s="122"/>
      <c r="D214" s="120" t="s">
        <v>320</v>
      </c>
      <c r="E214" s="98"/>
      <c r="F214" s="99">
        <f>VLOOKUP(D214,'Feb14 Revenue'!D:V,19,FALSE)</f>
        <v>0</v>
      </c>
      <c r="G214" s="100"/>
      <c r="H214" s="100"/>
      <c r="I214" s="101"/>
      <c r="J214" s="102">
        <f t="shared" si="29"/>
        <v>0</v>
      </c>
      <c r="K214" s="103"/>
      <c r="L214" s="104"/>
      <c r="M214" s="105"/>
      <c r="N214" s="103">
        <v>0</v>
      </c>
      <c r="O214" s="106"/>
      <c r="P214" s="103">
        <v>0</v>
      </c>
      <c r="Q214" s="107">
        <f t="shared" si="28"/>
        <v>0</v>
      </c>
      <c r="R214" s="107"/>
      <c r="S214" s="107"/>
      <c r="T214" s="108"/>
      <c r="U214" s="119"/>
      <c r="V214" s="110" t="str">
        <f t="shared" si="37"/>
        <v/>
      </c>
      <c r="W214" s="103"/>
      <c r="X214" s="112">
        <f t="shared" si="38"/>
        <v>0</v>
      </c>
      <c r="Y214" s="112">
        <f t="shared" si="39"/>
        <v>0</v>
      </c>
      <c r="Z214" s="113">
        <f t="shared" si="40"/>
        <v>0</v>
      </c>
      <c r="AA214" s="113">
        <v>0</v>
      </c>
      <c r="AB214" s="114">
        <v>0</v>
      </c>
      <c r="AC214" s="11">
        <f t="shared" si="41"/>
        <v>0</v>
      </c>
      <c r="AD214" s="115">
        <f t="shared" si="30"/>
        <v>0</v>
      </c>
      <c r="AE214" s="115">
        <f t="shared" si="31"/>
        <v>0</v>
      </c>
      <c r="AF214" s="115">
        <f t="shared" si="32"/>
        <v>0</v>
      </c>
      <c r="AG214" s="11"/>
      <c r="AH214" s="115">
        <f t="shared" si="34"/>
        <v>0</v>
      </c>
      <c r="AI214" s="115">
        <f t="shared" si="35"/>
        <v>0</v>
      </c>
      <c r="AJ214" s="115">
        <f t="shared" si="36"/>
        <v>0</v>
      </c>
      <c r="AL214" s="11">
        <f t="shared" si="33"/>
        <v>0</v>
      </c>
      <c r="AM214" s="120" t="s">
        <v>320</v>
      </c>
    </row>
    <row r="215" spans="1:39">
      <c r="A215" s="116"/>
      <c r="B215" s="116" t="s">
        <v>49</v>
      </c>
      <c r="C215" s="122"/>
      <c r="D215" s="120" t="s">
        <v>321</v>
      </c>
      <c r="E215" s="98"/>
      <c r="F215" s="99">
        <f>VLOOKUP(D215,'Feb14 Revenue'!D:V,19,FALSE)</f>
        <v>-30000</v>
      </c>
      <c r="G215" s="100"/>
      <c r="H215" s="100"/>
      <c r="I215" s="125">
        <v>13500</v>
      </c>
      <c r="J215" s="102">
        <f t="shared" si="29"/>
        <v>-16500</v>
      </c>
      <c r="K215" s="103"/>
      <c r="L215" s="104"/>
      <c r="M215" s="105">
        <v>120000</v>
      </c>
      <c r="N215" s="103"/>
      <c r="O215" s="106"/>
      <c r="P215" s="103"/>
      <c r="Q215" s="107">
        <f t="shared" si="28"/>
        <v>120000</v>
      </c>
      <c r="R215" s="107"/>
      <c r="S215" s="107"/>
      <c r="T215" s="108"/>
      <c r="U215" s="119"/>
      <c r="V215" s="110"/>
      <c r="W215" s="103"/>
      <c r="X215" s="112">
        <f t="shared" si="38"/>
        <v>120000</v>
      </c>
      <c r="Y215" s="112">
        <f t="shared" si="39"/>
        <v>0</v>
      </c>
      <c r="Z215" s="113">
        <f t="shared" si="40"/>
        <v>0</v>
      </c>
      <c r="AA215" s="113">
        <v>0</v>
      </c>
      <c r="AB215" s="114">
        <v>0</v>
      </c>
      <c r="AC215" s="11">
        <f t="shared" si="41"/>
        <v>0</v>
      </c>
      <c r="AD215" s="115">
        <f t="shared" si="30"/>
        <v>-16500</v>
      </c>
      <c r="AE215" s="115">
        <f t="shared" si="31"/>
        <v>0</v>
      </c>
      <c r="AF215" s="115">
        <f t="shared" si="32"/>
        <v>0</v>
      </c>
      <c r="AG215" s="11"/>
      <c r="AH215" s="115">
        <f t="shared" si="34"/>
        <v>120000</v>
      </c>
      <c r="AI215" s="115">
        <f t="shared" si="35"/>
        <v>0</v>
      </c>
      <c r="AJ215" s="115">
        <f t="shared" si="36"/>
        <v>0</v>
      </c>
      <c r="AL215" s="11">
        <f t="shared" si="33"/>
        <v>103500</v>
      </c>
      <c r="AM215" s="120" t="s">
        <v>321</v>
      </c>
    </row>
    <row r="216" spans="1:39" s="124" customFormat="1">
      <c r="A216" s="123"/>
      <c r="B216" s="123" t="s">
        <v>49</v>
      </c>
      <c r="C216" s="122" t="s">
        <v>322</v>
      </c>
      <c r="D216" s="149" t="s">
        <v>323</v>
      </c>
      <c r="E216" s="98"/>
      <c r="F216" s="99">
        <f>VLOOKUP(D216,'Feb14 Revenue'!D:V,19,FALSE)</f>
        <v>0</v>
      </c>
      <c r="G216" s="100"/>
      <c r="H216" s="100"/>
      <c r="I216" s="101"/>
      <c r="J216" s="102">
        <f t="shared" si="29"/>
        <v>0</v>
      </c>
      <c r="K216" s="103"/>
      <c r="L216" s="104"/>
      <c r="M216" s="105"/>
      <c r="N216" s="103">
        <v>0</v>
      </c>
      <c r="O216" s="106"/>
      <c r="P216" s="103">
        <v>0</v>
      </c>
      <c r="Q216" s="107">
        <f t="shared" si="28"/>
        <v>0</v>
      </c>
      <c r="R216" s="107"/>
      <c r="S216" s="107"/>
      <c r="T216" s="108"/>
      <c r="U216" s="119"/>
      <c r="V216" s="110" t="str">
        <f t="shared" si="37"/>
        <v/>
      </c>
      <c r="W216" s="103"/>
      <c r="X216" s="112">
        <f t="shared" si="38"/>
        <v>0</v>
      </c>
      <c r="Y216" s="112">
        <f t="shared" si="39"/>
        <v>0</v>
      </c>
      <c r="Z216" s="113">
        <f t="shared" si="40"/>
        <v>0</v>
      </c>
      <c r="AA216" s="113">
        <v>0</v>
      </c>
      <c r="AB216" s="114">
        <v>0</v>
      </c>
      <c r="AC216" s="11">
        <f t="shared" si="41"/>
        <v>0</v>
      </c>
      <c r="AD216" s="115">
        <f t="shared" si="30"/>
        <v>0</v>
      </c>
      <c r="AE216" s="115">
        <f t="shared" si="31"/>
        <v>0</v>
      </c>
      <c r="AF216" s="115">
        <f t="shared" si="32"/>
        <v>0</v>
      </c>
      <c r="AG216" s="11"/>
      <c r="AH216" s="115">
        <f t="shared" si="34"/>
        <v>0</v>
      </c>
      <c r="AI216" s="115">
        <f t="shared" si="35"/>
        <v>0</v>
      </c>
      <c r="AJ216" s="115">
        <f t="shared" si="36"/>
        <v>0</v>
      </c>
      <c r="AL216" s="11">
        <f t="shared" si="33"/>
        <v>0</v>
      </c>
      <c r="AM216" s="149" t="s">
        <v>323</v>
      </c>
    </row>
    <row r="217" spans="1:39" s="124" customFormat="1">
      <c r="A217" s="123"/>
      <c r="B217" s="123" t="s">
        <v>81</v>
      </c>
      <c r="C217" s="122" t="s">
        <v>322</v>
      </c>
      <c r="D217" s="118" t="s">
        <v>324</v>
      </c>
      <c r="E217" s="98"/>
      <c r="F217" s="99">
        <f>VLOOKUP(D217,'Feb14 Revenue'!D:V,19,FALSE)</f>
        <v>11451.169999999998</v>
      </c>
      <c r="G217" s="100"/>
      <c r="H217" s="100"/>
      <c r="I217" s="101"/>
      <c r="J217" s="102">
        <f t="shared" si="29"/>
        <v>11451.169999999998</v>
      </c>
      <c r="K217" s="103"/>
      <c r="L217" s="104"/>
      <c r="M217" s="105">
        <v>35600</v>
      </c>
      <c r="N217" s="103">
        <v>0</v>
      </c>
      <c r="O217" s="106"/>
      <c r="P217" s="103">
        <v>0</v>
      </c>
      <c r="Q217" s="107">
        <f>L217+M217</f>
        <v>35600</v>
      </c>
      <c r="R217" s="107"/>
      <c r="S217" s="107"/>
      <c r="T217" s="108"/>
      <c r="U217" s="119"/>
      <c r="V217" s="110" t="str">
        <f t="shared" si="37"/>
        <v/>
      </c>
      <c r="W217" s="103"/>
      <c r="X217" s="112">
        <f t="shared" si="38"/>
        <v>0</v>
      </c>
      <c r="Y217" s="112">
        <f t="shared" si="39"/>
        <v>0</v>
      </c>
      <c r="Z217" s="113">
        <f t="shared" si="40"/>
        <v>35600</v>
      </c>
      <c r="AA217" s="113">
        <v>0</v>
      </c>
      <c r="AB217" s="114">
        <v>0</v>
      </c>
      <c r="AC217" s="11">
        <f>(L217+M217)-(X217+Y217+Z217+AA217+AB217)</f>
        <v>0</v>
      </c>
      <c r="AD217" s="115">
        <f t="shared" si="30"/>
        <v>0</v>
      </c>
      <c r="AE217" s="115">
        <f t="shared" si="31"/>
        <v>0</v>
      </c>
      <c r="AF217" s="115">
        <f t="shared" si="32"/>
        <v>11451.169999999998</v>
      </c>
      <c r="AG217" s="11"/>
      <c r="AH217" s="115">
        <f t="shared" si="34"/>
        <v>0</v>
      </c>
      <c r="AI217" s="115">
        <f t="shared" si="35"/>
        <v>0</v>
      </c>
      <c r="AJ217" s="115">
        <f t="shared" si="36"/>
        <v>35600</v>
      </c>
      <c r="AL217" s="11">
        <f t="shared" si="33"/>
        <v>47051.17</v>
      </c>
      <c r="AM217" s="118" t="s">
        <v>324</v>
      </c>
    </row>
    <row r="218" spans="1:39" s="124" customFormat="1">
      <c r="A218" s="123"/>
      <c r="B218" s="123" t="s">
        <v>49</v>
      </c>
      <c r="C218" s="122" t="s">
        <v>322</v>
      </c>
      <c r="D218" s="118" t="s">
        <v>325</v>
      </c>
      <c r="E218" s="98"/>
      <c r="F218" s="99">
        <f>VLOOKUP(D218,'Feb14 Revenue'!D:V,19,FALSE)</f>
        <v>0</v>
      </c>
      <c r="G218" s="100"/>
      <c r="H218" s="100"/>
      <c r="I218" s="101"/>
      <c r="J218" s="102">
        <f t="shared" si="29"/>
        <v>0</v>
      </c>
      <c r="K218" s="103"/>
      <c r="L218" s="104"/>
      <c r="M218" s="105"/>
      <c r="N218" s="103">
        <v>0</v>
      </c>
      <c r="O218" s="106"/>
      <c r="P218" s="103">
        <v>0</v>
      </c>
      <c r="Q218" s="107">
        <f t="shared" si="28"/>
        <v>0</v>
      </c>
      <c r="R218" s="107"/>
      <c r="S218" s="107"/>
      <c r="T218" s="108"/>
      <c r="U218" s="119"/>
      <c r="V218" s="110" t="str">
        <f t="shared" si="37"/>
        <v/>
      </c>
      <c r="W218" s="103"/>
      <c r="X218" s="112">
        <f t="shared" si="38"/>
        <v>0</v>
      </c>
      <c r="Y218" s="112">
        <f t="shared" si="39"/>
        <v>0</v>
      </c>
      <c r="Z218" s="113">
        <f t="shared" si="40"/>
        <v>0</v>
      </c>
      <c r="AA218" s="113">
        <v>0</v>
      </c>
      <c r="AB218" s="114">
        <v>0</v>
      </c>
      <c r="AC218" s="11">
        <f t="shared" si="41"/>
        <v>0</v>
      </c>
      <c r="AD218" s="115">
        <f t="shared" si="30"/>
        <v>0</v>
      </c>
      <c r="AE218" s="115">
        <f t="shared" si="31"/>
        <v>0</v>
      </c>
      <c r="AF218" s="115">
        <f t="shared" si="32"/>
        <v>0</v>
      </c>
      <c r="AG218" s="11"/>
      <c r="AH218" s="115">
        <f t="shared" si="34"/>
        <v>0</v>
      </c>
      <c r="AI218" s="115">
        <f t="shared" si="35"/>
        <v>0</v>
      </c>
      <c r="AJ218" s="115">
        <f t="shared" si="36"/>
        <v>0</v>
      </c>
      <c r="AL218" s="11">
        <f t="shared" si="33"/>
        <v>0</v>
      </c>
      <c r="AM218" s="118" t="s">
        <v>325</v>
      </c>
    </row>
    <row r="219" spans="1:39" s="124" customFormat="1">
      <c r="A219" s="123"/>
      <c r="B219" s="123" t="s">
        <v>49</v>
      </c>
      <c r="C219" s="122" t="s">
        <v>322</v>
      </c>
      <c r="D219" s="118" t="s">
        <v>326</v>
      </c>
      <c r="E219" s="98"/>
      <c r="F219" s="99">
        <f>VLOOKUP(D219,'Feb14 Revenue'!D:V,19,FALSE)</f>
        <v>-22.790000000037253</v>
      </c>
      <c r="G219" s="100"/>
      <c r="H219" s="100"/>
      <c r="I219" s="101"/>
      <c r="J219" s="102">
        <f t="shared" si="29"/>
        <v>-22.790000000037253</v>
      </c>
      <c r="K219" s="103"/>
      <c r="L219" s="104">
        <v>601000</v>
      </c>
      <c r="M219" s="105">
        <v>1091400</v>
      </c>
      <c r="N219" s="103">
        <v>0</v>
      </c>
      <c r="O219" s="106"/>
      <c r="P219" s="103">
        <v>0</v>
      </c>
      <c r="Q219" s="107">
        <f>L219+M219</f>
        <v>1692400</v>
      </c>
      <c r="R219" s="107"/>
      <c r="S219" s="107"/>
      <c r="T219" s="108"/>
      <c r="U219" s="119"/>
      <c r="V219" s="110" t="str">
        <f t="shared" si="37"/>
        <v/>
      </c>
      <c r="W219" s="103"/>
      <c r="X219" s="112">
        <f t="shared" si="38"/>
        <v>1692400</v>
      </c>
      <c r="Y219" s="112">
        <f t="shared" si="39"/>
        <v>0</v>
      </c>
      <c r="Z219" s="113">
        <f t="shared" si="40"/>
        <v>0</v>
      </c>
      <c r="AA219" s="113">
        <v>0</v>
      </c>
      <c r="AB219" s="114">
        <v>0</v>
      </c>
      <c r="AC219" s="11">
        <f>(L219+M219)-(X219+Y219+Z219+AA219+AB219)</f>
        <v>0</v>
      </c>
      <c r="AD219" s="115">
        <f t="shared" si="30"/>
        <v>-22.790000000037253</v>
      </c>
      <c r="AE219" s="115">
        <f t="shared" si="31"/>
        <v>0</v>
      </c>
      <c r="AF219" s="115">
        <f t="shared" si="32"/>
        <v>0</v>
      </c>
      <c r="AG219" s="11"/>
      <c r="AH219" s="115">
        <f t="shared" si="34"/>
        <v>1692400</v>
      </c>
      <c r="AI219" s="115">
        <f t="shared" si="35"/>
        <v>0</v>
      </c>
      <c r="AJ219" s="115">
        <f t="shared" si="36"/>
        <v>0</v>
      </c>
      <c r="AL219" s="11">
        <f t="shared" si="33"/>
        <v>1692377.21</v>
      </c>
      <c r="AM219" s="118" t="s">
        <v>326</v>
      </c>
    </row>
    <row r="220" spans="1:39">
      <c r="A220" s="129" t="s">
        <v>154</v>
      </c>
      <c r="B220" s="129" t="s">
        <v>46</v>
      </c>
      <c r="C220" s="96"/>
      <c r="D220" s="120" t="s">
        <v>327</v>
      </c>
      <c r="E220" s="98"/>
      <c r="F220" s="99">
        <f>VLOOKUP(D220,'Feb14 Revenue'!D:V,19,FALSE)</f>
        <v>0</v>
      </c>
      <c r="G220" s="100"/>
      <c r="H220" s="100"/>
      <c r="I220" s="101"/>
      <c r="J220" s="102">
        <f t="shared" si="29"/>
        <v>0</v>
      </c>
      <c r="K220" s="103"/>
      <c r="L220" s="104"/>
      <c r="M220" s="105"/>
      <c r="N220" s="103">
        <v>0</v>
      </c>
      <c r="O220" s="106"/>
      <c r="P220" s="103">
        <v>0</v>
      </c>
      <c r="Q220" s="107">
        <f t="shared" si="28"/>
        <v>0</v>
      </c>
      <c r="R220" s="107"/>
      <c r="S220" s="107"/>
      <c r="T220" s="108"/>
      <c r="U220" s="119"/>
      <c r="V220" s="110" t="str">
        <f t="shared" si="37"/>
        <v/>
      </c>
      <c r="W220" s="103"/>
      <c r="X220" s="112">
        <f t="shared" si="38"/>
        <v>0</v>
      </c>
      <c r="Y220" s="112">
        <f t="shared" si="39"/>
        <v>0</v>
      </c>
      <c r="Z220" s="113">
        <f t="shared" si="40"/>
        <v>0</v>
      </c>
      <c r="AA220" s="113">
        <v>0</v>
      </c>
      <c r="AB220" s="114">
        <v>0</v>
      </c>
      <c r="AC220" s="11">
        <f t="shared" si="41"/>
        <v>0</v>
      </c>
      <c r="AD220" s="115">
        <f t="shared" si="30"/>
        <v>0</v>
      </c>
      <c r="AE220" s="115">
        <f t="shared" si="31"/>
        <v>0</v>
      </c>
      <c r="AF220" s="115">
        <f t="shared" si="32"/>
        <v>0</v>
      </c>
      <c r="AG220" s="11"/>
      <c r="AH220" s="115">
        <f t="shared" si="34"/>
        <v>0</v>
      </c>
      <c r="AI220" s="115">
        <f t="shared" si="35"/>
        <v>0</v>
      </c>
      <c r="AJ220" s="115">
        <f t="shared" si="36"/>
        <v>0</v>
      </c>
      <c r="AL220" s="11">
        <f t="shared" si="33"/>
        <v>0</v>
      </c>
      <c r="AM220" s="120" t="s">
        <v>327</v>
      </c>
    </row>
    <row r="221" spans="1:39">
      <c r="A221" s="129" t="s">
        <v>154</v>
      </c>
      <c r="B221" s="129" t="s">
        <v>81</v>
      </c>
      <c r="C221" s="96"/>
      <c r="D221" s="120" t="s">
        <v>328</v>
      </c>
      <c r="E221" s="98"/>
      <c r="F221" s="99">
        <f>VLOOKUP(D221,'Feb14 Revenue'!D:V,19,FALSE)</f>
        <v>0</v>
      </c>
      <c r="G221" s="100"/>
      <c r="H221" s="100"/>
      <c r="I221" s="101"/>
      <c r="J221" s="102">
        <f t="shared" si="29"/>
        <v>0</v>
      </c>
      <c r="K221" s="103"/>
      <c r="L221" s="104"/>
      <c r="M221" s="105"/>
      <c r="N221" s="103">
        <v>0</v>
      </c>
      <c r="O221" s="106"/>
      <c r="P221" s="103">
        <v>0</v>
      </c>
      <c r="Q221" s="107">
        <f t="shared" ref="Q221:Q235" si="42">L221+M221</f>
        <v>0</v>
      </c>
      <c r="R221" s="107"/>
      <c r="S221" s="107"/>
      <c r="T221" s="108"/>
      <c r="U221" s="119"/>
      <c r="V221" s="110" t="str">
        <f t="shared" si="37"/>
        <v/>
      </c>
      <c r="W221" s="103"/>
      <c r="X221" s="112">
        <f t="shared" si="38"/>
        <v>0</v>
      </c>
      <c r="Y221" s="112">
        <f t="shared" si="39"/>
        <v>0</v>
      </c>
      <c r="Z221" s="113">
        <f t="shared" si="40"/>
        <v>0</v>
      </c>
      <c r="AA221" s="113">
        <v>0</v>
      </c>
      <c r="AB221" s="114">
        <v>0</v>
      </c>
      <c r="AC221" s="11">
        <f t="shared" si="41"/>
        <v>0</v>
      </c>
      <c r="AD221" s="115">
        <f t="shared" si="30"/>
        <v>0</v>
      </c>
      <c r="AE221" s="115">
        <f t="shared" si="31"/>
        <v>0</v>
      </c>
      <c r="AF221" s="115">
        <f t="shared" si="32"/>
        <v>0</v>
      </c>
      <c r="AG221" s="11"/>
      <c r="AH221" s="115">
        <f t="shared" si="34"/>
        <v>0</v>
      </c>
      <c r="AI221" s="115">
        <f t="shared" si="35"/>
        <v>0</v>
      </c>
      <c r="AJ221" s="115">
        <f t="shared" si="36"/>
        <v>0</v>
      </c>
      <c r="AL221" s="11">
        <f t="shared" si="33"/>
        <v>0</v>
      </c>
      <c r="AM221" s="120" t="s">
        <v>328</v>
      </c>
    </row>
    <row r="222" spans="1:39">
      <c r="A222" s="116"/>
      <c r="B222" s="116" t="s">
        <v>49</v>
      </c>
      <c r="C222" s="122"/>
      <c r="D222" s="120" t="s">
        <v>329</v>
      </c>
      <c r="E222" s="98"/>
      <c r="F222" s="99">
        <f>VLOOKUP(D222,'Feb14 Revenue'!D:V,19,FALSE)</f>
        <v>0</v>
      </c>
      <c r="G222" s="100"/>
      <c r="H222" s="100"/>
      <c r="I222" s="101"/>
      <c r="J222" s="102">
        <f t="shared" si="29"/>
        <v>0</v>
      </c>
      <c r="K222" s="103"/>
      <c r="L222" s="104"/>
      <c r="M222" s="105"/>
      <c r="N222" s="103">
        <v>0</v>
      </c>
      <c r="O222" s="106"/>
      <c r="P222" s="103">
        <v>0</v>
      </c>
      <c r="Q222" s="107">
        <f>L222+M222</f>
        <v>0</v>
      </c>
      <c r="R222" s="107"/>
      <c r="S222" s="107"/>
      <c r="T222" s="108"/>
      <c r="U222" s="119"/>
      <c r="V222" s="110" t="str">
        <f t="shared" si="37"/>
        <v/>
      </c>
      <c r="W222" s="103"/>
      <c r="X222" s="112">
        <f t="shared" si="38"/>
        <v>0</v>
      </c>
      <c r="Y222" s="112">
        <f t="shared" si="39"/>
        <v>0</v>
      </c>
      <c r="Z222" s="113">
        <f t="shared" si="40"/>
        <v>0</v>
      </c>
      <c r="AA222" s="113">
        <v>0</v>
      </c>
      <c r="AB222" s="114">
        <v>0</v>
      </c>
      <c r="AC222" s="11">
        <f>(L222+M222)-(X222+Y222+Z222+AA222+AB222)</f>
        <v>0</v>
      </c>
      <c r="AD222" s="115">
        <f t="shared" si="30"/>
        <v>0</v>
      </c>
      <c r="AE222" s="115">
        <f t="shared" si="31"/>
        <v>0</v>
      </c>
      <c r="AF222" s="115">
        <f t="shared" si="32"/>
        <v>0</v>
      </c>
      <c r="AG222" s="11"/>
      <c r="AH222" s="115">
        <f t="shared" si="34"/>
        <v>0</v>
      </c>
      <c r="AI222" s="115">
        <f t="shared" si="35"/>
        <v>0</v>
      </c>
      <c r="AJ222" s="115">
        <f t="shared" si="36"/>
        <v>0</v>
      </c>
      <c r="AL222" s="11">
        <f t="shared" si="33"/>
        <v>0</v>
      </c>
      <c r="AM222" s="120" t="s">
        <v>330</v>
      </c>
    </row>
    <row r="223" spans="1:39">
      <c r="A223" s="116"/>
      <c r="B223" s="116" t="s">
        <v>49</v>
      </c>
      <c r="C223" s="122" t="s">
        <v>331</v>
      </c>
      <c r="D223" s="118" t="s">
        <v>332</v>
      </c>
      <c r="E223" s="98">
        <f>7151.4+5786.33</f>
        <v>12937.73</v>
      </c>
      <c r="F223" s="99">
        <f>VLOOKUP(D223,'Feb14 Revenue'!D:V,19,FALSE)</f>
        <v>5508.63</v>
      </c>
      <c r="G223" s="100"/>
      <c r="H223" s="100"/>
      <c r="I223" s="101"/>
      <c r="J223" s="102">
        <f t="shared" si="29"/>
        <v>18446.36</v>
      </c>
      <c r="K223" s="103"/>
      <c r="L223" s="104"/>
      <c r="M223" s="105">
        <v>5000</v>
      </c>
      <c r="N223" s="103">
        <v>0</v>
      </c>
      <c r="O223" s="106"/>
      <c r="P223" s="103">
        <v>0</v>
      </c>
      <c r="Q223" s="107">
        <f t="shared" si="42"/>
        <v>5000</v>
      </c>
      <c r="R223" s="107"/>
      <c r="S223" s="107"/>
      <c r="T223" s="108"/>
      <c r="U223" s="119"/>
      <c r="V223" s="110" t="str">
        <f t="shared" si="37"/>
        <v/>
      </c>
      <c r="W223" s="103"/>
      <c r="X223" s="112">
        <f t="shared" si="38"/>
        <v>5000</v>
      </c>
      <c r="Y223" s="112">
        <f t="shared" si="39"/>
        <v>0</v>
      </c>
      <c r="Z223" s="113">
        <f t="shared" si="40"/>
        <v>0</v>
      </c>
      <c r="AA223" s="113">
        <v>0</v>
      </c>
      <c r="AB223" s="114">
        <v>0</v>
      </c>
      <c r="AC223" s="11">
        <f t="shared" si="41"/>
        <v>0</v>
      </c>
      <c r="AD223" s="115">
        <f t="shared" si="30"/>
        <v>18446.36</v>
      </c>
      <c r="AE223" s="115">
        <f t="shared" si="31"/>
        <v>0</v>
      </c>
      <c r="AF223" s="115">
        <f t="shared" si="32"/>
        <v>0</v>
      </c>
      <c r="AG223" s="11"/>
      <c r="AH223" s="115">
        <f t="shared" si="34"/>
        <v>5000</v>
      </c>
      <c r="AI223" s="115">
        <f t="shared" si="35"/>
        <v>0</v>
      </c>
      <c r="AJ223" s="115">
        <f t="shared" si="36"/>
        <v>0</v>
      </c>
      <c r="AL223" s="11">
        <f t="shared" si="33"/>
        <v>23446.36</v>
      </c>
      <c r="AM223" s="118" t="s">
        <v>332</v>
      </c>
    </row>
    <row r="224" spans="1:39">
      <c r="A224" s="116"/>
      <c r="B224" s="116" t="s">
        <v>46</v>
      </c>
      <c r="C224" s="122" t="s">
        <v>331</v>
      </c>
      <c r="D224" s="118" t="s">
        <v>333</v>
      </c>
      <c r="E224" s="98"/>
      <c r="F224" s="99">
        <f>VLOOKUP(D224,'Feb14 Revenue'!D:V,19,FALSE)</f>
        <v>0</v>
      </c>
      <c r="G224" s="100"/>
      <c r="H224" s="100"/>
      <c r="I224" s="101"/>
      <c r="J224" s="102">
        <f t="shared" si="29"/>
        <v>0</v>
      </c>
      <c r="K224" s="103"/>
      <c r="L224" s="104"/>
      <c r="M224" s="105"/>
      <c r="N224" s="103">
        <v>0</v>
      </c>
      <c r="O224" s="106"/>
      <c r="P224" s="103">
        <v>0</v>
      </c>
      <c r="Q224" s="107">
        <f t="shared" si="42"/>
        <v>0</v>
      </c>
      <c r="R224" s="107"/>
      <c r="S224" s="107"/>
      <c r="T224" s="108"/>
      <c r="U224" s="119"/>
      <c r="V224" s="110" t="str">
        <f t="shared" si="37"/>
        <v/>
      </c>
      <c r="W224" s="103"/>
      <c r="X224" s="112">
        <f t="shared" si="38"/>
        <v>0</v>
      </c>
      <c r="Y224" s="112">
        <f t="shared" si="39"/>
        <v>0</v>
      </c>
      <c r="Z224" s="113">
        <f t="shared" si="40"/>
        <v>0</v>
      </c>
      <c r="AA224" s="113">
        <v>0</v>
      </c>
      <c r="AB224" s="114">
        <v>0</v>
      </c>
      <c r="AC224" s="11">
        <f t="shared" si="41"/>
        <v>0</v>
      </c>
      <c r="AD224" s="115">
        <f t="shared" si="30"/>
        <v>0</v>
      </c>
      <c r="AE224" s="115">
        <f t="shared" si="31"/>
        <v>0</v>
      </c>
      <c r="AF224" s="115">
        <f t="shared" si="32"/>
        <v>0</v>
      </c>
      <c r="AG224" s="11"/>
      <c r="AH224" s="115">
        <f t="shared" si="34"/>
        <v>0</v>
      </c>
      <c r="AI224" s="115">
        <f t="shared" si="35"/>
        <v>0</v>
      </c>
      <c r="AJ224" s="115">
        <f t="shared" si="36"/>
        <v>0</v>
      </c>
      <c r="AL224" s="11">
        <f t="shared" si="33"/>
        <v>0</v>
      </c>
      <c r="AM224" s="118" t="s">
        <v>333</v>
      </c>
    </row>
    <row r="225" spans="1:39" hidden="1">
      <c r="A225" s="116"/>
      <c r="B225" s="116" t="s">
        <v>46</v>
      </c>
      <c r="C225" s="122"/>
      <c r="D225" s="118" t="s">
        <v>334</v>
      </c>
      <c r="E225" s="98"/>
      <c r="F225" s="99">
        <f>VLOOKUP(D225,'Feb14 Revenue'!D:V,19,FALSE)</f>
        <v>0</v>
      </c>
      <c r="G225" s="100"/>
      <c r="H225" s="100"/>
      <c r="I225" s="101"/>
      <c r="J225" s="102">
        <f t="shared" ref="J225:J235" si="43">SUM(E225:I225)</f>
        <v>0</v>
      </c>
      <c r="K225" s="103"/>
      <c r="L225" s="104"/>
      <c r="M225" s="105"/>
      <c r="N225" s="103">
        <v>0</v>
      </c>
      <c r="O225" s="106"/>
      <c r="P225" s="103">
        <v>0</v>
      </c>
      <c r="Q225" s="107">
        <f t="shared" si="42"/>
        <v>0</v>
      </c>
      <c r="R225" s="107"/>
      <c r="S225" s="107"/>
      <c r="T225" s="108"/>
      <c r="U225" s="119"/>
      <c r="V225" s="110" t="str">
        <f t="shared" si="37"/>
        <v/>
      </c>
      <c r="W225" s="103"/>
      <c r="X225" s="112">
        <f t="shared" si="38"/>
        <v>0</v>
      </c>
      <c r="Y225" s="112">
        <f t="shared" si="39"/>
        <v>0</v>
      </c>
      <c r="Z225" s="113">
        <f t="shared" si="40"/>
        <v>0</v>
      </c>
      <c r="AA225" s="113">
        <v>0</v>
      </c>
      <c r="AB225" s="114">
        <v>0</v>
      </c>
      <c r="AC225" s="11">
        <f t="shared" si="41"/>
        <v>0</v>
      </c>
      <c r="AD225" s="115">
        <f t="shared" ref="AD225:AD235" si="44">IF(B225="D",J225,0)</f>
        <v>0</v>
      </c>
      <c r="AE225" s="115">
        <f t="shared" ref="AE225:AE235" si="45">IF(B225="M",J225,0)</f>
        <v>0</v>
      </c>
      <c r="AF225" s="115">
        <f t="shared" ref="AF225:AF235" si="46">IF(B225="V",J225,0)</f>
        <v>0</v>
      </c>
      <c r="AG225" s="11"/>
      <c r="AH225" s="115">
        <f t="shared" si="34"/>
        <v>0</v>
      </c>
      <c r="AI225" s="115">
        <f t="shared" si="35"/>
        <v>0</v>
      </c>
      <c r="AJ225" s="115">
        <f t="shared" si="36"/>
        <v>0</v>
      </c>
      <c r="AL225" s="11">
        <f t="shared" ref="AL225:AL235" si="47">SUM(AD225:AJ225)</f>
        <v>0</v>
      </c>
      <c r="AM225" s="118" t="s">
        <v>334</v>
      </c>
    </row>
    <row r="226" spans="1:39" hidden="1">
      <c r="A226" s="116"/>
      <c r="B226" s="116" t="s">
        <v>46</v>
      </c>
      <c r="C226" s="122"/>
      <c r="D226" s="118" t="s">
        <v>335</v>
      </c>
      <c r="E226" s="98"/>
      <c r="F226" s="99">
        <f>VLOOKUP(D226,'Feb14 Revenue'!D:V,19,FALSE)</f>
        <v>0</v>
      </c>
      <c r="G226" s="100"/>
      <c r="H226" s="100"/>
      <c r="I226" s="101"/>
      <c r="J226" s="102">
        <f t="shared" si="43"/>
        <v>0</v>
      </c>
      <c r="K226" s="103"/>
      <c r="L226" s="104"/>
      <c r="M226" s="105"/>
      <c r="N226" s="103">
        <v>0</v>
      </c>
      <c r="O226" s="106"/>
      <c r="P226" s="103">
        <v>0</v>
      </c>
      <c r="Q226" s="107">
        <f t="shared" si="42"/>
        <v>0</v>
      </c>
      <c r="R226" s="107"/>
      <c r="S226" s="107"/>
      <c r="T226" s="108"/>
      <c r="U226" s="119"/>
      <c r="V226" s="110" t="str">
        <f t="shared" si="37"/>
        <v/>
      </c>
      <c r="W226" s="103"/>
      <c r="X226" s="112">
        <f t="shared" si="38"/>
        <v>0</v>
      </c>
      <c r="Y226" s="112">
        <f t="shared" si="39"/>
        <v>0</v>
      </c>
      <c r="Z226" s="113">
        <f t="shared" si="40"/>
        <v>0</v>
      </c>
      <c r="AA226" s="113">
        <v>0</v>
      </c>
      <c r="AB226" s="114">
        <v>0</v>
      </c>
      <c r="AC226" s="11">
        <f t="shared" si="41"/>
        <v>0</v>
      </c>
      <c r="AD226" s="115">
        <f t="shared" si="44"/>
        <v>0</v>
      </c>
      <c r="AE226" s="115">
        <f t="shared" si="45"/>
        <v>0</v>
      </c>
      <c r="AF226" s="115">
        <f t="shared" si="46"/>
        <v>0</v>
      </c>
      <c r="AG226" s="11"/>
      <c r="AH226" s="115">
        <f t="shared" ref="AH226:AH235" si="48">IF(B226="D",Q226,0)</f>
        <v>0</v>
      </c>
      <c r="AI226" s="115">
        <f t="shared" ref="AI226:AI235" si="49">IF(B226="M",Q226,0)</f>
        <v>0</v>
      </c>
      <c r="AJ226" s="115">
        <f t="shared" ref="AJ226:AJ235" si="50">IF(B226="V",Q226,0)</f>
        <v>0</v>
      </c>
      <c r="AL226" s="11">
        <f t="shared" si="47"/>
        <v>0</v>
      </c>
      <c r="AM226" s="118" t="s">
        <v>335</v>
      </c>
    </row>
    <row r="227" spans="1:39">
      <c r="A227" s="116"/>
      <c r="B227" s="116" t="s">
        <v>46</v>
      </c>
      <c r="C227" s="122"/>
      <c r="D227" s="120" t="s">
        <v>336</v>
      </c>
      <c r="E227" s="98"/>
      <c r="F227" s="99">
        <f>VLOOKUP(D227,'Feb14 Revenue'!D:V,19,FALSE)</f>
        <v>0</v>
      </c>
      <c r="G227" s="100"/>
      <c r="H227" s="100"/>
      <c r="I227" s="101"/>
      <c r="J227" s="102">
        <f t="shared" si="43"/>
        <v>0</v>
      </c>
      <c r="K227" s="103"/>
      <c r="L227" s="104"/>
      <c r="M227" s="105"/>
      <c r="N227" s="103">
        <v>0</v>
      </c>
      <c r="O227" s="106"/>
      <c r="P227" s="103">
        <v>0</v>
      </c>
      <c r="Q227" s="107">
        <f t="shared" si="42"/>
        <v>0</v>
      </c>
      <c r="R227" s="107"/>
      <c r="S227" s="107"/>
      <c r="T227" s="108"/>
      <c r="U227" s="119"/>
      <c r="V227" s="110" t="str">
        <f t="shared" ref="V227:V235" si="51">IF(T227="","",T227-Q227)</f>
        <v/>
      </c>
      <c r="W227" s="103"/>
      <c r="X227" s="112">
        <f t="shared" ref="X227:X235" si="52">IF(B227="D",Q227,0)</f>
        <v>0</v>
      </c>
      <c r="Y227" s="112">
        <f t="shared" ref="Y227:Y235" si="53">IF(B227="M",Q227,0)</f>
        <v>0</v>
      </c>
      <c r="Z227" s="113">
        <f t="shared" ref="Z227:Z235" si="54">IF(B227="V",Q227,0)</f>
        <v>0</v>
      </c>
      <c r="AA227" s="113">
        <v>0</v>
      </c>
      <c r="AB227" s="114">
        <v>0</v>
      </c>
      <c r="AC227" s="11">
        <f t="shared" ref="AC227:AC235" si="55">(L227+M227)-(X227+Y227+Z227+AA227+AB227)</f>
        <v>0</v>
      </c>
      <c r="AD227" s="115">
        <f t="shared" si="44"/>
        <v>0</v>
      </c>
      <c r="AE227" s="115">
        <f t="shared" si="45"/>
        <v>0</v>
      </c>
      <c r="AF227" s="115">
        <f t="shared" si="46"/>
        <v>0</v>
      </c>
      <c r="AG227" s="11"/>
      <c r="AH227" s="115">
        <f t="shared" si="48"/>
        <v>0</v>
      </c>
      <c r="AI227" s="115">
        <f t="shared" si="49"/>
        <v>0</v>
      </c>
      <c r="AJ227" s="115">
        <f t="shared" si="50"/>
        <v>0</v>
      </c>
      <c r="AL227" s="11">
        <f t="shared" si="47"/>
        <v>0</v>
      </c>
      <c r="AM227" s="120" t="s">
        <v>336</v>
      </c>
    </row>
    <row r="228" spans="1:39">
      <c r="A228" s="116"/>
      <c r="B228" s="116" t="s">
        <v>49</v>
      </c>
      <c r="C228" s="122"/>
      <c r="D228" s="120" t="s">
        <v>337</v>
      </c>
      <c r="E228" s="98"/>
      <c r="F228" s="99">
        <f>VLOOKUP(D228,'Feb14 Revenue'!D:V,19,FALSE)</f>
        <v>0</v>
      </c>
      <c r="G228" s="100"/>
      <c r="H228" s="100"/>
      <c r="I228" s="101"/>
      <c r="J228" s="102">
        <f t="shared" si="43"/>
        <v>0</v>
      </c>
      <c r="K228" s="103"/>
      <c r="L228" s="104"/>
      <c r="M228" s="105"/>
      <c r="N228" s="103">
        <v>0</v>
      </c>
      <c r="O228" s="106"/>
      <c r="P228" s="103">
        <v>0</v>
      </c>
      <c r="Q228" s="107">
        <f t="shared" si="42"/>
        <v>0</v>
      </c>
      <c r="R228" s="107"/>
      <c r="S228" s="107"/>
      <c r="T228" s="108"/>
      <c r="U228" s="119"/>
      <c r="V228" s="110" t="str">
        <f t="shared" si="51"/>
        <v/>
      </c>
      <c r="W228" s="103"/>
      <c r="X228" s="112">
        <f t="shared" si="52"/>
        <v>0</v>
      </c>
      <c r="Y228" s="112">
        <f t="shared" si="53"/>
        <v>0</v>
      </c>
      <c r="Z228" s="113">
        <f t="shared" si="54"/>
        <v>0</v>
      </c>
      <c r="AA228" s="113">
        <v>0</v>
      </c>
      <c r="AB228" s="114">
        <v>0</v>
      </c>
      <c r="AC228" s="11">
        <f t="shared" si="55"/>
        <v>0</v>
      </c>
      <c r="AD228" s="115">
        <f t="shared" si="44"/>
        <v>0</v>
      </c>
      <c r="AE228" s="115">
        <f t="shared" si="45"/>
        <v>0</v>
      </c>
      <c r="AF228" s="115">
        <f t="shared" si="46"/>
        <v>0</v>
      </c>
      <c r="AG228" s="11"/>
      <c r="AH228" s="115">
        <f t="shared" si="48"/>
        <v>0</v>
      </c>
      <c r="AI228" s="115">
        <f t="shared" si="49"/>
        <v>0</v>
      </c>
      <c r="AJ228" s="115">
        <f t="shared" si="50"/>
        <v>0</v>
      </c>
      <c r="AL228" s="11">
        <f t="shared" si="47"/>
        <v>0</v>
      </c>
      <c r="AM228" s="120" t="s">
        <v>337</v>
      </c>
    </row>
    <row r="229" spans="1:39">
      <c r="A229" s="116"/>
      <c r="B229" s="116" t="s">
        <v>46</v>
      </c>
      <c r="C229" s="122" t="s">
        <v>338</v>
      </c>
      <c r="D229" s="120" t="s">
        <v>339</v>
      </c>
      <c r="E229" s="98"/>
      <c r="F229" s="99">
        <f>VLOOKUP(D229,'Feb14 Revenue'!D:V,19,FALSE)</f>
        <v>0</v>
      </c>
      <c r="G229" s="100"/>
      <c r="H229" s="100"/>
      <c r="I229" s="101"/>
      <c r="J229" s="102">
        <f t="shared" si="43"/>
        <v>0</v>
      </c>
      <c r="K229" s="103"/>
      <c r="L229" s="104"/>
      <c r="M229" s="105"/>
      <c r="N229" s="103">
        <v>0</v>
      </c>
      <c r="O229" s="106"/>
      <c r="P229" s="103">
        <v>0</v>
      </c>
      <c r="Q229" s="107">
        <f t="shared" si="42"/>
        <v>0</v>
      </c>
      <c r="R229" s="107"/>
      <c r="S229" s="107"/>
      <c r="T229" s="108"/>
      <c r="U229" s="119"/>
      <c r="V229" s="110" t="str">
        <f t="shared" si="51"/>
        <v/>
      </c>
      <c r="W229" s="103"/>
      <c r="X229" s="112">
        <f t="shared" si="52"/>
        <v>0</v>
      </c>
      <c r="Y229" s="112">
        <f t="shared" si="53"/>
        <v>0</v>
      </c>
      <c r="Z229" s="113">
        <f t="shared" si="54"/>
        <v>0</v>
      </c>
      <c r="AA229" s="113">
        <v>0</v>
      </c>
      <c r="AB229" s="114">
        <v>0</v>
      </c>
      <c r="AC229" s="11">
        <f t="shared" si="55"/>
        <v>0</v>
      </c>
      <c r="AD229" s="115">
        <f t="shared" si="44"/>
        <v>0</v>
      </c>
      <c r="AE229" s="115">
        <f t="shared" si="45"/>
        <v>0</v>
      </c>
      <c r="AF229" s="115">
        <f t="shared" si="46"/>
        <v>0</v>
      </c>
      <c r="AG229" s="11"/>
      <c r="AH229" s="115">
        <f t="shared" si="48"/>
        <v>0</v>
      </c>
      <c r="AI229" s="115">
        <f t="shared" si="49"/>
        <v>0</v>
      </c>
      <c r="AJ229" s="115">
        <f t="shared" si="50"/>
        <v>0</v>
      </c>
      <c r="AL229" s="11">
        <f t="shared" si="47"/>
        <v>0</v>
      </c>
      <c r="AM229" s="120" t="s">
        <v>339</v>
      </c>
    </row>
    <row r="230" spans="1:39">
      <c r="A230" s="116" t="s">
        <v>340</v>
      </c>
      <c r="B230" s="116" t="s">
        <v>49</v>
      </c>
      <c r="C230" s="122"/>
      <c r="D230" s="120" t="s">
        <v>341</v>
      </c>
      <c r="E230" s="98"/>
      <c r="F230" s="99">
        <f>VLOOKUP(D230,'Feb14 Revenue'!D:V,19,FALSE)</f>
        <v>-12000</v>
      </c>
      <c r="G230" s="100"/>
      <c r="H230" s="100"/>
      <c r="I230" s="101"/>
      <c r="J230" s="102">
        <f t="shared" si="43"/>
        <v>-12000</v>
      </c>
      <c r="K230" s="103"/>
      <c r="L230" s="104"/>
      <c r="M230" s="105">
        <v>18000</v>
      </c>
      <c r="N230" s="103">
        <v>0</v>
      </c>
      <c r="O230" s="106"/>
      <c r="P230" s="103">
        <v>0</v>
      </c>
      <c r="Q230" s="107">
        <f t="shared" si="42"/>
        <v>18000</v>
      </c>
      <c r="R230" s="107"/>
      <c r="S230" s="107"/>
      <c r="T230" s="108"/>
      <c r="U230" s="119"/>
      <c r="V230" s="110" t="str">
        <f t="shared" si="51"/>
        <v/>
      </c>
      <c r="W230" s="103"/>
      <c r="X230" s="112">
        <f t="shared" si="52"/>
        <v>18000</v>
      </c>
      <c r="Y230" s="112">
        <f t="shared" si="53"/>
        <v>0</v>
      </c>
      <c r="Z230" s="113">
        <f t="shared" si="54"/>
        <v>0</v>
      </c>
      <c r="AA230" s="113">
        <v>0</v>
      </c>
      <c r="AB230" s="114">
        <v>0</v>
      </c>
      <c r="AC230" s="11">
        <f t="shared" si="55"/>
        <v>0</v>
      </c>
      <c r="AD230" s="115">
        <f t="shared" si="44"/>
        <v>-12000</v>
      </c>
      <c r="AE230" s="115">
        <f t="shared" si="45"/>
        <v>0</v>
      </c>
      <c r="AF230" s="115">
        <f t="shared" si="46"/>
        <v>0</v>
      </c>
      <c r="AG230" s="11"/>
      <c r="AH230" s="115">
        <f t="shared" si="48"/>
        <v>18000</v>
      </c>
      <c r="AI230" s="115">
        <f t="shared" si="49"/>
        <v>0</v>
      </c>
      <c r="AJ230" s="115">
        <f t="shared" si="50"/>
        <v>0</v>
      </c>
      <c r="AL230" s="11">
        <f t="shared" si="47"/>
        <v>6000</v>
      </c>
      <c r="AM230" s="120" t="s">
        <v>341</v>
      </c>
    </row>
    <row r="231" spans="1:39">
      <c r="A231" s="116"/>
      <c r="B231" s="116" t="s">
        <v>49</v>
      </c>
      <c r="C231" s="122" t="s">
        <v>342</v>
      </c>
      <c r="D231" s="120" t="s">
        <v>343</v>
      </c>
      <c r="E231" s="98"/>
      <c r="F231" s="99">
        <f>VLOOKUP(D231,'Feb14 Revenue'!D:V,19,FALSE)</f>
        <v>0</v>
      </c>
      <c r="G231" s="100"/>
      <c r="H231" s="100"/>
      <c r="I231" s="101"/>
      <c r="J231" s="102">
        <f t="shared" si="43"/>
        <v>0</v>
      </c>
      <c r="K231" s="103"/>
      <c r="L231" s="104"/>
      <c r="M231" s="105"/>
      <c r="N231" s="103">
        <v>0</v>
      </c>
      <c r="O231" s="106"/>
      <c r="P231" s="103">
        <v>0</v>
      </c>
      <c r="Q231" s="107">
        <f t="shared" si="42"/>
        <v>0</v>
      </c>
      <c r="R231" s="107"/>
      <c r="S231" s="107"/>
      <c r="T231" s="108"/>
      <c r="U231" s="119"/>
      <c r="V231" s="110" t="str">
        <f t="shared" si="51"/>
        <v/>
      </c>
      <c r="W231" s="103"/>
      <c r="X231" s="112">
        <f t="shared" si="52"/>
        <v>0</v>
      </c>
      <c r="Y231" s="112">
        <f t="shared" si="53"/>
        <v>0</v>
      </c>
      <c r="Z231" s="113">
        <f t="shared" si="54"/>
        <v>0</v>
      </c>
      <c r="AA231" s="113">
        <v>0</v>
      </c>
      <c r="AB231" s="114">
        <v>0</v>
      </c>
      <c r="AC231" s="11">
        <f t="shared" si="55"/>
        <v>0</v>
      </c>
      <c r="AD231" s="115">
        <f t="shared" si="44"/>
        <v>0</v>
      </c>
      <c r="AE231" s="115">
        <f t="shared" si="45"/>
        <v>0</v>
      </c>
      <c r="AF231" s="115">
        <f t="shared" si="46"/>
        <v>0</v>
      </c>
      <c r="AG231" s="11"/>
      <c r="AH231" s="115">
        <f t="shared" si="48"/>
        <v>0</v>
      </c>
      <c r="AI231" s="115">
        <f t="shared" si="49"/>
        <v>0</v>
      </c>
      <c r="AJ231" s="115">
        <f t="shared" si="50"/>
        <v>0</v>
      </c>
      <c r="AL231" s="11">
        <f t="shared" si="47"/>
        <v>0</v>
      </c>
      <c r="AM231" s="120" t="s">
        <v>343</v>
      </c>
    </row>
    <row r="232" spans="1:39">
      <c r="A232" s="129"/>
      <c r="B232" s="129" t="s">
        <v>49</v>
      </c>
      <c r="C232" s="96"/>
      <c r="D232" s="150" t="s">
        <v>344</v>
      </c>
      <c r="E232" s="98"/>
      <c r="F232" s="99">
        <f>VLOOKUP(D232,'Feb14 Revenue'!D:V,19,FALSE)</f>
        <v>0</v>
      </c>
      <c r="G232" s="100"/>
      <c r="H232" s="100"/>
      <c r="I232" s="125">
        <v>4728.4399999999996</v>
      </c>
      <c r="J232" s="102">
        <f t="shared" si="43"/>
        <v>4728.4399999999996</v>
      </c>
      <c r="K232" s="103"/>
      <c r="L232" s="104"/>
      <c r="M232" s="105"/>
      <c r="N232" s="103">
        <v>0</v>
      </c>
      <c r="O232" s="106"/>
      <c r="P232" s="103">
        <v>0</v>
      </c>
      <c r="Q232" s="107">
        <f t="shared" si="42"/>
        <v>0</v>
      </c>
      <c r="R232" s="107"/>
      <c r="S232" s="107"/>
      <c r="T232" s="108"/>
      <c r="U232" s="119"/>
      <c r="V232" s="110" t="str">
        <f t="shared" si="51"/>
        <v/>
      </c>
      <c r="W232" s="103"/>
      <c r="X232" s="112">
        <f t="shared" si="52"/>
        <v>0</v>
      </c>
      <c r="Y232" s="112">
        <f t="shared" si="53"/>
        <v>0</v>
      </c>
      <c r="Z232" s="113">
        <f t="shared" si="54"/>
        <v>0</v>
      </c>
      <c r="AA232" s="113">
        <v>0</v>
      </c>
      <c r="AB232" s="114">
        <v>0</v>
      </c>
      <c r="AC232" s="11">
        <f t="shared" si="55"/>
        <v>0</v>
      </c>
      <c r="AD232" s="115">
        <f t="shared" si="44"/>
        <v>4728.4399999999996</v>
      </c>
      <c r="AE232" s="115">
        <f t="shared" si="45"/>
        <v>0</v>
      </c>
      <c r="AF232" s="115">
        <f t="shared" si="46"/>
        <v>0</v>
      </c>
      <c r="AG232" s="11"/>
      <c r="AH232" s="115">
        <f t="shared" si="48"/>
        <v>0</v>
      </c>
      <c r="AI232" s="115">
        <f t="shared" si="49"/>
        <v>0</v>
      </c>
      <c r="AJ232" s="115">
        <f t="shared" si="50"/>
        <v>0</v>
      </c>
      <c r="AL232" s="11">
        <f t="shared" si="47"/>
        <v>4728.4399999999996</v>
      </c>
      <c r="AM232" s="150" t="s">
        <v>344</v>
      </c>
    </row>
    <row r="233" spans="1:39">
      <c r="A233" s="129"/>
      <c r="B233" s="129" t="s">
        <v>81</v>
      </c>
      <c r="C233" s="96"/>
      <c r="D233" s="120" t="s">
        <v>345</v>
      </c>
      <c r="E233" s="98"/>
      <c r="F233" s="99">
        <f>VLOOKUP(D233,'Feb14 Revenue'!D:V,19,FALSE)</f>
        <v>3069.9</v>
      </c>
      <c r="G233" s="100"/>
      <c r="H233" s="100"/>
      <c r="I233" s="101"/>
      <c r="J233" s="102">
        <f t="shared" si="43"/>
        <v>3069.9</v>
      </c>
      <c r="K233" s="103"/>
      <c r="L233" s="104"/>
      <c r="M233" s="105"/>
      <c r="N233" s="103">
        <v>0</v>
      </c>
      <c r="O233" s="106"/>
      <c r="P233" s="103">
        <v>0</v>
      </c>
      <c r="Q233" s="107">
        <f t="shared" si="42"/>
        <v>0</v>
      </c>
      <c r="R233" s="107"/>
      <c r="S233" s="107"/>
      <c r="T233" s="108"/>
      <c r="U233" s="119"/>
      <c r="V233" s="110" t="str">
        <f t="shared" si="51"/>
        <v/>
      </c>
      <c r="W233" s="103"/>
      <c r="X233" s="112">
        <f t="shared" si="52"/>
        <v>0</v>
      </c>
      <c r="Y233" s="112">
        <f t="shared" si="53"/>
        <v>0</v>
      </c>
      <c r="Z233" s="113">
        <f t="shared" si="54"/>
        <v>0</v>
      </c>
      <c r="AA233" s="113">
        <v>0</v>
      </c>
      <c r="AB233" s="114">
        <v>0</v>
      </c>
      <c r="AC233" s="11">
        <f t="shared" si="55"/>
        <v>0</v>
      </c>
      <c r="AD233" s="115">
        <f t="shared" si="44"/>
        <v>0</v>
      </c>
      <c r="AE233" s="115">
        <f t="shared" si="45"/>
        <v>0</v>
      </c>
      <c r="AF233" s="115">
        <f t="shared" si="46"/>
        <v>3069.9</v>
      </c>
      <c r="AG233" s="11"/>
      <c r="AH233" s="115">
        <f t="shared" si="48"/>
        <v>0</v>
      </c>
      <c r="AI233" s="115">
        <f t="shared" si="49"/>
        <v>0</v>
      </c>
      <c r="AJ233" s="115">
        <f t="shared" si="50"/>
        <v>0</v>
      </c>
      <c r="AL233" s="11">
        <f t="shared" si="47"/>
        <v>3069.9</v>
      </c>
      <c r="AM233" s="120" t="s">
        <v>345</v>
      </c>
    </row>
    <row r="234" spans="1:39">
      <c r="A234" s="129"/>
      <c r="B234" s="129" t="s">
        <v>81</v>
      </c>
      <c r="C234" s="151"/>
      <c r="D234" s="152" t="s">
        <v>346</v>
      </c>
      <c r="E234" s="98"/>
      <c r="F234" s="99">
        <f>VLOOKUP(D234,'Feb14 Revenue'!D:V,19,FALSE)</f>
        <v>0</v>
      </c>
      <c r="G234" s="100"/>
      <c r="H234" s="100"/>
      <c r="I234" s="101"/>
      <c r="J234" s="102">
        <f t="shared" si="43"/>
        <v>0</v>
      </c>
      <c r="K234" s="103"/>
      <c r="L234" s="104"/>
      <c r="M234" s="105"/>
      <c r="N234" s="103">
        <v>0</v>
      </c>
      <c r="O234" s="106"/>
      <c r="P234" s="103">
        <v>0</v>
      </c>
      <c r="Q234" s="107">
        <f t="shared" si="42"/>
        <v>0</v>
      </c>
      <c r="R234" s="107"/>
      <c r="S234" s="107"/>
      <c r="T234" s="108"/>
      <c r="U234" s="119"/>
      <c r="V234" s="110" t="str">
        <f t="shared" si="51"/>
        <v/>
      </c>
      <c r="W234" s="103"/>
      <c r="X234" s="112">
        <f t="shared" si="52"/>
        <v>0</v>
      </c>
      <c r="Y234" s="112">
        <f t="shared" si="53"/>
        <v>0</v>
      </c>
      <c r="Z234" s="113">
        <f t="shared" si="54"/>
        <v>0</v>
      </c>
      <c r="AA234" s="113">
        <v>0</v>
      </c>
      <c r="AB234" s="114">
        <v>0</v>
      </c>
      <c r="AC234" s="11">
        <f t="shared" si="55"/>
        <v>0</v>
      </c>
      <c r="AD234" s="115">
        <f t="shared" si="44"/>
        <v>0</v>
      </c>
      <c r="AE234" s="115">
        <f t="shared" si="45"/>
        <v>0</v>
      </c>
      <c r="AF234" s="115">
        <f t="shared" si="46"/>
        <v>0</v>
      </c>
      <c r="AG234" s="11"/>
      <c r="AH234" s="115">
        <f t="shared" si="48"/>
        <v>0</v>
      </c>
      <c r="AI234" s="115">
        <f t="shared" si="49"/>
        <v>0</v>
      </c>
      <c r="AJ234" s="115">
        <f t="shared" si="50"/>
        <v>0</v>
      </c>
      <c r="AL234" s="11">
        <f t="shared" si="47"/>
        <v>0</v>
      </c>
      <c r="AM234" s="152" t="s">
        <v>346</v>
      </c>
    </row>
    <row r="235" spans="1:39" s="9" customFormat="1" ht="13" thickBot="1">
      <c r="A235" s="129"/>
      <c r="B235" s="129" t="s">
        <v>49</v>
      </c>
      <c r="C235" s="96"/>
      <c r="D235" s="120" t="s">
        <v>347</v>
      </c>
      <c r="E235" s="98"/>
      <c r="F235" s="99">
        <f>VLOOKUP(D235,'Feb14 Revenue'!D:V,19,FALSE)</f>
        <v>0</v>
      </c>
      <c r="G235" s="100"/>
      <c r="H235" s="100"/>
      <c r="I235" s="101">
        <v>-192506</v>
      </c>
      <c r="J235" s="102">
        <f t="shared" si="43"/>
        <v>-192506</v>
      </c>
      <c r="K235" s="103"/>
      <c r="L235" s="104"/>
      <c r="M235" s="105"/>
      <c r="N235" s="103">
        <v>0</v>
      </c>
      <c r="O235" s="106"/>
      <c r="P235" s="103">
        <v>0</v>
      </c>
      <c r="Q235" s="107">
        <f t="shared" si="42"/>
        <v>0</v>
      </c>
      <c r="R235" s="107"/>
      <c r="S235" s="107"/>
      <c r="T235" s="108"/>
      <c r="U235" s="119"/>
      <c r="V235" s="110" t="str">
        <f t="shared" si="51"/>
        <v/>
      </c>
      <c r="W235" s="103"/>
      <c r="X235" s="112">
        <f t="shared" si="52"/>
        <v>0</v>
      </c>
      <c r="Y235" s="112">
        <f t="shared" si="53"/>
        <v>0</v>
      </c>
      <c r="Z235" s="113">
        <f t="shared" si="54"/>
        <v>0</v>
      </c>
      <c r="AA235" s="113">
        <v>0</v>
      </c>
      <c r="AB235" s="114">
        <v>0</v>
      </c>
      <c r="AC235" s="11">
        <f t="shared" si="55"/>
        <v>0</v>
      </c>
      <c r="AD235" s="115">
        <f t="shared" si="44"/>
        <v>-192506</v>
      </c>
      <c r="AE235" s="115">
        <f t="shared" si="45"/>
        <v>0</v>
      </c>
      <c r="AF235" s="115">
        <f t="shared" si="46"/>
        <v>0</v>
      </c>
      <c r="AG235" s="11"/>
      <c r="AH235" s="115">
        <f t="shared" si="48"/>
        <v>0</v>
      </c>
      <c r="AI235" s="115">
        <f t="shared" si="49"/>
        <v>0</v>
      </c>
      <c r="AJ235" s="115">
        <f t="shared" si="50"/>
        <v>0</v>
      </c>
      <c r="AL235" s="11">
        <f t="shared" si="47"/>
        <v>-192506</v>
      </c>
      <c r="AM235" s="120" t="s">
        <v>348</v>
      </c>
    </row>
    <row r="236" spans="1:39" ht="13" thickBot="1">
      <c r="A236" s="153"/>
      <c r="B236" s="154"/>
      <c r="C236" s="155"/>
      <c r="D236" s="156" t="s">
        <v>349</v>
      </c>
      <c r="E236" s="157">
        <f t="shared" ref="E236:J236" si="56">SUM(E16:E235)</f>
        <v>842094.51901000005</v>
      </c>
      <c r="F236" s="157">
        <f t="shared" si="56"/>
        <v>-2357468.5099999998</v>
      </c>
      <c r="G236" s="157">
        <f t="shared" si="56"/>
        <v>0</v>
      </c>
      <c r="H236" s="157">
        <f t="shared" si="56"/>
        <v>0</v>
      </c>
      <c r="I236" s="157">
        <f t="shared" si="56"/>
        <v>9719088.3699999992</v>
      </c>
      <c r="J236" s="157">
        <f t="shared" si="56"/>
        <v>8203714.3790099993</v>
      </c>
      <c r="K236" s="157"/>
      <c r="L236" s="157">
        <f>SUM(L16:L235)</f>
        <v>601000</v>
      </c>
      <c r="M236" s="157">
        <f>SUM(M16:M235)</f>
        <v>10256000</v>
      </c>
      <c r="N236" s="157">
        <f>SUM(N16:N235)</f>
        <v>0</v>
      </c>
      <c r="O236" s="158">
        <f>SUM(O16:O235)</f>
        <v>0</v>
      </c>
      <c r="P236" s="159">
        <f>SUM(P17:P235)</f>
        <v>0</v>
      </c>
      <c r="Q236" s="158">
        <f>SUM(Q16:Q235)</f>
        <v>10857000</v>
      </c>
      <c r="R236" s="158"/>
      <c r="S236" s="158"/>
      <c r="T236" s="158">
        <f>SUM(T16:T235)</f>
        <v>0</v>
      </c>
      <c r="U236" s="160"/>
      <c r="V236" s="158">
        <f>SUM(V16:V235)</f>
        <v>0</v>
      </c>
      <c r="W236" s="103"/>
      <c r="X236" s="161">
        <f>SUM(X16:X235)</f>
        <v>10150400</v>
      </c>
      <c r="Y236" s="161">
        <f>SUM(Y16:Y235)</f>
        <v>550000</v>
      </c>
      <c r="Z236" s="161">
        <f>SUM(Z16:Z235)</f>
        <v>156600</v>
      </c>
      <c r="AA236" s="161">
        <f>SUM(AA16:AA235)</f>
        <v>0</v>
      </c>
      <c r="AB236" s="161">
        <f>SUM(AB16:AB235)</f>
        <v>0</v>
      </c>
      <c r="AC236" s="11"/>
      <c r="AD236" s="161">
        <f>SUM(AD16:AD235)</f>
        <v>7706696.6490100017</v>
      </c>
      <c r="AE236" s="161">
        <f>SUM(AE16:AE235)</f>
        <v>456511.56999999989</v>
      </c>
      <c r="AF236" s="161">
        <f>SUM(AF16:AF235)</f>
        <v>40506.159999999996</v>
      </c>
      <c r="AG236" s="11"/>
      <c r="AH236" s="161">
        <f>SUM(AH16:AH235)</f>
        <v>10150400</v>
      </c>
      <c r="AI236" s="161">
        <f>SUM(AI16:AI235)</f>
        <v>550000</v>
      </c>
      <c r="AJ236" s="161">
        <f>SUM(AJ16:AJ235)</f>
        <v>156600</v>
      </c>
    </row>
    <row r="237" spans="1:39" ht="13" thickBot="1">
      <c r="A237" s="162"/>
      <c r="B237" s="162"/>
      <c r="C237" s="163"/>
      <c r="D237" s="164"/>
      <c r="E237" s="165" t="s">
        <v>350</v>
      </c>
      <c r="F237" s="166">
        <f>F236+E236</f>
        <v>-1515373.9909899998</v>
      </c>
      <c r="G237" s="167"/>
      <c r="H237" s="167" t="s">
        <v>351</v>
      </c>
      <c r="I237" s="167">
        <f>I236+H236+G236</f>
        <v>9719088.3699999992</v>
      </c>
      <c r="J237" s="168"/>
      <c r="K237" s="167"/>
      <c r="L237" s="167" t="s">
        <v>352</v>
      </c>
      <c r="M237" s="158">
        <f>M236+L236</f>
        <v>10857000</v>
      </c>
      <c r="N237" s="167"/>
      <c r="O237" s="169"/>
      <c r="P237" s="167"/>
      <c r="Q237" s="167"/>
      <c r="R237" s="167"/>
      <c r="S237" s="167"/>
      <c r="T237" s="167"/>
      <c r="U237" s="167"/>
      <c r="V237" s="167"/>
      <c r="W237" s="167"/>
      <c r="X237" s="170"/>
      <c r="Y237" s="170"/>
      <c r="Z237" s="170"/>
      <c r="AA237" s="170"/>
      <c r="AB237" s="171"/>
      <c r="AC237" s="11"/>
      <c r="AD237" s="172"/>
      <c r="AE237" s="172"/>
      <c r="AF237" s="172"/>
      <c r="AG237" s="11"/>
      <c r="AH237" s="11"/>
      <c r="AI237" s="11"/>
      <c r="AJ237" s="11"/>
    </row>
    <row r="238" spans="1:39" ht="13" thickBot="1">
      <c r="A238" s="162"/>
      <c r="B238" s="162"/>
      <c r="C238" s="163"/>
      <c r="E238" s="173"/>
      <c r="F238" s="167"/>
      <c r="G238" s="167"/>
      <c r="H238" s="167"/>
      <c r="I238" s="167"/>
      <c r="J238" s="167"/>
      <c r="K238" s="167"/>
      <c r="L238" s="167"/>
      <c r="M238" s="174"/>
      <c r="N238" s="167"/>
      <c r="O238" s="167"/>
      <c r="P238" s="167"/>
      <c r="Q238" s="167"/>
      <c r="R238" s="167"/>
      <c r="S238" s="167"/>
      <c r="T238" s="167"/>
      <c r="U238" s="167"/>
      <c r="V238" s="167"/>
      <c r="W238" s="167"/>
      <c r="X238" s="175" t="s">
        <v>353</v>
      </c>
      <c r="Y238" s="170"/>
      <c r="Z238" s="170"/>
      <c r="AA238" s="170"/>
      <c r="AB238" s="171"/>
      <c r="AC238" s="17" t="s">
        <v>354</v>
      </c>
      <c r="AD238" s="176"/>
      <c r="AE238" s="176"/>
      <c r="AF238" s="176"/>
      <c r="AG238" s="11"/>
      <c r="AH238" s="172"/>
      <c r="AI238" s="172"/>
      <c r="AJ238" s="172"/>
    </row>
    <row r="239" spans="1:39" ht="17" thickTop="1" thickBot="1">
      <c r="E239" s="177"/>
      <c r="F239" s="178"/>
      <c r="G239" s="179"/>
      <c r="H239" s="180"/>
      <c r="I239" s="180"/>
      <c r="J239" s="17"/>
      <c r="K239" s="8"/>
      <c r="L239" s="181"/>
      <c r="M239" s="181"/>
      <c r="N239" s="11"/>
      <c r="O239" s="182"/>
      <c r="P239" s="170"/>
      <c r="Q239" s="170"/>
      <c r="R239" s="170"/>
      <c r="S239" s="170"/>
      <c r="T239" s="62"/>
      <c r="U239" s="62"/>
      <c r="V239" s="62"/>
      <c r="W239" s="8"/>
      <c r="X239" s="183"/>
      <c r="Y239" s="184"/>
      <c r="Z239" s="185"/>
      <c r="AA239" s="185"/>
      <c r="AB239" s="186"/>
      <c r="AC239" s="17" t="s">
        <v>355</v>
      </c>
      <c r="AD239" s="176"/>
      <c r="AE239" s="176"/>
      <c r="AF239" s="187"/>
      <c r="AG239" s="11"/>
      <c r="AH239" s="11"/>
      <c r="AI239" s="11"/>
      <c r="AJ239" s="11"/>
    </row>
    <row r="240" spans="1:39" ht="17" thickBot="1">
      <c r="E240" s="177"/>
      <c r="F240" s="178"/>
      <c r="G240" s="179"/>
      <c r="H240" s="180"/>
      <c r="J240" s="41">
        <f>J236</f>
        <v>8203714.3790099993</v>
      </c>
      <c r="K240" s="180" t="s">
        <v>356</v>
      </c>
      <c r="L240" s="8"/>
      <c r="M240" s="188"/>
      <c r="N240" s="11"/>
      <c r="O240" s="45"/>
      <c r="P240" s="171"/>
      <c r="Q240" s="170"/>
      <c r="R240" s="170"/>
      <c r="S240" s="170"/>
      <c r="T240" s="62"/>
      <c r="U240" s="62"/>
      <c r="V240" s="62"/>
      <c r="W240" s="8"/>
      <c r="X240" s="189"/>
      <c r="Y240" s="190"/>
      <c r="Z240" s="191" t="s">
        <v>357</v>
      </c>
      <c r="AA240" s="191" t="s">
        <v>358</v>
      </c>
      <c r="AB240" s="190"/>
      <c r="AC240" s="192" t="s">
        <v>359</v>
      </c>
      <c r="AD240" s="193">
        <f>SUM(AD236:AD239)</f>
        <v>7706696.6490100017</v>
      </c>
      <c r="AE240" s="193">
        <f>AE236</f>
        <v>456511.56999999989</v>
      </c>
      <c r="AF240" s="193">
        <f>SUM(AF236:AF239)</f>
        <v>40506.159999999996</v>
      </c>
      <c r="AG240" s="193"/>
      <c r="AH240" s="193">
        <f>AH236</f>
        <v>10150400</v>
      </c>
      <c r="AI240" s="193">
        <f>AI236</f>
        <v>550000</v>
      </c>
      <c r="AJ240" s="194">
        <f>AJ236</f>
        <v>156600</v>
      </c>
      <c r="AL240" s="11">
        <f>SUM(AL17:AL239)</f>
        <v>19060714.379009999</v>
      </c>
    </row>
    <row r="241" spans="4:36" ht="15" thickBot="1">
      <c r="D241" s="195"/>
      <c r="E241" s="196"/>
      <c r="F241" s="178"/>
      <c r="G241" s="179"/>
      <c r="H241" s="197"/>
      <c r="J241" s="198" t="e">
        <f>SUM(#REF!)</f>
        <v>#REF!</v>
      </c>
      <c r="K241" s="199" t="s">
        <v>360</v>
      </c>
      <c r="L241" s="200"/>
      <c r="M241" s="182"/>
      <c r="N241" s="62"/>
      <c r="O241" s="45"/>
      <c r="P241" s="171"/>
      <c r="Q241" s="170"/>
      <c r="R241" s="170"/>
      <c r="S241" s="170"/>
      <c r="T241" s="62"/>
      <c r="U241" s="62"/>
      <c r="V241" s="62"/>
      <c r="W241" s="8"/>
      <c r="X241" s="201" t="s">
        <v>361</v>
      </c>
      <c r="Y241" s="171" t="s">
        <v>362</v>
      </c>
      <c r="Z241" s="171">
        <f>X236+Y236+Z236</f>
        <v>10857000</v>
      </c>
      <c r="AA241" s="171"/>
      <c r="AB241" s="202"/>
      <c r="AC241" s="203"/>
      <c r="AD241" s="11"/>
      <c r="AE241" s="11"/>
      <c r="AF241" s="11"/>
      <c r="AG241" s="11"/>
      <c r="AH241" s="11"/>
      <c r="AI241" s="11"/>
      <c r="AJ241" s="11"/>
    </row>
    <row r="242" spans="4:36" ht="15" thickTop="1">
      <c r="D242" s="195"/>
      <c r="E242" s="177"/>
      <c r="F242" s="178"/>
      <c r="G242" s="179"/>
      <c r="H242" s="179" t="s">
        <v>363</v>
      </c>
      <c r="I242" s="4"/>
      <c r="J242" s="204" t="e">
        <f>J241+J240</f>
        <v>#REF!</v>
      </c>
      <c r="K242" s="179" t="s">
        <v>364</v>
      </c>
      <c r="L242" s="200"/>
      <c r="M242" s="45"/>
      <c r="N242" s="171"/>
      <c r="O242" s="204"/>
      <c r="P242" s="171"/>
      <c r="Q242" s="205"/>
      <c r="R242" s="170"/>
      <c r="S242" s="170"/>
      <c r="T242" s="170"/>
      <c r="U242" s="170"/>
      <c r="V242" s="170"/>
      <c r="W242" s="8"/>
      <c r="X242" s="201"/>
      <c r="Y242" s="171"/>
      <c r="Z242" s="171"/>
      <c r="AA242" s="171"/>
      <c r="AB242" s="202"/>
      <c r="AC242" s="203"/>
      <c r="AD242" s="11"/>
      <c r="AE242" s="11"/>
      <c r="AF242" s="11" t="s">
        <v>349</v>
      </c>
      <c r="AG242" s="11"/>
      <c r="AH242" s="181">
        <f>SUM(AD240+AH240)</f>
        <v>17857096.649010003</v>
      </c>
      <c r="AI242" s="181">
        <f t="shared" ref="AI242:AJ242" si="57">SUM(AE240+AI240)</f>
        <v>1006511.5699999998</v>
      </c>
      <c r="AJ242" s="181">
        <f t="shared" si="57"/>
        <v>197106.16</v>
      </c>
    </row>
    <row r="243" spans="4:36" ht="14">
      <c r="D243" s="195"/>
      <c r="E243" s="177"/>
      <c r="F243" s="178"/>
      <c r="G243" s="179"/>
      <c r="H243" s="179"/>
      <c r="J243" s="45"/>
      <c r="K243" s="179"/>
      <c r="L243" s="200"/>
      <c r="M243" s="171"/>
      <c r="N243" s="11"/>
      <c r="O243" s="170"/>
      <c r="P243" s="171"/>
      <c r="Q243" s="170"/>
      <c r="R243" s="170"/>
      <c r="S243" s="170"/>
      <c r="T243" s="170"/>
      <c r="U243" s="170"/>
      <c r="V243" s="170"/>
      <c r="W243" s="8"/>
      <c r="X243" s="201" t="s">
        <v>365</v>
      </c>
      <c r="Y243" s="171" t="s">
        <v>366</v>
      </c>
      <c r="Z243" s="171"/>
      <c r="AA243" s="171">
        <f>X236</f>
        <v>10150400</v>
      </c>
      <c r="AB243" s="202"/>
      <c r="AC243" s="11"/>
      <c r="AD243" s="206" t="s">
        <v>367</v>
      </c>
      <c r="AE243" s="11"/>
      <c r="AF243" s="11"/>
      <c r="AG243" s="11"/>
      <c r="AH243" s="181"/>
      <c r="AI243" s="181"/>
      <c r="AJ243" s="181"/>
    </row>
    <row r="244" spans="4:36" ht="15" thickBot="1">
      <c r="D244" s="195" t="s">
        <v>368</v>
      </c>
      <c r="E244" s="177"/>
      <c r="F244" s="178"/>
      <c r="G244" s="179"/>
      <c r="H244" s="179"/>
      <c r="J244" s="207">
        <f>M237</f>
        <v>10857000</v>
      </c>
      <c r="K244" s="179" t="s">
        <v>369</v>
      </c>
      <c r="L244" s="208"/>
      <c r="M244" s="49"/>
      <c r="N244" s="11"/>
      <c r="O244" s="170"/>
      <c r="P244" s="171"/>
      <c r="Q244" s="170"/>
      <c r="R244" s="170"/>
      <c r="S244" s="170"/>
      <c r="T244" s="209"/>
      <c r="U244" s="170"/>
      <c r="V244" s="210"/>
      <c r="W244" s="8"/>
      <c r="X244" s="201"/>
      <c r="Y244" s="171" t="s">
        <v>370</v>
      </c>
      <c r="Z244" s="171"/>
      <c r="AA244" s="171">
        <f>AA236</f>
        <v>0</v>
      </c>
      <c r="AB244" s="202"/>
      <c r="AC244" s="11"/>
      <c r="AD244" s="11"/>
      <c r="AE244" s="11"/>
      <c r="AF244" s="11"/>
      <c r="AG244" s="11"/>
      <c r="AH244" s="211" t="s">
        <v>371</v>
      </c>
      <c r="AI244" s="212">
        <f>SUM(AH242:AJ242)</f>
        <v>19060714.379010003</v>
      </c>
      <c r="AJ244" s="213"/>
    </row>
    <row r="245" spans="4:36" ht="16" thickTop="1" thickBot="1">
      <c r="D245" s="195"/>
      <c r="E245" s="177"/>
      <c r="F245" s="178"/>
      <c r="G245" s="179"/>
      <c r="H245" s="179"/>
      <c r="J245" s="204" t="e">
        <f>SUM(J242:J244)</f>
        <v>#REF!</v>
      </c>
      <c r="K245" s="179"/>
      <c r="L245" s="200"/>
      <c r="M245" s="49"/>
      <c r="N245" s="11"/>
      <c r="O245" s="62"/>
      <c r="P245" s="11"/>
      <c r="Q245" s="170"/>
      <c r="R245" s="170"/>
      <c r="S245" s="170"/>
      <c r="T245" s="170"/>
      <c r="U245" s="170"/>
      <c r="V245" s="170"/>
      <c r="W245" s="8"/>
      <c r="X245" s="201"/>
      <c r="Y245" s="171"/>
      <c r="Z245" s="171"/>
      <c r="AA245" s="171"/>
      <c r="AB245" s="202"/>
      <c r="AC245" s="11"/>
      <c r="AD245" s="11"/>
      <c r="AE245" s="11"/>
      <c r="AF245" s="11"/>
      <c r="AG245" s="11"/>
    </row>
    <row r="246" spans="4:36" ht="15" thickBot="1">
      <c r="E246" s="177"/>
      <c r="F246" s="178"/>
      <c r="G246" s="179"/>
      <c r="H246" s="179"/>
      <c r="J246" s="214">
        <f>J240+J244</f>
        <v>19060714.379009999</v>
      </c>
      <c r="K246" s="179" t="s">
        <v>372</v>
      </c>
      <c r="L246" s="200"/>
      <c r="M246" s="49"/>
      <c r="N246" s="11"/>
      <c r="O246" s="62"/>
      <c r="P246" s="11"/>
      <c r="Q246" s="170"/>
      <c r="R246" s="170"/>
      <c r="S246" s="170"/>
      <c r="T246" s="170"/>
      <c r="U246" s="170"/>
      <c r="V246" s="170"/>
      <c r="W246" s="8"/>
      <c r="X246" s="201" t="s">
        <v>373</v>
      </c>
      <c r="Y246" s="171" t="s">
        <v>374</v>
      </c>
      <c r="Z246" s="171"/>
      <c r="AA246" s="171">
        <f>Y236</f>
        <v>550000</v>
      </c>
      <c r="AB246" s="202"/>
      <c r="AC246" s="11"/>
      <c r="AD246" s="11"/>
      <c r="AE246" s="11"/>
      <c r="AF246" s="11"/>
      <c r="AG246" s="11"/>
      <c r="AH246" s="215" t="s">
        <v>375</v>
      </c>
      <c r="AI246" s="11">
        <f>AI244-AJ242</f>
        <v>18863608.219010003</v>
      </c>
      <c r="AJ246" s="11"/>
    </row>
    <row r="247" spans="4:36">
      <c r="D247" s="18"/>
      <c r="E247" s="177"/>
      <c r="F247" s="178"/>
      <c r="G247" s="179"/>
      <c r="H247" s="179"/>
      <c r="J247" s="216"/>
      <c r="K247" s="179"/>
      <c r="L247" s="49"/>
      <c r="M247" s="217"/>
      <c r="N247" s="11"/>
      <c r="O247" s="62"/>
      <c r="P247" s="11"/>
      <c r="Q247" s="170"/>
      <c r="R247" s="170"/>
      <c r="S247" s="170"/>
      <c r="T247" s="170"/>
      <c r="U247" s="170"/>
      <c r="V247" s="170"/>
      <c r="W247" s="8"/>
      <c r="X247" s="218"/>
      <c r="Y247" s="171" t="s">
        <v>376</v>
      </c>
      <c r="Z247" s="171"/>
      <c r="AA247" s="171">
        <f>AB236</f>
        <v>0</v>
      </c>
      <c r="AB247" s="202"/>
      <c r="AC247" s="11"/>
      <c r="AD247" s="11"/>
      <c r="AE247" s="11"/>
      <c r="AF247" s="11"/>
      <c r="AG247" s="11"/>
      <c r="AH247" s="11"/>
      <c r="AI247" s="11"/>
      <c r="AJ247" s="11"/>
    </row>
    <row r="248" spans="4:36">
      <c r="E248" s="177"/>
      <c r="F248" s="178"/>
      <c r="G248" s="179"/>
      <c r="H248" s="179"/>
      <c r="J248" s="219">
        <f>SUM(AD240:AJ240)</f>
        <v>19060714.379010003</v>
      </c>
      <c r="K248" s="179" t="s">
        <v>377</v>
      </c>
      <c r="L248" s="220"/>
      <c r="M248" s="216"/>
      <c r="N248" s="11"/>
      <c r="O248" s="62"/>
      <c r="P248" s="11"/>
      <c r="Q248" s="170"/>
      <c r="R248" s="170"/>
      <c r="S248" s="170"/>
      <c r="T248" s="170"/>
      <c r="U248" s="170"/>
      <c r="V248" s="170"/>
      <c r="W248" s="8"/>
      <c r="X248" s="218"/>
      <c r="Y248" s="171"/>
      <c r="Z248" s="171"/>
      <c r="AA248" s="171"/>
      <c r="AB248" s="202"/>
      <c r="AC248" s="11"/>
      <c r="AD248" s="11"/>
      <c r="AE248" s="11"/>
      <c r="AF248" s="11"/>
      <c r="AG248" s="11"/>
      <c r="AH248" s="11"/>
      <c r="AI248" s="11"/>
      <c r="AJ248" s="11"/>
    </row>
    <row r="249" spans="4:36" ht="13" thickBot="1">
      <c r="E249" s="177"/>
      <c r="F249" s="178"/>
      <c r="G249" s="179"/>
      <c r="H249" s="179"/>
      <c r="J249" s="8"/>
      <c r="K249" s="179" t="s">
        <v>364</v>
      </c>
      <c r="L249" s="221"/>
      <c r="M249" s="222"/>
      <c r="N249" s="11"/>
      <c r="O249" s="62"/>
      <c r="P249" s="11"/>
      <c r="Q249" s="170"/>
      <c r="R249" s="170"/>
      <c r="S249" s="170"/>
      <c r="T249" s="170"/>
      <c r="U249" s="170"/>
      <c r="V249" s="170"/>
      <c r="W249" s="8"/>
      <c r="X249" s="201" t="s">
        <v>378</v>
      </c>
      <c r="Y249" s="190" t="s">
        <v>379</v>
      </c>
      <c r="Z249" s="190"/>
      <c r="AA249" s="190">
        <f>Z236</f>
        <v>156600</v>
      </c>
      <c r="AB249" s="223"/>
      <c r="AC249" s="11"/>
      <c r="AD249" s="11"/>
      <c r="AE249" s="11"/>
      <c r="AF249" s="11"/>
      <c r="AG249" s="11"/>
      <c r="AH249" s="11"/>
      <c r="AI249" s="11"/>
      <c r="AJ249" s="11"/>
    </row>
    <row r="250" spans="4:36" ht="15" thickBot="1">
      <c r="E250" s="177"/>
      <c r="F250" s="178"/>
      <c r="G250" s="179"/>
      <c r="H250" s="179"/>
      <c r="J250" s="224"/>
      <c r="K250" s="179" t="s">
        <v>380</v>
      </c>
      <c r="L250" s="8"/>
      <c r="M250" s="8"/>
      <c r="N250" s="11"/>
      <c r="O250" s="62"/>
      <c r="P250" s="11"/>
      <c r="Q250" s="62"/>
      <c r="R250" s="62"/>
      <c r="S250" s="62"/>
      <c r="T250" s="62"/>
      <c r="U250" s="62"/>
      <c r="V250" s="62"/>
      <c r="W250" s="8"/>
      <c r="X250" s="225"/>
      <c r="Y250" s="171"/>
      <c r="Z250" s="45">
        <f>SUM(Z241:Z249)</f>
        <v>10857000</v>
      </c>
      <c r="AA250" s="45">
        <f>SUM(AA241:AA249)</f>
        <v>10857000</v>
      </c>
      <c r="AB250" s="202"/>
      <c r="AC250" s="11"/>
      <c r="AD250" s="11"/>
      <c r="AE250" s="11"/>
      <c r="AF250" s="11"/>
      <c r="AG250" s="11"/>
      <c r="AH250" s="11"/>
      <c r="AI250" s="226">
        <f>SUM(AI242/AI246)</f>
        <v>5.3357319464771166E-2</v>
      </c>
      <c r="AJ250" s="11"/>
    </row>
    <row r="251" spans="4:36">
      <c r="E251" s="177"/>
      <c r="F251" s="178"/>
      <c r="G251" s="179"/>
      <c r="H251" s="179"/>
      <c r="I251" s="179"/>
      <c r="J251" s="8"/>
      <c r="K251" s="8"/>
      <c r="L251" s="8"/>
      <c r="M251" s="8"/>
      <c r="N251" s="11"/>
      <c r="O251" s="62"/>
      <c r="P251" s="11"/>
      <c r="Q251" s="62"/>
      <c r="R251" s="62"/>
      <c r="S251" s="62"/>
      <c r="T251" s="62"/>
      <c r="U251" s="62"/>
      <c r="V251" s="62"/>
      <c r="W251" s="8"/>
      <c r="X251" s="225"/>
      <c r="Y251" s="171"/>
      <c r="Z251" s="171"/>
      <c r="AA251" s="171"/>
      <c r="AB251" s="202"/>
      <c r="AC251" s="11"/>
      <c r="AD251" s="11"/>
      <c r="AE251" s="11"/>
      <c r="AF251" s="11"/>
      <c r="AG251" s="11"/>
      <c r="AH251" s="11"/>
      <c r="AI251" s="11"/>
      <c r="AJ251" s="11"/>
    </row>
    <row r="252" spans="4:36" ht="13" thickBot="1">
      <c r="E252" s="177"/>
      <c r="F252" s="178"/>
      <c r="G252" s="179"/>
      <c r="H252" s="179"/>
      <c r="I252" s="179"/>
      <c r="J252" s="8"/>
      <c r="K252" s="8"/>
      <c r="L252" s="8"/>
      <c r="M252" s="8"/>
      <c r="N252" s="11"/>
      <c r="O252" s="62"/>
      <c r="P252" s="11"/>
      <c r="Q252" s="62"/>
      <c r="R252" s="62"/>
      <c r="S252" s="62"/>
      <c r="T252" s="62"/>
      <c r="U252" s="62"/>
      <c r="V252" s="62"/>
      <c r="W252" s="8"/>
      <c r="X252" s="227"/>
      <c r="Y252" s="228"/>
      <c r="Z252" s="228"/>
      <c r="AA252" s="228"/>
      <c r="AB252" s="229"/>
      <c r="AC252" s="11"/>
      <c r="AD252" s="11"/>
      <c r="AE252" s="11"/>
      <c r="AF252" s="11"/>
      <c r="AG252" s="11"/>
      <c r="AH252" s="11"/>
      <c r="AI252" s="11"/>
      <c r="AJ252" s="11"/>
    </row>
    <row r="253" spans="4:36">
      <c r="E253" s="177"/>
      <c r="F253" s="178"/>
      <c r="G253" s="179"/>
      <c r="H253" s="179"/>
      <c r="I253" s="179"/>
      <c r="J253" s="8"/>
      <c r="K253" s="8"/>
      <c r="L253" s="8"/>
      <c r="M253" s="8"/>
      <c r="N253" s="11"/>
      <c r="O253" s="62"/>
      <c r="P253" s="11"/>
      <c r="Q253" s="62"/>
      <c r="R253" s="62"/>
      <c r="S253" s="62"/>
      <c r="T253" s="62"/>
      <c r="U253" s="62"/>
      <c r="V253" s="62"/>
      <c r="W253" s="8"/>
      <c r="X253" s="171"/>
      <c r="Y253" s="171"/>
      <c r="Z253" s="171"/>
      <c r="AA253" s="171"/>
      <c r="AB253" s="171"/>
      <c r="AC253" s="11"/>
      <c r="AD253" s="11"/>
      <c r="AE253" s="11"/>
      <c r="AF253" s="11"/>
      <c r="AG253" s="11"/>
      <c r="AH253" s="11"/>
      <c r="AI253" s="11"/>
      <c r="AJ253" s="11"/>
    </row>
    <row r="254" spans="4:36">
      <c r="E254" s="177"/>
      <c r="F254" s="178"/>
      <c r="G254" s="179"/>
      <c r="H254" s="179"/>
      <c r="I254" s="179"/>
      <c r="J254" s="8"/>
      <c r="K254" s="8"/>
      <c r="L254" s="8"/>
      <c r="M254" s="8"/>
      <c r="N254" s="11"/>
      <c r="O254" s="62"/>
      <c r="P254" s="11"/>
      <c r="Q254" s="62"/>
      <c r="R254" s="62"/>
      <c r="S254" s="62"/>
      <c r="T254" s="62"/>
      <c r="U254" s="62"/>
      <c r="V254" s="62"/>
      <c r="W254" s="8"/>
      <c r="AC254" s="11"/>
      <c r="AD254" s="11"/>
      <c r="AE254" s="11"/>
      <c r="AF254" s="11"/>
      <c r="AG254" s="11"/>
      <c r="AH254" s="11"/>
      <c r="AI254" s="11"/>
      <c r="AJ254" s="11"/>
    </row>
    <row r="255" spans="4:36">
      <c r="E255" s="177"/>
      <c r="F255" s="178"/>
      <c r="G255" s="179"/>
      <c r="H255" s="179"/>
      <c r="I255" s="179"/>
      <c r="J255" s="8"/>
      <c r="K255" s="8"/>
      <c r="L255" s="8"/>
      <c r="M255" s="8"/>
      <c r="N255" s="11"/>
      <c r="O255" s="62"/>
      <c r="P255" s="11"/>
      <c r="Q255" s="62"/>
      <c r="R255" s="62"/>
      <c r="S255" s="62"/>
      <c r="T255" s="62"/>
      <c r="U255" s="62"/>
      <c r="V255" s="62"/>
      <c r="W255" s="8"/>
      <c r="AC255" s="11"/>
      <c r="AD255" s="11"/>
      <c r="AE255" s="11"/>
      <c r="AF255" s="11"/>
      <c r="AG255" s="11"/>
      <c r="AH255" s="11"/>
      <c r="AI255" s="11"/>
      <c r="AJ255" s="11"/>
    </row>
    <row r="256" spans="4:36">
      <c r="E256" s="177"/>
      <c r="F256" s="178"/>
      <c r="G256" s="179"/>
      <c r="H256" s="179"/>
      <c r="I256" s="179"/>
      <c r="J256" s="8"/>
      <c r="K256" s="8"/>
      <c r="L256" s="8"/>
      <c r="M256" s="8"/>
      <c r="N256" s="11"/>
      <c r="O256" s="62"/>
      <c r="P256" s="11"/>
      <c r="Q256" s="62"/>
      <c r="R256" s="62"/>
      <c r="S256" s="62"/>
      <c r="T256" s="62"/>
      <c r="U256" s="62"/>
      <c r="V256" s="62"/>
      <c r="W256" s="8"/>
      <c r="AC256" s="11"/>
      <c r="AD256" s="11"/>
      <c r="AE256" s="11"/>
      <c r="AF256" s="11"/>
      <c r="AG256" s="11"/>
      <c r="AH256" s="11"/>
      <c r="AI256" s="11"/>
      <c r="AJ256" s="11"/>
    </row>
    <row r="257" spans="5:36">
      <c r="E257" s="177"/>
      <c r="F257" s="178"/>
      <c r="G257" s="179"/>
      <c r="H257" s="179"/>
      <c r="I257" s="179"/>
      <c r="J257" s="8"/>
      <c r="K257" s="8"/>
      <c r="L257" s="8"/>
      <c r="M257" s="8"/>
      <c r="N257" s="11"/>
      <c r="O257" s="62"/>
      <c r="P257" s="11"/>
      <c r="Q257" s="62"/>
      <c r="R257" s="62"/>
      <c r="S257" s="62"/>
      <c r="T257" s="62"/>
      <c r="U257" s="62"/>
      <c r="V257" s="62"/>
      <c r="W257" s="8"/>
      <c r="AC257" s="11"/>
      <c r="AD257" s="11"/>
      <c r="AE257" s="11"/>
      <c r="AF257" s="11"/>
      <c r="AG257" s="11"/>
      <c r="AH257" s="11"/>
      <c r="AI257" s="11"/>
      <c r="AJ257" s="11"/>
    </row>
    <row r="258" spans="5:36">
      <c r="E258" s="177"/>
      <c r="F258" s="178"/>
      <c r="G258" s="179"/>
      <c r="H258" s="179"/>
      <c r="I258" s="179"/>
      <c r="J258" s="8"/>
      <c r="K258" s="8"/>
      <c r="L258" s="8"/>
      <c r="M258" s="8"/>
      <c r="N258" s="11"/>
      <c r="O258" s="62"/>
      <c r="P258" s="11"/>
      <c r="Q258" s="62"/>
      <c r="R258" s="62"/>
      <c r="S258" s="62"/>
      <c r="T258" s="62"/>
      <c r="U258" s="62"/>
      <c r="V258" s="62"/>
      <c r="W258" s="8"/>
      <c r="AC258" s="11"/>
      <c r="AD258" s="11"/>
      <c r="AE258" s="11"/>
      <c r="AF258" s="11"/>
      <c r="AG258" s="11"/>
      <c r="AH258" s="11"/>
      <c r="AI258" s="11"/>
      <c r="AJ258" s="11"/>
    </row>
    <row r="259" spans="5:36">
      <c r="E259" s="177"/>
      <c r="F259" s="178"/>
      <c r="G259" s="179"/>
      <c r="H259" s="179"/>
      <c r="I259" s="179"/>
      <c r="J259" s="8"/>
      <c r="K259" s="8"/>
      <c r="L259" s="8"/>
      <c r="M259" s="8"/>
      <c r="N259" s="11"/>
      <c r="O259" s="62"/>
      <c r="P259" s="11"/>
      <c r="Q259" s="62"/>
      <c r="R259" s="62"/>
      <c r="S259" s="62"/>
      <c r="T259" s="62"/>
      <c r="U259" s="62"/>
      <c r="V259" s="62"/>
      <c r="W259" s="8"/>
      <c r="AC259" s="11"/>
      <c r="AD259" s="11"/>
      <c r="AE259" s="11"/>
      <c r="AF259" s="11"/>
      <c r="AG259" s="11"/>
      <c r="AH259" s="11"/>
      <c r="AI259" s="11"/>
      <c r="AJ259" s="11"/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259"/>
  <sheetViews>
    <sheetView topLeftCell="A13" workbookViewId="0">
      <pane xSplit="4" ySplit="3" topLeftCell="E123" activePane="bottomRight" state="frozenSplit"/>
      <selection activeCell="A13" sqref="A13"/>
      <selection pane="bottomLeft" activeCell="T146" sqref="T146"/>
      <selection pane="topRight" activeCell="D12" sqref="D12"/>
      <selection pane="bottomRight" activeCell="A164" sqref="A164"/>
    </sheetView>
  </sheetViews>
  <sheetFormatPr baseColWidth="10" defaultColWidth="9.19921875" defaultRowHeight="12" outlineLevelCol="1" x14ac:dyDescent="0"/>
  <cols>
    <col min="1" max="1" width="9" style="1" bestFit="1" customWidth="1" outlineLevel="1"/>
    <col min="2" max="2" width="8.3984375" style="1" bestFit="1" customWidth="1" outlineLevel="1"/>
    <col min="3" max="3" width="11.19921875" style="2" bestFit="1" customWidth="1" outlineLevel="1"/>
    <col min="4" max="4" width="32.19921875" style="3" customWidth="1"/>
    <col min="5" max="5" width="17.19921875" style="4" bestFit="1" customWidth="1"/>
    <col min="6" max="6" width="17" style="16" bestFit="1" customWidth="1"/>
    <col min="7" max="8" width="15.3984375" style="43" hidden="1" customWidth="1"/>
    <col min="9" max="9" width="15.3984375" style="43" customWidth="1"/>
    <col min="10" max="10" width="17" style="14" bestFit="1" customWidth="1"/>
    <col min="11" max="11" width="3" style="14" customWidth="1"/>
    <col min="12" max="12" width="15.19921875" style="14" customWidth="1"/>
    <col min="13" max="13" width="16.3984375" style="14" bestFit="1" customWidth="1"/>
    <col min="14" max="14" width="1.796875" customWidth="1"/>
    <col min="15" max="15" width="13.3984375" style="9" bestFit="1" customWidth="1"/>
    <col min="16" max="16" width="1.796875" customWidth="1"/>
    <col min="17" max="17" width="15.19921875" style="9" customWidth="1"/>
    <col min="18" max="18" width="15.19921875" style="9" hidden="1" customWidth="1"/>
    <col min="19" max="19" width="12" style="9" hidden="1" customWidth="1"/>
    <col min="20" max="20" width="22.3984375" style="9" bestFit="1" customWidth="1"/>
    <col min="21" max="21" width="1.796875" style="9" customWidth="1"/>
    <col min="22" max="22" width="15.19921875" style="9" customWidth="1"/>
    <col min="23" max="23" width="1.796875" style="14" customWidth="1"/>
    <col min="24" max="28" width="15.19921875" style="11" customWidth="1"/>
    <col min="29" max="29" width="15.19921875" customWidth="1"/>
    <col min="30" max="31" width="15.19921875" style="12" customWidth="1"/>
    <col min="32" max="32" width="15.796875" style="12" customWidth="1"/>
    <col min="33" max="33" width="2.19921875" style="12" customWidth="1"/>
    <col min="34" max="35" width="16.3984375" style="12" bestFit="1" customWidth="1"/>
    <col min="36" max="36" width="14.19921875" style="12" customWidth="1"/>
    <col min="38" max="38" width="14.796875" bestFit="1" customWidth="1"/>
    <col min="39" max="39" width="38.19921875" bestFit="1" customWidth="1"/>
  </cols>
  <sheetData>
    <row r="1" spans="1:39">
      <c r="D1" s="3" t="s">
        <v>0</v>
      </c>
      <c r="F1" s="5"/>
      <c r="G1" s="6"/>
      <c r="H1" s="7"/>
      <c r="I1" s="7"/>
      <c r="J1" s="8"/>
      <c r="K1" s="8"/>
      <c r="L1" s="8"/>
      <c r="M1" s="8"/>
      <c r="N1" s="8"/>
      <c r="W1" s="10"/>
    </row>
    <row r="2" spans="1:39">
      <c r="D2" s="3" t="s">
        <v>1</v>
      </c>
      <c r="F2" s="5"/>
      <c r="G2" s="6"/>
      <c r="H2" s="7"/>
      <c r="I2" s="7"/>
      <c r="J2" s="8"/>
      <c r="K2" s="8"/>
      <c r="L2" s="8"/>
      <c r="M2" s="8"/>
      <c r="N2" s="8"/>
      <c r="W2" s="10"/>
    </row>
    <row r="3" spans="1:39">
      <c r="D3" s="3" t="s">
        <v>381</v>
      </c>
      <c r="F3" s="5"/>
      <c r="G3" s="1"/>
      <c r="H3" s="13"/>
      <c r="I3" s="13"/>
      <c r="J3" s="8"/>
      <c r="K3" s="8"/>
      <c r="L3" s="8"/>
      <c r="M3" s="8"/>
      <c r="N3" s="8"/>
    </row>
    <row r="4" spans="1:39">
      <c r="D4" s="15"/>
      <c r="G4" s="17"/>
      <c r="H4" s="13"/>
      <c r="I4" s="13"/>
      <c r="J4" s="8"/>
      <c r="K4" s="8"/>
      <c r="L4" s="8"/>
      <c r="M4" s="8"/>
      <c r="N4" s="8"/>
    </row>
    <row r="5" spans="1:39" ht="13" thickBot="1">
      <c r="D5" s="15"/>
      <c r="G5" s="18"/>
      <c r="H5" s="19"/>
      <c r="I5" s="19"/>
      <c r="J5" s="8"/>
      <c r="K5" s="8"/>
      <c r="L5" s="8"/>
      <c r="M5" s="8"/>
      <c r="N5" s="8"/>
    </row>
    <row r="6" spans="1:39">
      <c r="B6" s="20"/>
      <c r="C6" s="21"/>
      <c r="D6" s="22" t="s">
        <v>3</v>
      </c>
      <c r="E6" s="23" t="s">
        <v>4</v>
      </c>
      <c r="G6" s="18"/>
      <c r="H6" s="19"/>
      <c r="I6" s="19"/>
      <c r="J6" s="8"/>
      <c r="K6" s="8"/>
      <c r="L6" s="8"/>
      <c r="M6" s="8"/>
      <c r="N6" s="8"/>
      <c r="O6" s="16"/>
      <c r="P6" s="1"/>
      <c r="Q6" s="16"/>
      <c r="R6" s="16"/>
      <c r="S6" s="16"/>
      <c r="T6" s="16"/>
      <c r="U6" s="16"/>
      <c r="V6" s="16"/>
    </row>
    <row r="7" spans="1:39">
      <c r="B7" s="24"/>
      <c r="C7" s="25"/>
      <c r="D7" s="26" t="s">
        <v>5</v>
      </c>
      <c r="E7" s="27" t="s">
        <v>6</v>
      </c>
      <c r="F7" s="5"/>
      <c r="G7" s="18"/>
      <c r="H7" s="19"/>
      <c r="I7" s="19"/>
      <c r="J7" s="28"/>
      <c r="K7" s="29"/>
      <c r="L7" s="30"/>
      <c r="M7" s="30"/>
      <c r="W7" s="29"/>
    </row>
    <row r="8" spans="1:39">
      <c r="B8" s="24"/>
      <c r="C8" s="31"/>
      <c r="D8" s="32" t="s">
        <v>7</v>
      </c>
      <c r="E8" s="33" t="s">
        <v>8</v>
      </c>
      <c r="F8" s="5"/>
      <c r="G8" s="17"/>
      <c r="H8" s="19"/>
      <c r="I8" s="19"/>
      <c r="J8" s="34"/>
      <c r="K8" s="29"/>
      <c r="L8" s="35"/>
      <c r="M8" s="35"/>
      <c r="N8" s="36"/>
      <c r="O8" s="37"/>
      <c r="P8" s="36"/>
      <c r="Q8" s="37"/>
      <c r="R8" s="37"/>
      <c r="S8" s="37"/>
      <c r="T8" s="37"/>
      <c r="U8" s="37"/>
      <c r="V8" s="37"/>
      <c r="W8" s="29"/>
    </row>
    <row r="9" spans="1:39">
      <c r="B9" s="24"/>
      <c r="C9" s="25"/>
      <c r="D9" s="26" t="s">
        <v>9</v>
      </c>
      <c r="E9" s="38" t="s">
        <v>10</v>
      </c>
      <c r="F9" s="5"/>
      <c r="G9" s="18"/>
      <c r="H9" s="39"/>
      <c r="I9" s="39"/>
      <c r="J9" s="40"/>
      <c r="L9" s="41"/>
      <c r="M9" s="41"/>
      <c r="N9" s="36"/>
      <c r="O9" s="37"/>
      <c r="P9" s="36"/>
      <c r="Q9" s="37"/>
      <c r="R9" s="37"/>
      <c r="S9" s="37"/>
      <c r="T9" s="37"/>
      <c r="U9" s="37"/>
      <c r="V9" s="37"/>
    </row>
    <row r="10" spans="1:39">
      <c r="B10" s="24"/>
      <c r="C10" s="25"/>
      <c r="D10" s="26" t="s">
        <v>11</v>
      </c>
      <c r="E10" s="42" t="s">
        <v>12</v>
      </c>
      <c r="F10" s="5"/>
      <c r="J10" s="44"/>
      <c r="L10" s="45"/>
      <c r="M10" s="44"/>
      <c r="N10" s="36"/>
      <c r="O10" s="37"/>
      <c r="P10" s="36"/>
      <c r="Q10" s="37"/>
      <c r="R10" s="37"/>
      <c r="S10" s="37"/>
      <c r="T10" s="37"/>
      <c r="U10" s="37"/>
      <c r="V10" s="37"/>
    </row>
    <row r="11" spans="1:39">
      <c r="B11" s="24"/>
      <c r="C11" s="25"/>
      <c r="D11" s="26" t="s">
        <v>13</v>
      </c>
      <c r="E11" s="46" t="s">
        <v>14</v>
      </c>
      <c r="F11" s="5"/>
      <c r="G11" s="47"/>
      <c r="H11" s="48"/>
      <c r="I11" s="48"/>
      <c r="J11" s="44"/>
      <c r="L11" s="49"/>
      <c r="M11" s="49"/>
      <c r="N11" s="36"/>
      <c r="O11" s="37"/>
      <c r="P11" s="36"/>
      <c r="Q11" s="37"/>
      <c r="R11" s="37"/>
      <c r="S11" s="37"/>
      <c r="T11" s="37"/>
      <c r="U11" s="37"/>
      <c r="V11" s="37"/>
    </row>
    <row r="12" spans="1:39" ht="13" thickBot="1">
      <c r="B12" s="50"/>
      <c r="C12" s="51"/>
      <c r="D12" s="52" t="s">
        <v>15</v>
      </c>
      <c r="E12" s="53" t="s">
        <v>16</v>
      </c>
      <c r="F12" s="5"/>
      <c r="G12" s="47"/>
      <c r="H12" s="54"/>
      <c r="I12" s="54"/>
      <c r="J12" s="44"/>
    </row>
    <row r="13" spans="1:39" ht="13" thickBot="1">
      <c r="A13" s="16"/>
      <c r="B13" s="16"/>
      <c r="C13" s="55"/>
      <c r="D13" s="56"/>
      <c r="E13" s="57"/>
      <c r="G13" s="58"/>
      <c r="H13" s="59"/>
      <c r="I13" s="59"/>
      <c r="J13" s="60"/>
      <c r="K13" s="60"/>
      <c r="L13" s="60"/>
      <c r="M13" s="61"/>
      <c r="N13" s="9"/>
      <c r="P13" s="9"/>
      <c r="W13" s="60"/>
      <c r="X13" s="62"/>
      <c r="Y13" s="62"/>
      <c r="Z13" s="62"/>
      <c r="AA13" s="62"/>
    </row>
    <row r="14" spans="1:39" ht="13" thickBot="1">
      <c r="D14" s="63"/>
      <c r="E14" s="64" t="s">
        <v>382</v>
      </c>
      <c r="F14" s="65" t="s">
        <v>383</v>
      </c>
      <c r="G14" s="66"/>
      <c r="H14" s="66"/>
      <c r="I14" s="66"/>
      <c r="J14" s="65" t="s">
        <v>384</v>
      </c>
      <c r="K14" s="67"/>
      <c r="L14" s="65" t="s">
        <v>384</v>
      </c>
      <c r="M14" s="65" t="s">
        <v>384</v>
      </c>
      <c r="N14" s="68"/>
      <c r="O14" s="66"/>
      <c r="P14" s="68"/>
      <c r="Q14" s="69"/>
      <c r="R14" s="69"/>
      <c r="S14" s="69"/>
      <c r="T14" s="66"/>
      <c r="U14" s="70"/>
      <c r="V14" s="66"/>
      <c r="W14" s="68"/>
      <c r="X14" s="66"/>
      <c r="Y14" s="66"/>
      <c r="Z14" s="71"/>
      <c r="AA14" s="71"/>
      <c r="AB14" s="71"/>
      <c r="AE14" s="72" t="s">
        <v>20</v>
      </c>
      <c r="AI14" s="73" t="s">
        <v>21</v>
      </c>
    </row>
    <row r="15" spans="1:39" ht="13" thickBot="1">
      <c r="A15" s="74" t="s">
        <v>22</v>
      </c>
      <c r="B15" s="74" t="s">
        <v>23</v>
      </c>
      <c r="C15" s="75" t="s">
        <v>24</v>
      </c>
      <c r="D15" s="75" t="s">
        <v>25</v>
      </c>
      <c r="E15" s="76" t="s">
        <v>26</v>
      </c>
      <c r="F15" s="77" t="s">
        <v>27</v>
      </c>
      <c r="G15" s="78" t="s">
        <v>28</v>
      </c>
      <c r="H15" s="79" t="s">
        <v>29</v>
      </c>
      <c r="I15" s="80" t="s">
        <v>384</v>
      </c>
      <c r="J15" s="81" t="s">
        <v>30</v>
      </c>
      <c r="K15" s="68"/>
      <c r="L15" s="82" t="s">
        <v>31</v>
      </c>
      <c r="M15" s="83" t="s">
        <v>32</v>
      </c>
      <c r="N15" s="84"/>
      <c r="O15" s="85" t="s">
        <v>33</v>
      </c>
      <c r="P15" s="84"/>
      <c r="Q15" s="81" t="s">
        <v>21</v>
      </c>
      <c r="R15" s="81" t="s">
        <v>34</v>
      </c>
      <c r="S15" s="81" t="s">
        <v>35</v>
      </c>
      <c r="T15" s="86" t="s">
        <v>36</v>
      </c>
      <c r="U15" s="87"/>
      <c r="V15" s="88" t="s">
        <v>37</v>
      </c>
      <c r="W15" s="68"/>
      <c r="X15" s="89" t="s">
        <v>38</v>
      </c>
      <c r="Y15" s="90" t="s">
        <v>39</v>
      </c>
      <c r="Z15" s="89" t="s">
        <v>40</v>
      </c>
      <c r="AA15" s="89" t="s">
        <v>41</v>
      </c>
      <c r="AB15" s="91" t="s">
        <v>42</v>
      </c>
      <c r="AD15" s="92" t="s">
        <v>43</v>
      </c>
      <c r="AE15" s="93" t="s">
        <v>44</v>
      </c>
      <c r="AF15" s="93" t="s">
        <v>45</v>
      </c>
      <c r="AH15" s="92" t="s">
        <v>43</v>
      </c>
      <c r="AI15" s="93" t="s">
        <v>44</v>
      </c>
      <c r="AJ15" s="93" t="s">
        <v>45</v>
      </c>
    </row>
    <row r="16" spans="1:39">
      <c r="A16" s="94" t="s">
        <v>46</v>
      </c>
      <c r="B16" s="95" t="s">
        <v>46</v>
      </c>
      <c r="C16" s="96"/>
      <c r="D16" s="97" t="s">
        <v>47</v>
      </c>
      <c r="E16" s="98"/>
      <c r="F16" s="99" t="e">
        <f>VLOOKUP(D16,#REF!,19,FALSE)</f>
        <v>#REF!</v>
      </c>
      <c r="G16" s="100"/>
      <c r="H16" s="100"/>
      <c r="I16" s="101"/>
      <c r="J16" s="102" t="e">
        <f t="shared" ref="J16:J86" si="0">SUM(E16:I16)</f>
        <v>#REF!</v>
      </c>
      <c r="K16" s="103"/>
      <c r="L16" s="104"/>
      <c r="M16" s="105"/>
      <c r="N16" s="103">
        <v>0</v>
      </c>
      <c r="O16" s="106"/>
      <c r="P16" s="103">
        <v>0</v>
      </c>
      <c r="Q16" s="107">
        <f t="shared" ref="Q16:Q148" si="1">L16+M16</f>
        <v>0</v>
      </c>
      <c r="R16" s="107"/>
      <c r="S16" s="107"/>
      <c r="T16" s="108">
        <v>0</v>
      </c>
      <c r="U16" s="109"/>
      <c r="V16" s="110">
        <f t="shared" ref="V16:V79" si="2">IF(T16="","",T16-Q16)</f>
        <v>0</v>
      </c>
      <c r="W16" s="111"/>
      <c r="X16" s="112">
        <f t="shared" ref="X16:X87" si="3">IF(B16="D",Q16,0)</f>
        <v>0</v>
      </c>
      <c r="Y16" s="112">
        <f t="shared" ref="Y16:Y87" si="4">IF(B16="M",Q16,0)</f>
        <v>0</v>
      </c>
      <c r="Z16" s="113">
        <f t="shared" ref="Z16:Z87" si="5">IF(B16="V",Q16,0)</f>
        <v>0</v>
      </c>
      <c r="AA16" s="113">
        <v>0</v>
      </c>
      <c r="AB16" s="114">
        <v>0</v>
      </c>
      <c r="AC16" s="11">
        <f t="shared" ref="AC16:AC87" si="6">(L16+M16)-(X16+Y16+Z16+AA16+AB16)</f>
        <v>0</v>
      </c>
      <c r="AD16" s="115">
        <f t="shared" ref="AD16:AD86" si="7">IF(B16="D",J16,0)</f>
        <v>0</v>
      </c>
      <c r="AE16" s="115" t="e">
        <f t="shared" ref="AE16:AE86" si="8">IF(B16="M",J16,0)</f>
        <v>#REF!</v>
      </c>
      <c r="AF16" s="115">
        <f t="shared" ref="AF16:AF86" si="9">IF(B16="V",J16,0)</f>
        <v>0</v>
      </c>
      <c r="AG16" s="11"/>
      <c r="AH16" s="115">
        <f t="shared" ref="AH16:AH87" si="10">IF(B16="D",Q16,0)</f>
        <v>0</v>
      </c>
      <c r="AI16" s="115">
        <f t="shared" ref="AI16:AI87" si="11">IF(B16="M",Q16,0)</f>
        <v>0</v>
      </c>
      <c r="AJ16" s="115">
        <f t="shared" ref="AJ16:AJ87" si="12">IF(B16="V",Q16,0)</f>
        <v>0</v>
      </c>
      <c r="AM16" s="97" t="s">
        <v>48</v>
      </c>
    </row>
    <row r="17" spans="1:39">
      <c r="A17" s="116" t="s">
        <v>46</v>
      </c>
      <c r="B17" s="116" t="s">
        <v>49</v>
      </c>
      <c r="C17" s="117" t="s">
        <v>50</v>
      </c>
      <c r="D17" s="118" t="s">
        <v>51</v>
      </c>
      <c r="E17" s="98"/>
      <c r="F17" s="99" t="e">
        <f>VLOOKUP(D17,#REF!,19,FALSE)</f>
        <v>#REF!</v>
      </c>
      <c r="G17" s="100"/>
      <c r="H17" s="100"/>
      <c r="I17" s="101"/>
      <c r="J17" s="102" t="e">
        <f t="shared" si="0"/>
        <v>#REF!</v>
      </c>
      <c r="K17" s="103"/>
      <c r="L17" s="104"/>
      <c r="M17" s="105">
        <v>30000</v>
      </c>
      <c r="N17" s="103">
        <v>0</v>
      </c>
      <c r="O17" s="106"/>
      <c r="P17" s="103">
        <v>0</v>
      </c>
      <c r="Q17" s="107">
        <f t="shared" si="1"/>
        <v>30000</v>
      </c>
      <c r="R17" s="107"/>
      <c r="S17" s="107"/>
      <c r="T17" s="108">
        <v>0</v>
      </c>
      <c r="U17" s="119"/>
      <c r="V17" s="110">
        <f t="shared" si="2"/>
        <v>-30000</v>
      </c>
      <c r="W17" s="103"/>
      <c r="X17" s="112">
        <f t="shared" si="3"/>
        <v>30000</v>
      </c>
      <c r="Y17" s="112">
        <f t="shared" si="4"/>
        <v>0</v>
      </c>
      <c r="Z17" s="113">
        <f t="shared" si="5"/>
        <v>0</v>
      </c>
      <c r="AA17" s="113">
        <v>0</v>
      </c>
      <c r="AB17" s="114">
        <v>0</v>
      </c>
      <c r="AC17" s="11">
        <f t="shared" si="6"/>
        <v>0</v>
      </c>
      <c r="AD17" s="115" t="e">
        <f t="shared" si="7"/>
        <v>#REF!</v>
      </c>
      <c r="AE17" s="115">
        <f t="shared" si="8"/>
        <v>0</v>
      </c>
      <c r="AF17" s="115">
        <f t="shared" si="9"/>
        <v>0</v>
      </c>
      <c r="AG17" s="11"/>
      <c r="AH17" s="115">
        <f t="shared" si="10"/>
        <v>30000</v>
      </c>
      <c r="AI17" s="115">
        <f t="shared" si="11"/>
        <v>0</v>
      </c>
      <c r="AJ17" s="115">
        <f t="shared" si="12"/>
        <v>0</v>
      </c>
      <c r="AL17" s="11" t="e">
        <f>SUM(AD17:AJ17)</f>
        <v>#REF!</v>
      </c>
      <c r="AM17" s="118" t="s">
        <v>51</v>
      </c>
    </row>
    <row r="18" spans="1:39">
      <c r="A18" s="116" t="s">
        <v>46</v>
      </c>
      <c r="B18" s="116" t="s">
        <v>46</v>
      </c>
      <c r="C18" s="117" t="s">
        <v>50</v>
      </c>
      <c r="D18" s="120" t="s">
        <v>52</v>
      </c>
      <c r="E18" s="98"/>
      <c r="F18" s="99" t="e">
        <f>VLOOKUP(D18,#REF!,19,FALSE)</f>
        <v>#REF!</v>
      </c>
      <c r="G18" s="100"/>
      <c r="H18" s="100"/>
      <c r="I18" s="101"/>
      <c r="J18" s="102" t="e">
        <f t="shared" si="0"/>
        <v>#REF!</v>
      </c>
      <c r="K18" s="103"/>
      <c r="L18" s="104"/>
      <c r="M18" s="105">
        <v>135000</v>
      </c>
      <c r="N18" s="103">
        <v>0</v>
      </c>
      <c r="O18" s="106"/>
      <c r="P18" s="103">
        <v>0</v>
      </c>
      <c r="Q18" s="107">
        <f t="shared" si="1"/>
        <v>135000</v>
      </c>
      <c r="R18" s="107"/>
      <c r="S18" s="107"/>
      <c r="T18" s="108">
        <v>0</v>
      </c>
      <c r="U18" s="119"/>
      <c r="V18" s="110">
        <f t="shared" si="2"/>
        <v>-135000</v>
      </c>
      <c r="W18" s="103"/>
      <c r="X18" s="112">
        <f t="shared" si="3"/>
        <v>0</v>
      </c>
      <c r="Y18" s="112">
        <f t="shared" si="4"/>
        <v>135000</v>
      </c>
      <c r="Z18" s="113">
        <f t="shared" si="5"/>
        <v>0</v>
      </c>
      <c r="AA18" s="113">
        <v>0</v>
      </c>
      <c r="AB18" s="114">
        <v>0</v>
      </c>
      <c r="AC18" s="11">
        <f t="shared" si="6"/>
        <v>0</v>
      </c>
      <c r="AD18" s="115">
        <f t="shared" si="7"/>
        <v>0</v>
      </c>
      <c r="AE18" s="115" t="e">
        <f t="shared" si="8"/>
        <v>#REF!</v>
      </c>
      <c r="AF18" s="115">
        <f t="shared" si="9"/>
        <v>0</v>
      </c>
      <c r="AG18" s="11"/>
      <c r="AH18" s="115">
        <f t="shared" si="10"/>
        <v>0</v>
      </c>
      <c r="AI18" s="115">
        <f t="shared" si="11"/>
        <v>135000</v>
      </c>
      <c r="AJ18" s="115">
        <f t="shared" si="12"/>
        <v>0</v>
      </c>
      <c r="AL18" s="11" t="e">
        <f t="shared" ref="AL18:AL88" si="13">SUM(AD18:AJ18)</f>
        <v>#REF!</v>
      </c>
      <c r="AM18" s="120" t="s">
        <v>52</v>
      </c>
    </row>
    <row r="19" spans="1:39">
      <c r="A19" s="116" t="s">
        <v>46</v>
      </c>
      <c r="B19" s="116" t="s">
        <v>46</v>
      </c>
      <c r="C19" s="117" t="s">
        <v>50</v>
      </c>
      <c r="D19" s="120" t="s">
        <v>53</v>
      </c>
      <c r="E19" s="98"/>
      <c r="F19" s="99" t="e">
        <f>VLOOKUP(D19,#REF!,19,FALSE)</f>
        <v>#REF!</v>
      </c>
      <c r="G19" s="100"/>
      <c r="H19" s="100"/>
      <c r="I19" s="101"/>
      <c r="J19" s="102" t="e">
        <f t="shared" si="0"/>
        <v>#REF!</v>
      </c>
      <c r="K19" s="103"/>
      <c r="L19" s="104"/>
      <c r="M19" s="105"/>
      <c r="N19" s="103">
        <v>0</v>
      </c>
      <c r="O19" s="106"/>
      <c r="P19" s="103">
        <v>0</v>
      </c>
      <c r="Q19" s="107">
        <f t="shared" si="1"/>
        <v>0</v>
      </c>
      <c r="R19" s="107"/>
      <c r="S19" s="107"/>
      <c r="T19" s="108">
        <v>0</v>
      </c>
      <c r="U19" s="119"/>
      <c r="V19" s="110">
        <f t="shared" si="2"/>
        <v>0</v>
      </c>
      <c r="W19" s="103"/>
      <c r="X19" s="112">
        <f t="shared" si="3"/>
        <v>0</v>
      </c>
      <c r="Y19" s="112">
        <f t="shared" si="4"/>
        <v>0</v>
      </c>
      <c r="Z19" s="113">
        <f t="shared" si="5"/>
        <v>0</v>
      </c>
      <c r="AA19" s="113">
        <v>0</v>
      </c>
      <c r="AB19" s="114">
        <v>0</v>
      </c>
      <c r="AC19" s="11">
        <f t="shared" si="6"/>
        <v>0</v>
      </c>
      <c r="AD19" s="115">
        <f t="shared" si="7"/>
        <v>0</v>
      </c>
      <c r="AE19" s="115" t="e">
        <f t="shared" si="8"/>
        <v>#REF!</v>
      </c>
      <c r="AF19" s="115">
        <f t="shared" si="9"/>
        <v>0</v>
      </c>
      <c r="AG19" s="11"/>
      <c r="AH19" s="115">
        <f t="shared" si="10"/>
        <v>0</v>
      </c>
      <c r="AI19" s="115">
        <f t="shared" si="11"/>
        <v>0</v>
      </c>
      <c r="AJ19" s="115">
        <f t="shared" si="12"/>
        <v>0</v>
      </c>
      <c r="AL19" s="11" t="e">
        <f t="shared" si="13"/>
        <v>#REF!</v>
      </c>
      <c r="AM19" s="120" t="s">
        <v>53</v>
      </c>
    </row>
    <row r="20" spans="1:39">
      <c r="A20" s="116" t="s">
        <v>46</v>
      </c>
      <c r="B20" s="116" t="s">
        <v>46</v>
      </c>
      <c r="C20" s="117" t="s">
        <v>50</v>
      </c>
      <c r="D20" s="121" t="s">
        <v>54</v>
      </c>
      <c r="E20" s="98"/>
      <c r="F20" s="99" t="e">
        <f>VLOOKUP(D20,#REF!,19,FALSE)</f>
        <v>#REF!</v>
      </c>
      <c r="G20" s="100"/>
      <c r="H20" s="100"/>
      <c r="I20" s="101"/>
      <c r="J20" s="102" t="e">
        <f t="shared" si="0"/>
        <v>#REF!</v>
      </c>
      <c r="K20" s="103"/>
      <c r="L20" s="104"/>
      <c r="M20" s="105">
        <v>60000</v>
      </c>
      <c r="N20" s="103">
        <v>0</v>
      </c>
      <c r="O20" s="106"/>
      <c r="P20" s="103">
        <v>0</v>
      </c>
      <c r="Q20" s="107">
        <f t="shared" si="1"/>
        <v>60000</v>
      </c>
      <c r="R20" s="107"/>
      <c r="S20" s="107"/>
      <c r="T20" s="98">
        <v>58465.47</v>
      </c>
      <c r="U20" s="119"/>
      <c r="V20" s="110">
        <f t="shared" si="2"/>
        <v>-1534.5299999999988</v>
      </c>
      <c r="W20" s="103"/>
      <c r="X20" s="112">
        <f t="shared" si="3"/>
        <v>0</v>
      </c>
      <c r="Y20" s="112">
        <f t="shared" si="4"/>
        <v>60000</v>
      </c>
      <c r="Z20" s="113">
        <f t="shared" si="5"/>
        <v>0</v>
      </c>
      <c r="AA20" s="113">
        <v>0</v>
      </c>
      <c r="AB20" s="114">
        <v>0</v>
      </c>
      <c r="AC20" s="11">
        <f t="shared" si="6"/>
        <v>0</v>
      </c>
      <c r="AD20" s="115">
        <f t="shared" si="7"/>
        <v>0</v>
      </c>
      <c r="AE20" s="115" t="e">
        <f t="shared" si="8"/>
        <v>#REF!</v>
      </c>
      <c r="AF20" s="115">
        <f t="shared" si="9"/>
        <v>0</v>
      </c>
      <c r="AG20" s="11"/>
      <c r="AH20" s="115">
        <f t="shared" si="10"/>
        <v>0</v>
      </c>
      <c r="AI20" s="115">
        <f t="shared" si="11"/>
        <v>60000</v>
      </c>
      <c r="AJ20" s="115">
        <f t="shared" si="12"/>
        <v>0</v>
      </c>
      <c r="AL20" s="11" t="e">
        <f t="shared" si="13"/>
        <v>#REF!</v>
      </c>
      <c r="AM20" s="121" t="s">
        <v>54</v>
      </c>
    </row>
    <row r="21" spans="1:39">
      <c r="A21" s="116"/>
      <c r="B21" s="116" t="s">
        <v>49</v>
      </c>
      <c r="C21" s="122" t="s">
        <v>55</v>
      </c>
      <c r="D21" s="118" t="s">
        <v>56</v>
      </c>
      <c r="E21" s="98"/>
      <c r="F21" s="99" t="e">
        <f>VLOOKUP(D21,#REF!,19,FALSE)</f>
        <v>#REF!</v>
      </c>
      <c r="G21" s="100"/>
      <c r="H21" s="100"/>
      <c r="I21" s="101"/>
      <c r="J21" s="102" t="e">
        <f t="shared" si="0"/>
        <v>#REF!</v>
      </c>
      <c r="K21" s="103"/>
      <c r="L21" s="104"/>
      <c r="M21" s="105"/>
      <c r="N21" s="103">
        <v>0</v>
      </c>
      <c r="O21" s="106"/>
      <c r="P21" s="103">
        <v>0</v>
      </c>
      <c r="Q21" s="107">
        <f t="shared" si="1"/>
        <v>0</v>
      </c>
      <c r="R21" s="107"/>
      <c r="S21" s="107"/>
      <c r="T21" s="108">
        <v>0</v>
      </c>
      <c r="U21" s="119"/>
      <c r="V21" s="110">
        <f t="shared" si="2"/>
        <v>0</v>
      </c>
      <c r="W21" s="103"/>
      <c r="X21" s="112">
        <f t="shared" si="3"/>
        <v>0</v>
      </c>
      <c r="Y21" s="112">
        <f t="shared" si="4"/>
        <v>0</v>
      </c>
      <c r="Z21" s="113">
        <f t="shared" si="5"/>
        <v>0</v>
      </c>
      <c r="AA21" s="113">
        <v>0</v>
      </c>
      <c r="AB21" s="114">
        <v>0</v>
      </c>
      <c r="AC21" s="11">
        <f t="shared" si="6"/>
        <v>0</v>
      </c>
      <c r="AD21" s="115" t="e">
        <f t="shared" si="7"/>
        <v>#REF!</v>
      </c>
      <c r="AE21" s="115">
        <f t="shared" si="8"/>
        <v>0</v>
      </c>
      <c r="AF21" s="115">
        <f t="shared" si="9"/>
        <v>0</v>
      </c>
      <c r="AG21" s="11"/>
      <c r="AH21" s="115">
        <f t="shared" si="10"/>
        <v>0</v>
      </c>
      <c r="AI21" s="115">
        <f t="shared" si="11"/>
        <v>0</v>
      </c>
      <c r="AJ21" s="115">
        <f t="shared" si="12"/>
        <v>0</v>
      </c>
      <c r="AL21" s="11" t="e">
        <f t="shared" si="13"/>
        <v>#REF!</v>
      </c>
      <c r="AM21" s="118" t="s">
        <v>56</v>
      </c>
    </row>
    <row r="22" spans="1:39">
      <c r="A22" s="116"/>
      <c r="B22" s="116" t="s">
        <v>49</v>
      </c>
      <c r="C22" s="122" t="s">
        <v>55</v>
      </c>
      <c r="D22" s="118" t="s">
        <v>57</v>
      </c>
      <c r="E22" s="98"/>
      <c r="F22" s="99" t="e">
        <f>VLOOKUP(D22,#REF!,19,FALSE)</f>
        <v>#REF!</v>
      </c>
      <c r="G22" s="100"/>
      <c r="H22" s="100"/>
      <c r="I22" s="101"/>
      <c r="J22" s="102" t="e">
        <f t="shared" si="0"/>
        <v>#REF!</v>
      </c>
      <c r="K22" s="103"/>
      <c r="L22" s="104"/>
      <c r="M22" s="105">
        <v>30000</v>
      </c>
      <c r="N22" s="103">
        <v>0</v>
      </c>
      <c r="O22" s="106"/>
      <c r="P22" s="103">
        <v>0</v>
      </c>
      <c r="Q22" s="107">
        <f t="shared" si="1"/>
        <v>30000</v>
      </c>
      <c r="R22" s="107"/>
      <c r="S22" s="107"/>
      <c r="T22" s="108">
        <v>26573.63</v>
      </c>
      <c r="U22" s="119"/>
      <c r="V22" s="110">
        <f t="shared" si="2"/>
        <v>-3426.369999999999</v>
      </c>
      <c r="W22" s="103"/>
      <c r="X22" s="112">
        <f t="shared" si="3"/>
        <v>30000</v>
      </c>
      <c r="Y22" s="112">
        <f t="shared" si="4"/>
        <v>0</v>
      </c>
      <c r="Z22" s="113">
        <f t="shared" si="5"/>
        <v>0</v>
      </c>
      <c r="AA22" s="113">
        <v>0</v>
      </c>
      <c r="AB22" s="114">
        <v>0</v>
      </c>
      <c r="AC22" s="11">
        <f t="shared" si="6"/>
        <v>0</v>
      </c>
      <c r="AD22" s="115" t="e">
        <f t="shared" si="7"/>
        <v>#REF!</v>
      </c>
      <c r="AE22" s="115">
        <f t="shared" si="8"/>
        <v>0</v>
      </c>
      <c r="AF22" s="115">
        <f t="shared" si="9"/>
        <v>0</v>
      </c>
      <c r="AG22" s="11"/>
      <c r="AH22" s="115">
        <f t="shared" si="10"/>
        <v>30000</v>
      </c>
      <c r="AI22" s="115">
        <f t="shared" si="11"/>
        <v>0</v>
      </c>
      <c r="AJ22" s="115">
        <f t="shared" si="12"/>
        <v>0</v>
      </c>
      <c r="AL22" s="11" t="e">
        <f t="shared" si="13"/>
        <v>#REF!</v>
      </c>
      <c r="AM22" s="118" t="s">
        <v>57</v>
      </c>
    </row>
    <row r="23" spans="1:39">
      <c r="A23" s="116"/>
      <c r="B23" s="116" t="s">
        <v>49</v>
      </c>
      <c r="C23" s="122" t="s">
        <v>55</v>
      </c>
      <c r="D23" s="118" t="s">
        <v>58</v>
      </c>
      <c r="E23" s="98"/>
      <c r="F23" s="99" t="e">
        <f>VLOOKUP(D23,#REF!,19,FALSE)</f>
        <v>#REF!</v>
      </c>
      <c r="G23" s="100"/>
      <c r="H23" s="100"/>
      <c r="I23" s="101"/>
      <c r="J23" s="102" t="e">
        <f t="shared" si="0"/>
        <v>#REF!</v>
      </c>
      <c r="K23" s="103"/>
      <c r="L23" s="104"/>
      <c r="M23" s="105"/>
      <c r="N23" s="103">
        <v>0</v>
      </c>
      <c r="O23" s="106"/>
      <c r="P23" s="103">
        <v>0</v>
      </c>
      <c r="Q23" s="107">
        <f t="shared" si="1"/>
        <v>0</v>
      </c>
      <c r="R23" s="107"/>
      <c r="S23" s="107"/>
      <c r="T23" s="108">
        <v>0</v>
      </c>
      <c r="U23" s="119"/>
      <c r="V23" s="110">
        <f t="shared" si="2"/>
        <v>0</v>
      </c>
      <c r="W23" s="103"/>
      <c r="X23" s="112">
        <f t="shared" si="3"/>
        <v>0</v>
      </c>
      <c r="Y23" s="112">
        <f t="shared" si="4"/>
        <v>0</v>
      </c>
      <c r="Z23" s="113">
        <f t="shared" si="5"/>
        <v>0</v>
      </c>
      <c r="AA23" s="113">
        <v>0</v>
      </c>
      <c r="AB23" s="114">
        <v>0</v>
      </c>
      <c r="AC23" s="11">
        <f t="shared" si="6"/>
        <v>0</v>
      </c>
      <c r="AD23" s="115" t="e">
        <f t="shared" si="7"/>
        <v>#REF!</v>
      </c>
      <c r="AE23" s="115">
        <f t="shared" si="8"/>
        <v>0</v>
      </c>
      <c r="AF23" s="115">
        <f t="shared" si="9"/>
        <v>0</v>
      </c>
      <c r="AG23" s="11"/>
      <c r="AH23" s="115">
        <f t="shared" si="10"/>
        <v>0</v>
      </c>
      <c r="AI23" s="115">
        <f t="shared" si="11"/>
        <v>0</v>
      </c>
      <c r="AJ23" s="115">
        <f t="shared" si="12"/>
        <v>0</v>
      </c>
      <c r="AL23" s="11" t="e">
        <f t="shared" si="13"/>
        <v>#REF!</v>
      </c>
      <c r="AM23" s="118" t="s">
        <v>58</v>
      </c>
    </row>
    <row r="24" spans="1:39">
      <c r="A24" s="116"/>
      <c r="B24" s="116" t="s">
        <v>49</v>
      </c>
      <c r="C24" s="122"/>
      <c r="D24" s="118" t="s">
        <v>59</v>
      </c>
      <c r="E24" s="98"/>
      <c r="F24" s="99" t="e">
        <f>VLOOKUP(D24,#REF!,19,FALSE)</f>
        <v>#REF!</v>
      </c>
      <c r="G24" s="100"/>
      <c r="H24" s="100"/>
      <c r="I24" s="101"/>
      <c r="J24" s="102" t="e">
        <f t="shared" si="0"/>
        <v>#REF!</v>
      </c>
      <c r="K24" s="103"/>
      <c r="L24" s="104"/>
      <c r="M24" s="105"/>
      <c r="N24" s="103">
        <v>0</v>
      </c>
      <c r="O24" s="106"/>
      <c r="P24" s="103">
        <v>0</v>
      </c>
      <c r="Q24" s="107">
        <f t="shared" si="1"/>
        <v>0</v>
      </c>
      <c r="R24" s="107"/>
      <c r="S24" s="107"/>
      <c r="T24" s="108">
        <v>0</v>
      </c>
      <c r="U24" s="119"/>
      <c r="V24" s="110">
        <f t="shared" si="2"/>
        <v>0</v>
      </c>
      <c r="W24" s="103"/>
      <c r="X24" s="112">
        <f t="shared" si="3"/>
        <v>0</v>
      </c>
      <c r="Y24" s="112">
        <f t="shared" si="4"/>
        <v>0</v>
      </c>
      <c r="Z24" s="113">
        <f t="shared" si="5"/>
        <v>0</v>
      </c>
      <c r="AA24" s="113">
        <v>0</v>
      </c>
      <c r="AB24" s="114">
        <v>0</v>
      </c>
      <c r="AC24" s="11">
        <f t="shared" si="6"/>
        <v>0</v>
      </c>
      <c r="AD24" s="115" t="e">
        <f t="shared" si="7"/>
        <v>#REF!</v>
      </c>
      <c r="AE24" s="115">
        <f t="shared" si="8"/>
        <v>0</v>
      </c>
      <c r="AF24" s="115">
        <f t="shared" si="9"/>
        <v>0</v>
      </c>
      <c r="AG24" s="11"/>
      <c r="AH24" s="115">
        <f t="shared" si="10"/>
        <v>0</v>
      </c>
      <c r="AI24" s="115">
        <f t="shared" si="11"/>
        <v>0</v>
      </c>
      <c r="AJ24" s="115">
        <f t="shared" si="12"/>
        <v>0</v>
      </c>
      <c r="AL24" s="11" t="e">
        <f t="shared" si="13"/>
        <v>#REF!</v>
      </c>
      <c r="AM24" s="118" t="s">
        <v>59</v>
      </c>
    </row>
    <row r="25" spans="1:39" s="124" customFormat="1">
      <c r="A25" s="123" t="s">
        <v>60</v>
      </c>
      <c r="B25" s="123" t="s">
        <v>46</v>
      </c>
      <c r="C25" s="122" t="s">
        <v>61</v>
      </c>
      <c r="D25" s="118" t="s">
        <v>62</v>
      </c>
      <c r="E25" s="98">
        <f>12040.87-28869.68</f>
        <v>-16828.809999999998</v>
      </c>
      <c r="F25" s="99" t="e">
        <f>VLOOKUP(D25,#REF!,19,FALSE)</f>
        <v>#REF!</v>
      </c>
      <c r="G25" s="100"/>
      <c r="H25" s="100"/>
      <c r="I25" s="101"/>
      <c r="J25" s="102" t="e">
        <f t="shared" si="0"/>
        <v>#REF!</v>
      </c>
      <c r="K25" s="103"/>
      <c r="L25" s="104"/>
      <c r="M25" s="105">
        <v>50000</v>
      </c>
      <c r="N25" s="103">
        <v>0</v>
      </c>
      <c r="O25" s="106"/>
      <c r="P25" s="103">
        <v>0</v>
      </c>
      <c r="Q25" s="107">
        <f t="shared" si="1"/>
        <v>50000</v>
      </c>
      <c r="R25" s="107"/>
      <c r="S25" s="107"/>
      <c r="T25" s="108">
        <v>0</v>
      </c>
      <c r="U25" s="119"/>
      <c r="V25" s="110">
        <f t="shared" si="2"/>
        <v>-50000</v>
      </c>
      <c r="W25" s="103"/>
      <c r="X25" s="112">
        <f t="shared" si="3"/>
        <v>0</v>
      </c>
      <c r="Y25" s="112">
        <f t="shared" si="4"/>
        <v>50000</v>
      </c>
      <c r="Z25" s="113">
        <f t="shared" si="5"/>
        <v>0</v>
      </c>
      <c r="AA25" s="113">
        <v>0</v>
      </c>
      <c r="AB25" s="114">
        <v>0</v>
      </c>
      <c r="AC25" s="11">
        <f t="shared" si="6"/>
        <v>0</v>
      </c>
      <c r="AD25" s="115">
        <f t="shared" si="7"/>
        <v>0</v>
      </c>
      <c r="AE25" s="115" t="e">
        <f t="shared" si="8"/>
        <v>#REF!</v>
      </c>
      <c r="AF25" s="115">
        <f t="shared" si="9"/>
        <v>0</v>
      </c>
      <c r="AG25" s="11"/>
      <c r="AH25" s="115">
        <f t="shared" si="10"/>
        <v>0</v>
      </c>
      <c r="AI25" s="115">
        <f t="shared" si="11"/>
        <v>50000</v>
      </c>
      <c r="AJ25" s="115">
        <f t="shared" si="12"/>
        <v>0</v>
      </c>
      <c r="AL25" s="11" t="e">
        <f t="shared" si="13"/>
        <v>#REF!</v>
      </c>
      <c r="AM25" s="118" t="s">
        <v>62</v>
      </c>
    </row>
    <row r="26" spans="1:39">
      <c r="A26" s="116"/>
      <c r="B26" s="116" t="s">
        <v>49</v>
      </c>
      <c r="C26" s="122"/>
      <c r="D26" s="120" t="s">
        <v>63</v>
      </c>
      <c r="E26" s="98"/>
      <c r="F26" s="99" t="e">
        <f>VLOOKUP(D26,#REF!,19,FALSE)</f>
        <v>#REF!</v>
      </c>
      <c r="G26" s="100"/>
      <c r="H26" s="100"/>
      <c r="I26" s="125">
        <v>505.15</v>
      </c>
      <c r="J26" s="102" t="e">
        <f t="shared" si="0"/>
        <v>#REF!</v>
      </c>
      <c r="K26" s="103"/>
      <c r="L26" s="104"/>
      <c r="M26" s="105"/>
      <c r="N26" s="103">
        <v>0</v>
      </c>
      <c r="O26" s="106"/>
      <c r="P26" s="103">
        <v>0</v>
      </c>
      <c r="Q26" s="107">
        <f t="shared" si="1"/>
        <v>0</v>
      </c>
      <c r="R26" s="107"/>
      <c r="S26" s="107"/>
      <c r="T26" s="108">
        <v>0</v>
      </c>
      <c r="U26" s="119"/>
      <c r="V26" s="110">
        <f t="shared" si="2"/>
        <v>0</v>
      </c>
      <c r="W26" s="103"/>
      <c r="X26" s="112">
        <f t="shared" si="3"/>
        <v>0</v>
      </c>
      <c r="Y26" s="112">
        <f t="shared" si="4"/>
        <v>0</v>
      </c>
      <c r="Z26" s="113">
        <f t="shared" si="5"/>
        <v>0</v>
      </c>
      <c r="AA26" s="113">
        <v>0</v>
      </c>
      <c r="AB26" s="114">
        <v>0</v>
      </c>
      <c r="AC26" s="11">
        <f t="shared" si="6"/>
        <v>0</v>
      </c>
      <c r="AD26" s="115" t="e">
        <f t="shared" si="7"/>
        <v>#REF!</v>
      </c>
      <c r="AE26" s="115">
        <f t="shared" si="8"/>
        <v>0</v>
      </c>
      <c r="AF26" s="115">
        <f t="shared" si="9"/>
        <v>0</v>
      </c>
      <c r="AG26" s="11"/>
      <c r="AH26" s="115">
        <f t="shared" si="10"/>
        <v>0</v>
      </c>
      <c r="AI26" s="115">
        <f t="shared" si="11"/>
        <v>0</v>
      </c>
      <c r="AJ26" s="115">
        <f t="shared" si="12"/>
        <v>0</v>
      </c>
      <c r="AL26" s="11" t="e">
        <f t="shared" si="13"/>
        <v>#REF!</v>
      </c>
      <c r="AM26" s="120" t="s">
        <v>63</v>
      </c>
    </row>
    <row r="27" spans="1:39">
      <c r="A27" s="116"/>
      <c r="B27" s="116" t="s">
        <v>49</v>
      </c>
      <c r="C27" s="122"/>
      <c r="D27" s="120" t="s">
        <v>64</v>
      </c>
      <c r="E27" s="98"/>
      <c r="F27" s="99" t="e">
        <f>VLOOKUP(D27,#REF!,19,FALSE)</f>
        <v>#REF!</v>
      </c>
      <c r="G27" s="100"/>
      <c r="H27" s="100"/>
      <c r="I27" s="101"/>
      <c r="J27" s="102" t="e">
        <f t="shared" si="0"/>
        <v>#REF!</v>
      </c>
      <c r="K27" s="103"/>
      <c r="L27" s="104"/>
      <c r="M27" s="105"/>
      <c r="N27" s="103">
        <v>0</v>
      </c>
      <c r="O27" s="106"/>
      <c r="P27" s="103">
        <v>0</v>
      </c>
      <c r="Q27" s="107">
        <f t="shared" si="1"/>
        <v>0</v>
      </c>
      <c r="R27" s="107"/>
      <c r="S27" s="107"/>
      <c r="T27" s="108">
        <v>0</v>
      </c>
      <c r="U27" s="119"/>
      <c r="V27" s="110">
        <f t="shared" si="2"/>
        <v>0</v>
      </c>
      <c r="W27" s="103"/>
      <c r="X27" s="112">
        <f t="shared" si="3"/>
        <v>0</v>
      </c>
      <c r="Y27" s="112">
        <f t="shared" si="4"/>
        <v>0</v>
      </c>
      <c r="Z27" s="113">
        <f t="shared" si="5"/>
        <v>0</v>
      </c>
      <c r="AA27" s="113">
        <v>0</v>
      </c>
      <c r="AB27" s="114">
        <v>0</v>
      </c>
      <c r="AC27" s="11">
        <f t="shared" si="6"/>
        <v>0</v>
      </c>
      <c r="AD27" s="115" t="e">
        <f t="shared" si="7"/>
        <v>#REF!</v>
      </c>
      <c r="AE27" s="115">
        <f t="shared" si="8"/>
        <v>0</v>
      </c>
      <c r="AF27" s="115">
        <f t="shared" si="9"/>
        <v>0</v>
      </c>
      <c r="AG27" s="11"/>
      <c r="AH27" s="115">
        <f t="shared" si="10"/>
        <v>0</v>
      </c>
      <c r="AI27" s="115">
        <f t="shared" si="11"/>
        <v>0</v>
      </c>
      <c r="AJ27" s="115">
        <f t="shared" si="12"/>
        <v>0</v>
      </c>
      <c r="AL27" s="11" t="e">
        <f t="shared" si="13"/>
        <v>#REF!</v>
      </c>
      <c r="AM27" s="120" t="s">
        <v>64</v>
      </c>
    </row>
    <row r="28" spans="1:39">
      <c r="A28" s="116"/>
      <c r="B28" s="116" t="s">
        <v>49</v>
      </c>
      <c r="C28" s="122"/>
      <c r="D28" s="120" t="s">
        <v>65</v>
      </c>
      <c r="E28" s="98"/>
      <c r="F28" s="99" t="e">
        <f>VLOOKUP(D28,#REF!,19,FALSE)</f>
        <v>#REF!</v>
      </c>
      <c r="G28" s="100"/>
      <c r="H28" s="100"/>
      <c r="I28" s="101"/>
      <c r="J28" s="102" t="e">
        <f t="shared" si="0"/>
        <v>#REF!</v>
      </c>
      <c r="K28" s="103"/>
      <c r="L28" s="104"/>
      <c r="M28" s="105"/>
      <c r="N28" s="103">
        <v>0</v>
      </c>
      <c r="O28" s="106"/>
      <c r="P28" s="103">
        <v>0</v>
      </c>
      <c r="Q28" s="107">
        <f t="shared" si="1"/>
        <v>0</v>
      </c>
      <c r="R28" s="107"/>
      <c r="S28" s="107"/>
      <c r="T28" s="108">
        <v>0</v>
      </c>
      <c r="U28" s="119"/>
      <c r="V28" s="110">
        <f t="shared" si="2"/>
        <v>0</v>
      </c>
      <c r="W28" s="103"/>
      <c r="X28" s="112">
        <f t="shared" si="3"/>
        <v>0</v>
      </c>
      <c r="Y28" s="112">
        <f t="shared" si="4"/>
        <v>0</v>
      </c>
      <c r="Z28" s="113">
        <f t="shared" si="5"/>
        <v>0</v>
      </c>
      <c r="AA28" s="113">
        <v>0</v>
      </c>
      <c r="AB28" s="114">
        <v>0</v>
      </c>
      <c r="AC28" s="11">
        <f t="shared" si="6"/>
        <v>0</v>
      </c>
      <c r="AD28" s="115" t="e">
        <f t="shared" si="7"/>
        <v>#REF!</v>
      </c>
      <c r="AE28" s="115">
        <f t="shared" si="8"/>
        <v>0</v>
      </c>
      <c r="AF28" s="115">
        <f t="shared" si="9"/>
        <v>0</v>
      </c>
      <c r="AG28" s="11"/>
      <c r="AH28" s="115">
        <f t="shared" si="10"/>
        <v>0</v>
      </c>
      <c r="AI28" s="115">
        <f t="shared" si="11"/>
        <v>0</v>
      </c>
      <c r="AJ28" s="115">
        <f t="shared" si="12"/>
        <v>0</v>
      </c>
      <c r="AL28" s="11" t="e">
        <f t="shared" si="13"/>
        <v>#REF!</v>
      </c>
      <c r="AM28" s="120" t="s">
        <v>65</v>
      </c>
    </row>
    <row r="29" spans="1:39">
      <c r="A29" s="116"/>
      <c r="B29" s="116" t="s">
        <v>46</v>
      </c>
      <c r="C29" s="122" t="s">
        <v>66</v>
      </c>
      <c r="D29" s="120" t="s">
        <v>67</v>
      </c>
      <c r="E29" s="98"/>
      <c r="F29" s="99" t="e">
        <f>VLOOKUP(D29,#REF!,19,FALSE)</f>
        <v>#REF!</v>
      </c>
      <c r="G29" s="100"/>
      <c r="H29" s="100"/>
      <c r="I29" s="101"/>
      <c r="J29" s="102" t="e">
        <f t="shared" si="0"/>
        <v>#REF!</v>
      </c>
      <c r="K29" s="103"/>
      <c r="L29" s="104"/>
      <c r="M29" s="105"/>
      <c r="N29" s="103">
        <v>0</v>
      </c>
      <c r="O29" s="106"/>
      <c r="P29" s="103">
        <v>0</v>
      </c>
      <c r="Q29" s="107">
        <f t="shared" si="1"/>
        <v>0</v>
      </c>
      <c r="R29" s="107"/>
      <c r="S29" s="107"/>
      <c r="T29" s="108">
        <f>1217.25+1260.6</f>
        <v>2477.85</v>
      </c>
      <c r="U29" s="119"/>
      <c r="V29" s="110">
        <f t="shared" si="2"/>
        <v>2477.85</v>
      </c>
      <c r="W29" s="111"/>
      <c r="X29" s="112">
        <f t="shared" si="3"/>
        <v>0</v>
      </c>
      <c r="Y29" s="112">
        <f t="shared" si="4"/>
        <v>0</v>
      </c>
      <c r="Z29" s="113">
        <f t="shared" si="5"/>
        <v>0</v>
      </c>
      <c r="AA29" s="113">
        <v>0</v>
      </c>
      <c r="AB29" s="114">
        <v>0</v>
      </c>
      <c r="AC29" s="11">
        <f t="shared" si="6"/>
        <v>0</v>
      </c>
      <c r="AD29" s="115">
        <f t="shared" si="7"/>
        <v>0</v>
      </c>
      <c r="AE29" s="115" t="e">
        <f t="shared" si="8"/>
        <v>#REF!</v>
      </c>
      <c r="AF29" s="115">
        <f t="shared" si="9"/>
        <v>0</v>
      </c>
      <c r="AG29" s="11"/>
      <c r="AH29" s="115">
        <f t="shared" si="10"/>
        <v>0</v>
      </c>
      <c r="AI29" s="115">
        <f t="shared" si="11"/>
        <v>0</v>
      </c>
      <c r="AJ29" s="115">
        <f t="shared" si="12"/>
        <v>0</v>
      </c>
      <c r="AL29" s="11" t="e">
        <f t="shared" si="13"/>
        <v>#REF!</v>
      </c>
      <c r="AM29" s="120" t="s">
        <v>67</v>
      </c>
    </row>
    <row r="30" spans="1:39" s="124" customFormat="1">
      <c r="A30" s="123"/>
      <c r="B30" s="123" t="s">
        <v>49</v>
      </c>
      <c r="C30" s="122" t="s">
        <v>68</v>
      </c>
      <c r="D30" s="118" t="s">
        <v>69</v>
      </c>
      <c r="E30" s="98"/>
      <c r="F30" s="99" t="e">
        <f>VLOOKUP(D30,#REF!,19,FALSE)</f>
        <v>#REF!</v>
      </c>
      <c r="G30" s="100"/>
      <c r="H30" s="100"/>
      <c r="I30" s="101"/>
      <c r="J30" s="102" t="e">
        <f t="shared" si="0"/>
        <v>#REF!</v>
      </c>
      <c r="K30" s="103"/>
      <c r="L30" s="104"/>
      <c r="M30" s="105">
        <v>1050000</v>
      </c>
      <c r="N30" s="103">
        <v>0</v>
      </c>
      <c r="O30" s="106"/>
      <c r="P30" s="103">
        <v>0</v>
      </c>
      <c r="Q30" s="107">
        <f t="shared" si="1"/>
        <v>1050000</v>
      </c>
      <c r="R30" s="107"/>
      <c r="S30" s="107"/>
      <c r="T30" s="108">
        <v>910753.31</v>
      </c>
      <c r="U30" s="119"/>
      <c r="V30" s="110">
        <f t="shared" si="2"/>
        <v>-139246.68999999994</v>
      </c>
      <c r="W30" s="103"/>
      <c r="X30" s="112">
        <f t="shared" si="3"/>
        <v>1050000</v>
      </c>
      <c r="Y30" s="112">
        <f t="shared" si="4"/>
        <v>0</v>
      </c>
      <c r="Z30" s="113">
        <f t="shared" si="5"/>
        <v>0</v>
      </c>
      <c r="AA30" s="113">
        <v>0</v>
      </c>
      <c r="AB30" s="114">
        <v>0</v>
      </c>
      <c r="AC30" s="11">
        <f t="shared" si="6"/>
        <v>0</v>
      </c>
      <c r="AD30" s="115" t="e">
        <f t="shared" si="7"/>
        <v>#REF!</v>
      </c>
      <c r="AE30" s="115">
        <f t="shared" si="8"/>
        <v>0</v>
      </c>
      <c r="AF30" s="115">
        <f t="shared" si="9"/>
        <v>0</v>
      </c>
      <c r="AG30" s="11"/>
      <c r="AH30" s="115">
        <f t="shared" si="10"/>
        <v>1050000</v>
      </c>
      <c r="AI30" s="115">
        <f t="shared" si="11"/>
        <v>0</v>
      </c>
      <c r="AJ30" s="115">
        <f t="shared" si="12"/>
        <v>0</v>
      </c>
      <c r="AL30" s="11" t="e">
        <f t="shared" si="13"/>
        <v>#REF!</v>
      </c>
      <c r="AM30" s="118" t="s">
        <v>69</v>
      </c>
    </row>
    <row r="31" spans="1:39" s="124" customFormat="1">
      <c r="A31" s="123"/>
      <c r="B31" s="123" t="s">
        <v>49</v>
      </c>
      <c r="C31" s="122" t="s">
        <v>70</v>
      </c>
      <c r="D31" s="118" t="s">
        <v>71</v>
      </c>
      <c r="E31" s="98"/>
      <c r="F31" s="99" t="e">
        <f>VLOOKUP(D31,#REF!,19,FALSE)</f>
        <v>#REF!</v>
      </c>
      <c r="G31" s="100"/>
      <c r="H31" s="100"/>
      <c r="I31" s="101"/>
      <c r="J31" s="102" t="e">
        <f t="shared" si="0"/>
        <v>#REF!</v>
      </c>
      <c r="K31" s="103"/>
      <c r="L31" s="104"/>
      <c r="M31" s="105">
        <v>185000</v>
      </c>
      <c r="N31" s="103">
        <v>0</v>
      </c>
      <c r="O31" s="106"/>
      <c r="P31" s="103">
        <v>0</v>
      </c>
      <c r="Q31" s="107">
        <f t="shared" si="1"/>
        <v>185000</v>
      </c>
      <c r="R31" s="107"/>
      <c r="S31" s="107"/>
      <c r="T31" s="108">
        <v>182385.6</v>
      </c>
      <c r="U31" s="119"/>
      <c r="V31" s="110">
        <f t="shared" si="2"/>
        <v>-2614.3999999999942</v>
      </c>
      <c r="W31" s="103"/>
      <c r="X31" s="112">
        <f t="shared" si="3"/>
        <v>185000</v>
      </c>
      <c r="Y31" s="112">
        <f t="shared" si="4"/>
        <v>0</v>
      </c>
      <c r="Z31" s="113">
        <f t="shared" si="5"/>
        <v>0</v>
      </c>
      <c r="AA31" s="113">
        <v>0</v>
      </c>
      <c r="AB31" s="114">
        <v>0</v>
      </c>
      <c r="AC31" s="11">
        <f t="shared" si="6"/>
        <v>0</v>
      </c>
      <c r="AD31" s="115" t="e">
        <f t="shared" si="7"/>
        <v>#REF!</v>
      </c>
      <c r="AE31" s="115">
        <f t="shared" si="8"/>
        <v>0</v>
      </c>
      <c r="AF31" s="115">
        <f t="shared" si="9"/>
        <v>0</v>
      </c>
      <c r="AG31" s="11"/>
      <c r="AH31" s="115">
        <f t="shared" si="10"/>
        <v>185000</v>
      </c>
      <c r="AI31" s="115">
        <f t="shared" si="11"/>
        <v>0</v>
      </c>
      <c r="AJ31" s="115">
        <f t="shared" si="12"/>
        <v>0</v>
      </c>
      <c r="AL31" s="11" t="e">
        <f t="shared" si="13"/>
        <v>#REF!</v>
      </c>
      <c r="AM31" s="118" t="s">
        <v>71</v>
      </c>
    </row>
    <row r="32" spans="1:39" s="124" customFormat="1">
      <c r="A32" s="123"/>
      <c r="B32" s="123" t="s">
        <v>49</v>
      </c>
      <c r="C32" s="122" t="s">
        <v>70</v>
      </c>
      <c r="D32" s="118" t="s">
        <v>72</v>
      </c>
      <c r="E32" s="98"/>
      <c r="F32" s="99" t="e">
        <f>VLOOKUP(D32,#REF!,19,FALSE)</f>
        <v>#REF!</v>
      </c>
      <c r="G32" s="100"/>
      <c r="H32" s="100"/>
      <c r="I32" s="101"/>
      <c r="J32" s="102" t="e">
        <f t="shared" si="0"/>
        <v>#REF!</v>
      </c>
      <c r="K32" s="103"/>
      <c r="L32" s="104"/>
      <c r="M32" s="105">
        <v>185000</v>
      </c>
      <c r="N32" s="103">
        <v>0</v>
      </c>
      <c r="O32" s="106"/>
      <c r="P32" s="103">
        <v>0</v>
      </c>
      <c r="Q32" s="107">
        <f t="shared" si="1"/>
        <v>185000</v>
      </c>
      <c r="R32" s="107"/>
      <c r="S32" s="107"/>
      <c r="T32" s="108">
        <v>165032.64000000001</v>
      </c>
      <c r="U32" s="119"/>
      <c r="V32" s="110">
        <f t="shared" si="2"/>
        <v>-19967.359999999986</v>
      </c>
      <c r="W32" s="103"/>
      <c r="X32" s="112">
        <f t="shared" si="3"/>
        <v>185000</v>
      </c>
      <c r="Y32" s="112">
        <f t="shared" si="4"/>
        <v>0</v>
      </c>
      <c r="Z32" s="113">
        <f t="shared" si="5"/>
        <v>0</v>
      </c>
      <c r="AA32" s="113">
        <v>0</v>
      </c>
      <c r="AB32" s="114">
        <v>0</v>
      </c>
      <c r="AC32" s="11">
        <f t="shared" si="6"/>
        <v>0</v>
      </c>
      <c r="AD32" s="115" t="e">
        <f t="shared" si="7"/>
        <v>#REF!</v>
      </c>
      <c r="AE32" s="115">
        <f t="shared" si="8"/>
        <v>0</v>
      </c>
      <c r="AF32" s="115">
        <f t="shared" si="9"/>
        <v>0</v>
      </c>
      <c r="AG32" s="11"/>
      <c r="AH32" s="115">
        <f t="shared" si="10"/>
        <v>185000</v>
      </c>
      <c r="AI32" s="115">
        <f t="shared" si="11"/>
        <v>0</v>
      </c>
      <c r="AJ32" s="115">
        <f t="shared" si="12"/>
        <v>0</v>
      </c>
      <c r="AL32" s="11" t="e">
        <f t="shared" si="13"/>
        <v>#REF!</v>
      </c>
      <c r="AM32" s="118" t="s">
        <v>72</v>
      </c>
    </row>
    <row r="33" spans="1:39" s="124" customFormat="1">
      <c r="A33" s="123"/>
      <c r="B33" s="123" t="s">
        <v>49</v>
      </c>
      <c r="C33" s="122" t="s">
        <v>70</v>
      </c>
      <c r="D33" s="118" t="s">
        <v>73</v>
      </c>
      <c r="E33" s="98"/>
      <c r="F33" s="99" t="e">
        <f>VLOOKUP(D33,#REF!,19,FALSE)</f>
        <v>#REF!</v>
      </c>
      <c r="G33" s="100"/>
      <c r="H33" s="100"/>
      <c r="I33" s="101"/>
      <c r="J33" s="102" t="e">
        <f t="shared" si="0"/>
        <v>#REF!</v>
      </c>
      <c r="K33" s="103"/>
      <c r="L33" s="104"/>
      <c r="M33" s="105">
        <v>30000</v>
      </c>
      <c r="N33" s="103">
        <v>0</v>
      </c>
      <c r="O33" s="106"/>
      <c r="P33" s="103">
        <v>0</v>
      </c>
      <c r="Q33" s="107">
        <f t="shared" si="1"/>
        <v>30000</v>
      </c>
      <c r="R33" s="107"/>
      <c r="S33" s="107"/>
      <c r="T33" s="108">
        <v>30506.37</v>
      </c>
      <c r="U33" s="119"/>
      <c r="V33" s="110">
        <f t="shared" si="2"/>
        <v>506.36999999999898</v>
      </c>
      <c r="W33" s="103"/>
      <c r="X33" s="112">
        <f t="shared" si="3"/>
        <v>30000</v>
      </c>
      <c r="Y33" s="112">
        <f t="shared" si="4"/>
        <v>0</v>
      </c>
      <c r="Z33" s="113">
        <f t="shared" si="5"/>
        <v>0</v>
      </c>
      <c r="AA33" s="113">
        <v>0</v>
      </c>
      <c r="AB33" s="114">
        <v>0</v>
      </c>
      <c r="AC33" s="11">
        <f t="shared" si="6"/>
        <v>0</v>
      </c>
      <c r="AD33" s="115" t="e">
        <f t="shared" si="7"/>
        <v>#REF!</v>
      </c>
      <c r="AE33" s="115">
        <f t="shared" si="8"/>
        <v>0</v>
      </c>
      <c r="AF33" s="115">
        <f t="shared" si="9"/>
        <v>0</v>
      </c>
      <c r="AG33" s="11"/>
      <c r="AH33" s="115">
        <f t="shared" si="10"/>
        <v>30000</v>
      </c>
      <c r="AI33" s="115">
        <f t="shared" si="11"/>
        <v>0</v>
      </c>
      <c r="AJ33" s="115">
        <f t="shared" si="12"/>
        <v>0</v>
      </c>
      <c r="AL33" s="11" t="e">
        <f t="shared" si="13"/>
        <v>#REF!</v>
      </c>
      <c r="AM33" s="118" t="s">
        <v>73</v>
      </c>
    </row>
    <row r="34" spans="1:39" s="124" customFormat="1">
      <c r="A34" s="123"/>
      <c r="B34" s="123" t="s">
        <v>49</v>
      </c>
      <c r="C34" s="122" t="s">
        <v>70</v>
      </c>
      <c r="D34" s="118" t="s">
        <v>74</v>
      </c>
      <c r="E34" s="98"/>
      <c r="F34" s="99" t="e">
        <f>VLOOKUP(D34,#REF!,19,FALSE)</f>
        <v>#REF!</v>
      </c>
      <c r="G34" s="100"/>
      <c r="H34" s="100"/>
      <c r="I34" s="101"/>
      <c r="J34" s="102" t="e">
        <f t="shared" si="0"/>
        <v>#REF!</v>
      </c>
      <c r="K34" s="103"/>
      <c r="L34" s="104"/>
      <c r="M34" s="105">
        <v>15000</v>
      </c>
      <c r="N34" s="103">
        <v>0</v>
      </c>
      <c r="O34" s="106"/>
      <c r="P34" s="103">
        <v>0</v>
      </c>
      <c r="Q34" s="107">
        <f t="shared" si="1"/>
        <v>15000</v>
      </c>
      <c r="R34" s="107"/>
      <c r="S34" s="107"/>
      <c r="T34" s="108">
        <v>14267.3</v>
      </c>
      <c r="U34" s="119"/>
      <c r="V34" s="110">
        <f t="shared" si="2"/>
        <v>-732.70000000000073</v>
      </c>
      <c r="W34" s="103"/>
      <c r="X34" s="112">
        <f t="shared" si="3"/>
        <v>15000</v>
      </c>
      <c r="Y34" s="112">
        <f t="shared" si="4"/>
        <v>0</v>
      </c>
      <c r="Z34" s="113">
        <f t="shared" si="5"/>
        <v>0</v>
      </c>
      <c r="AA34" s="113">
        <v>0</v>
      </c>
      <c r="AB34" s="114">
        <v>0</v>
      </c>
      <c r="AC34" s="11">
        <f t="shared" si="6"/>
        <v>0</v>
      </c>
      <c r="AD34" s="115" t="e">
        <f t="shared" si="7"/>
        <v>#REF!</v>
      </c>
      <c r="AE34" s="115">
        <f t="shared" si="8"/>
        <v>0</v>
      </c>
      <c r="AF34" s="115">
        <f t="shared" si="9"/>
        <v>0</v>
      </c>
      <c r="AG34" s="11"/>
      <c r="AH34" s="115">
        <f t="shared" si="10"/>
        <v>15000</v>
      </c>
      <c r="AI34" s="115">
        <f t="shared" si="11"/>
        <v>0</v>
      </c>
      <c r="AJ34" s="115">
        <f t="shared" si="12"/>
        <v>0</v>
      </c>
      <c r="AL34" s="11" t="e">
        <f t="shared" si="13"/>
        <v>#REF!</v>
      </c>
      <c r="AM34" s="118" t="s">
        <v>74</v>
      </c>
    </row>
    <row r="35" spans="1:39" s="124" customFormat="1">
      <c r="A35" s="123"/>
      <c r="B35" s="123" t="s">
        <v>49</v>
      </c>
      <c r="C35" s="122" t="s">
        <v>70</v>
      </c>
      <c r="D35" s="118" t="s">
        <v>75</v>
      </c>
      <c r="E35" s="98"/>
      <c r="F35" s="99" t="e">
        <f>VLOOKUP(D35,#REF!,19,FALSE)</f>
        <v>#REF!</v>
      </c>
      <c r="G35" s="100"/>
      <c r="H35" s="100"/>
      <c r="I35" s="101"/>
      <c r="J35" s="102" t="e">
        <f t="shared" si="0"/>
        <v>#REF!</v>
      </c>
      <c r="K35" s="103"/>
      <c r="L35" s="104"/>
      <c r="M35" s="105">
        <v>5000</v>
      </c>
      <c r="N35" s="103">
        <v>0</v>
      </c>
      <c r="O35" s="106"/>
      <c r="P35" s="103">
        <v>0</v>
      </c>
      <c r="Q35" s="107">
        <f t="shared" si="1"/>
        <v>5000</v>
      </c>
      <c r="R35" s="107"/>
      <c r="S35" s="107"/>
      <c r="T35" s="108">
        <v>4989.01</v>
      </c>
      <c r="U35" s="119"/>
      <c r="V35" s="110">
        <f t="shared" si="2"/>
        <v>-10.989999999999782</v>
      </c>
      <c r="W35" s="103"/>
      <c r="X35" s="112">
        <f t="shared" si="3"/>
        <v>5000</v>
      </c>
      <c r="Y35" s="112">
        <f t="shared" si="4"/>
        <v>0</v>
      </c>
      <c r="Z35" s="113">
        <f t="shared" si="5"/>
        <v>0</v>
      </c>
      <c r="AA35" s="113">
        <v>0</v>
      </c>
      <c r="AB35" s="114">
        <v>0</v>
      </c>
      <c r="AC35" s="11">
        <f t="shared" si="6"/>
        <v>0</v>
      </c>
      <c r="AD35" s="115" t="e">
        <f t="shared" si="7"/>
        <v>#REF!</v>
      </c>
      <c r="AE35" s="115">
        <f t="shared" si="8"/>
        <v>0</v>
      </c>
      <c r="AF35" s="115">
        <f t="shared" si="9"/>
        <v>0</v>
      </c>
      <c r="AG35" s="11"/>
      <c r="AH35" s="115">
        <f t="shared" si="10"/>
        <v>5000</v>
      </c>
      <c r="AI35" s="115">
        <f t="shared" si="11"/>
        <v>0</v>
      </c>
      <c r="AJ35" s="115">
        <f t="shared" si="12"/>
        <v>0</v>
      </c>
      <c r="AL35" s="11" t="e">
        <f t="shared" si="13"/>
        <v>#REF!</v>
      </c>
      <c r="AM35" s="118" t="s">
        <v>75</v>
      </c>
    </row>
    <row r="36" spans="1:39" s="124" customFormat="1">
      <c r="A36" s="123"/>
      <c r="B36" s="123" t="s">
        <v>49</v>
      </c>
      <c r="C36" s="122" t="s">
        <v>70</v>
      </c>
      <c r="D36" s="118" t="s">
        <v>76</v>
      </c>
      <c r="E36" s="98"/>
      <c r="F36" s="99" t="e">
        <f>VLOOKUP(D36,#REF!,19,FALSE)</f>
        <v>#REF!</v>
      </c>
      <c r="G36" s="100"/>
      <c r="H36" s="100"/>
      <c r="I36" s="101"/>
      <c r="J36" s="102" t="e">
        <f t="shared" si="0"/>
        <v>#REF!</v>
      </c>
      <c r="K36" s="103"/>
      <c r="L36" s="104"/>
      <c r="M36" s="105">
        <v>5000</v>
      </c>
      <c r="N36" s="103">
        <v>0</v>
      </c>
      <c r="O36" s="106"/>
      <c r="P36" s="103">
        <v>0</v>
      </c>
      <c r="Q36" s="107">
        <f t="shared" si="1"/>
        <v>5000</v>
      </c>
      <c r="R36" s="107"/>
      <c r="S36" s="107"/>
      <c r="T36" s="108">
        <v>6608.77</v>
      </c>
      <c r="U36" s="119"/>
      <c r="V36" s="110">
        <f t="shared" si="2"/>
        <v>1608.7700000000004</v>
      </c>
      <c r="W36" s="103"/>
      <c r="X36" s="112">
        <f t="shared" si="3"/>
        <v>5000</v>
      </c>
      <c r="Y36" s="112">
        <f t="shared" si="4"/>
        <v>0</v>
      </c>
      <c r="Z36" s="113">
        <f t="shared" si="5"/>
        <v>0</v>
      </c>
      <c r="AA36" s="113">
        <v>0</v>
      </c>
      <c r="AB36" s="114">
        <v>0</v>
      </c>
      <c r="AC36" s="11">
        <f t="shared" si="6"/>
        <v>0</v>
      </c>
      <c r="AD36" s="115" t="e">
        <f t="shared" si="7"/>
        <v>#REF!</v>
      </c>
      <c r="AE36" s="115">
        <f t="shared" si="8"/>
        <v>0</v>
      </c>
      <c r="AF36" s="115">
        <f t="shared" si="9"/>
        <v>0</v>
      </c>
      <c r="AG36" s="11"/>
      <c r="AH36" s="115">
        <f t="shared" si="10"/>
        <v>5000</v>
      </c>
      <c r="AI36" s="115">
        <f t="shared" si="11"/>
        <v>0</v>
      </c>
      <c r="AJ36" s="115">
        <f t="shared" si="12"/>
        <v>0</v>
      </c>
      <c r="AL36" s="11" t="e">
        <f t="shared" si="13"/>
        <v>#REF!</v>
      </c>
      <c r="AM36" s="118" t="s">
        <v>76</v>
      </c>
    </row>
    <row r="37" spans="1:39" s="124" customFormat="1">
      <c r="A37" s="123"/>
      <c r="B37" s="123" t="s">
        <v>49</v>
      </c>
      <c r="C37" s="122" t="s">
        <v>70</v>
      </c>
      <c r="D37" s="118" t="s">
        <v>77</v>
      </c>
      <c r="E37" s="98"/>
      <c r="F37" s="99" t="e">
        <f>VLOOKUP(D37,#REF!,19,FALSE)</f>
        <v>#REF!</v>
      </c>
      <c r="G37" s="100"/>
      <c r="H37" s="100"/>
      <c r="I37" s="101"/>
      <c r="J37" s="102" t="e">
        <f t="shared" si="0"/>
        <v>#REF!</v>
      </c>
      <c r="K37" s="103"/>
      <c r="L37" s="104"/>
      <c r="M37" s="105">
        <v>5000</v>
      </c>
      <c r="N37" s="103">
        <v>0</v>
      </c>
      <c r="O37" s="106"/>
      <c r="P37" s="103">
        <v>0</v>
      </c>
      <c r="Q37" s="107">
        <f t="shared" si="1"/>
        <v>5000</v>
      </c>
      <c r="R37" s="107"/>
      <c r="S37" s="107"/>
      <c r="T37" s="108">
        <v>4994.66</v>
      </c>
      <c r="U37" s="119"/>
      <c r="V37" s="110">
        <f t="shared" si="2"/>
        <v>-5.3400000000001455</v>
      </c>
      <c r="W37" s="103"/>
      <c r="X37" s="112">
        <f t="shared" si="3"/>
        <v>5000</v>
      </c>
      <c r="Y37" s="112">
        <f t="shared" si="4"/>
        <v>0</v>
      </c>
      <c r="Z37" s="113">
        <f t="shared" si="5"/>
        <v>0</v>
      </c>
      <c r="AA37" s="113">
        <v>0</v>
      </c>
      <c r="AB37" s="114">
        <v>0</v>
      </c>
      <c r="AC37" s="11">
        <f t="shared" si="6"/>
        <v>0</v>
      </c>
      <c r="AD37" s="115" t="e">
        <f t="shared" si="7"/>
        <v>#REF!</v>
      </c>
      <c r="AE37" s="115">
        <f t="shared" si="8"/>
        <v>0</v>
      </c>
      <c r="AF37" s="115">
        <f t="shared" si="9"/>
        <v>0</v>
      </c>
      <c r="AG37" s="11"/>
      <c r="AH37" s="115">
        <f t="shared" si="10"/>
        <v>5000</v>
      </c>
      <c r="AI37" s="115">
        <f t="shared" si="11"/>
        <v>0</v>
      </c>
      <c r="AJ37" s="115">
        <f t="shared" si="12"/>
        <v>0</v>
      </c>
      <c r="AL37" s="11" t="e">
        <f t="shared" si="13"/>
        <v>#REF!</v>
      </c>
      <c r="AM37" s="118" t="s">
        <v>77</v>
      </c>
    </row>
    <row r="38" spans="1:39" s="124" customFormat="1">
      <c r="A38" s="123"/>
      <c r="B38" s="123" t="s">
        <v>49</v>
      </c>
      <c r="C38" s="122" t="s">
        <v>70</v>
      </c>
      <c r="D38" s="118" t="s">
        <v>78</v>
      </c>
      <c r="E38" s="98"/>
      <c r="F38" s="99" t="e">
        <f>VLOOKUP(D38,#REF!,19,FALSE)</f>
        <v>#REF!</v>
      </c>
      <c r="G38" s="100"/>
      <c r="H38" s="100"/>
      <c r="I38" s="101"/>
      <c r="J38" s="102" t="e">
        <f t="shared" si="0"/>
        <v>#REF!</v>
      </c>
      <c r="K38" s="103"/>
      <c r="L38" s="104"/>
      <c r="M38" s="105">
        <v>30000</v>
      </c>
      <c r="N38" s="103">
        <v>0</v>
      </c>
      <c r="O38" s="106"/>
      <c r="P38" s="103">
        <v>0</v>
      </c>
      <c r="Q38" s="107">
        <f t="shared" si="1"/>
        <v>30000</v>
      </c>
      <c r="R38" s="107"/>
      <c r="S38" s="107"/>
      <c r="T38" s="108">
        <v>27886.42</v>
      </c>
      <c r="U38" s="119"/>
      <c r="V38" s="110">
        <f t="shared" si="2"/>
        <v>-2113.5800000000017</v>
      </c>
      <c r="W38" s="103"/>
      <c r="X38" s="112">
        <f t="shared" si="3"/>
        <v>30000</v>
      </c>
      <c r="Y38" s="112">
        <f t="shared" si="4"/>
        <v>0</v>
      </c>
      <c r="Z38" s="113">
        <f t="shared" si="5"/>
        <v>0</v>
      </c>
      <c r="AA38" s="113">
        <v>0</v>
      </c>
      <c r="AB38" s="114">
        <v>0</v>
      </c>
      <c r="AC38" s="11">
        <f t="shared" si="6"/>
        <v>0</v>
      </c>
      <c r="AD38" s="115" t="e">
        <f t="shared" si="7"/>
        <v>#REF!</v>
      </c>
      <c r="AE38" s="115">
        <f t="shared" si="8"/>
        <v>0</v>
      </c>
      <c r="AF38" s="115">
        <f t="shared" si="9"/>
        <v>0</v>
      </c>
      <c r="AG38" s="11"/>
      <c r="AH38" s="115">
        <f t="shared" si="10"/>
        <v>30000</v>
      </c>
      <c r="AI38" s="115">
        <f t="shared" si="11"/>
        <v>0</v>
      </c>
      <c r="AJ38" s="115">
        <f t="shared" si="12"/>
        <v>0</v>
      </c>
      <c r="AL38" s="11" t="e">
        <f t="shared" si="13"/>
        <v>#REF!</v>
      </c>
      <c r="AM38" s="118" t="s">
        <v>78</v>
      </c>
    </row>
    <row r="39" spans="1:39" s="124" customFormat="1">
      <c r="A39" s="123"/>
      <c r="B39" s="123" t="s">
        <v>49</v>
      </c>
      <c r="C39" s="122" t="s">
        <v>68</v>
      </c>
      <c r="D39" s="118" t="s">
        <v>79</v>
      </c>
      <c r="E39" s="98"/>
      <c r="F39" s="99" t="e">
        <f>VLOOKUP(D39,#REF!,19,FALSE)</f>
        <v>#REF!</v>
      </c>
      <c r="G39" s="100"/>
      <c r="H39" s="100"/>
      <c r="I39" s="125">
        <v>42147.69</v>
      </c>
      <c r="J39" s="102" t="e">
        <f t="shared" si="0"/>
        <v>#REF!</v>
      </c>
      <c r="K39" s="103"/>
      <c r="L39" s="104"/>
      <c r="M39" s="105"/>
      <c r="N39" s="103">
        <v>0</v>
      </c>
      <c r="O39" s="106"/>
      <c r="P39" s="103">
        <v>0</v>
      </c>
      <c r="Q39" s="107">
        <f t="shared" si="1"/>
        <v>0</v>
      </c>
      <c r="R39" s="107"/>
      <c r="S39" s="107"/>
      <c r="T39" s="108">
        <v>0</v>
      </c>
      <c r="U39" s="119"/>
      <c r="V39" s="110">
        <f t="shared" si="2"/>
        <v>0</v>
      </c>
      <c r="W39" s="103"/>
      <c r="X39" s="112">
        <f t="shared" si="3"/>
        <v>0</v>
      </c>
      <c r="Y39" s="112">
        <f t="shared" si="4"/>
        <v>0</v>
      </c>
      <c r="Z39" s="113">
        <f t="shared" si="5"/>
        <v>0</v>
      </c>
      <c r="AA39" s="113">
        <v>0</v>
      </c>
      <c r="AB39" s="114">
        <v>0</v>
      </c>
      <c r="AC39" s="11">
        <f t="shared" si="6"/>
        <v>0</v>
      </c>
      <c r="AD39" s="115" t="e">
        <f t="shared" si="7"/>
        <v>#REF!</v>
      </c>
      <c r="AE39" s="115">
        <f t="shared" si="8"/>
        <v>0</v>
      </c>
      <c r="AF39" s="115">
        <f t="shared" si="9"/>
        <v>0</v>
      </c>
      <c r="AG39" s="11"/>
      <c r="AH39" s="115">
        <f t="shared" si="10"/>
        <v>0</v>
      </c>
      <c r="AI39" s="115">
        <f t="shared" si="11"/>
        <v>0</v>
      </c>
      <c r="AJ39" s="115">
        <f t="shared" si="12"/>
        <v>0</v>
      </c>
      <c r="AL39" s="11" t="e">
        <f t="shared" si="13"/>
        <v>#REF!</v>
      </c>
      <c r="AM39" s="118" t="s">
        <v>79</v>
      </c>
    </row>
    <row r="40" spans="1:39" s="124" customFormat="1">
      <c r="A40" s="123"/>
      <c r="B40" s="123" t="s">
        <v>49</v>
      </c>
      <c r="C40" s="126" t="s">
        <v>70</v>
      </c>
      <c r="D40" s="118" t="s">
        <v>80</v>
      </c>
      <c r="E40" s="98"/>
      <c r="F40" s="99" t="e">
        <f>VLOOKUP(D40,#REF!,19,FALSE)</f>
        <v>#REF!</v>
      </c>
      <c r="G40" s="100"/>
      <c r="H40" s="100"/>
      <c r="I40" s="125">
        <v>5547.31</v>
      </c>
      <c r="J40" s="102" t="e">
        <f t="shared" si="0"/>
        <v>#REF!</v>
      </c>
      <c r="K40" s="103"/>
      <c r="L40" s="104"/>
      <c r="M40" s="105"/>
      <c r="N40" s="103">
        <v>0</v>
      </c>
      <c r="O40" s="106"/>
      <c r="P40" s="103">
        <v>0</v>
      </c>
      <c r="Q40" s="107">
        <f t="shared" si="1"/>
        <v>0</v>
      </c>
      <c r="R40" s="107"/>
      <c r="S40" s="107"/>
      <c r="T40" s="108">
        <v>0</v>
      </c>
      <c r="U40" s="119"/>
      <c r="V40" s="110">
        <f t="shared" si="2"/>
        <v>0</v>
      </c>
      <c r="W40" s="103"/>
      <c r="X40" s="112">
        <f t="shared" si="3"/>
        <v>0</v>
      </c>
      <c r="Y40" s="112">
        <f t="shared" si="4"/>
        <v>0</v>
      </c>
      <c r="Z40" s="113">
        <f t="shared" si="5"/>
        <v>0</v>
      </c>
      <c r="AA40" s="113">
        <v>0</v>
      </c>
      <c r="AB40" s="114">
        <v>0</v>
      </c>
      <c r="AC40" s="11">
        <f t="shared" si="6"/>
        <v>0</v>
      </c>
      <c r="AD40" s="115" t="e">
        <f t="shared" si="7"/>
        <v>#REF!</v>
      </c>
      <c r="AE40" s="115">
        <f t="shared" si="8"/>
        <v>0</v>
      </c>
      <c r="AF40" s="115">
        <f t="shared" si="9"/>
        <v>0</v>
      </c>
      <c r="AG40" s="11"/>
      <c r="AH40" s="115">
        <f t="shared" si="10"/>
        <v>0</v>
      </c>
      <c r="AI40" s="115">
        <f t="shared" si="11"/>
        <v>0</v>
      </c>
      <c r="AJ40" s="115">
        <f t="shared" si="12"/>
        <v>0</v>
      </c>
      <c r="AL40" s="11" t="e">
        <f t="shared" si="13"/>
        <v>#REF!</v>
      </c>
      <c r="AM40" s="118" t="s">
        <v>80</v>
      </c>
    </row>
    <row r="41" spans="1:39" s="124" customFormat="1">
      <c r="A41" s="127"/>
      <c r="B41" s="127" t="s">
        <v>81</v>
      </c>
      <c r="C41" s="128" t="s">
        <v>68</v>
      </c>
      <c r="D41" s="118" t="s">
        <v>82</v>
      </c>
      <c r="E41" s="98"/>
      <c r="F41" s="99" t="e">
        <f>VLOOKUP(D41,#REF!,19,FALSE)</f>
        <v>#REF!</v>
      </c>
      <c r="G41" s="100"/>
      <c r="H41" s="100"/>
      <c r="I41" s="101"/>
      <c r="J41" s="102" t="e">
        <f t="shared" si="0"/>
        <v>#REF!</v>
      </c>
      <c r="K41" s="103"/>
      <c r="L41" s="104"/>
      <c r="M41" s="105">
        <v>30000</v>
      </c>
      <c r="N41" s="103">
        <v>0</v>
      </c>
      <c r="O41" s="106"/>
      <c r="P41" s="103">
        <v>0</v>
      </c>
      <c r="Q41" s="107">
        <f t="shared" si="1"/>
        <v>30000</v>
      </c>
      <c r="R41" s="107"/>
      <c r="S41" s="107"/>
      <c r="T41" s="108">
        <v>15520</v>
      </c>
      <c r="U41" s="119"/>
      <c r="V41" s="110">
        <f t="shared" si="2"/>
        <v>-14480</v>
      </c>
      <c r="W41" s="103"/>
      <c r="X41" s="112">
        <f t="shared" si="3"/>
        <v>0</v>
      </c>
      <c r="Y41" s="112">
        <f t="shared" si="4"/>
        <v>0</v>
      </c>
      <c r="Z41" s="113">
        <f t="shared" si="5"/>
        <v>30000</v>
      </c>
      <c r="AA41" s="113">
        <v>0</v>
      </c>
      <c r="AB41" s="114">
        <v>0</v>
      </c>
      <c r="AC41" s="11">
        <f t="shared" si="6"/>
        <v>0</v>
      </c>
      <c r="AD41" s="115">
        <f t="shared" si="7"/>
        <v>0</v>
      </c>
      <c r="AE41" s="115">
        <f t="shared" si="8"/>
        <v>0</v>
      </c>
      <c r="AF41" s="115" t="e">
        <f t="shared" si="9"/>
        <v>#REF!</v>
      </c>
      <c r="AG41" s="11"/>
      <c r="AH41" s="115">
        <f t="shared" si="10"/>
        <v>0</v>
      </c>
      <c r="AI41" s="115">
        <f t="shared" si="11"/>
        <v>0</v>
      </c>
      <c r="AJ41" s="115">
        <f t="shared" si="12"/>
        <v>30000</v>
      </c>
      <c r="AL41" s="11" t="e">
        <f t="shared" si="13"/>
        <v>#REF!</v>
      </c>
      <c r="AM41" s="118" t="s">
        <v>83</v>
      </c>
    </row>
    <row r="42" spans="1:39" s="124" customFormat="1">
      <c r="A42" s="127"/>
      <c r="B42" s="127" t="s">
        <v>81</v>
      </c>
      <c r="C42" s="96" t="s">
        <v>84</v>
      </c>
      <c r="D42" s="118" t="s">
        <v>83</v>
      </c>
      <c r="E42" s="98"/>
      <c r="F42" s="99" t="e">
        <f>VLOOKUP(D42,#REF!,19,FALSE)</f>
        <v>#REF!</v>
      </c>
      <c r="G42" s="100"/>
      <c r="H42" s="100"/>
      <c r="I42" s="101"/>
      <c r="J42" s="102" t="e">
        <f t="shared" si="0"/>
        <v>#REF!</v>
      </c>
      <c r="K42" s="103"/>
      <c r="L42" s="104"/>
      <c r="M42" s="105">
        <v>30000</v>
      </c>
      <c r="N42" s="103">
        <v>0</v>
      </c>
      <c r="O42" s="106"/>
      <c r="P42" s="103">
        <v>0</v>
      </c>
      <c r="Q42" s="107">
        <f t="shared" si="1"/>
        <v>30000</v>
      </c>
      <c r="R42" s="107"/>
      <c r="S42" s="107"/>
      <c r="T42" s="108">
        <v>35436.19</v>
      </c>
      <c r="U42" s="119"/>
      <c r="V42" s="110">
        <f t="shared" si="2"/>
        <v>5436.1900000000023</v>
      </c>
      <c r="W42" s="103"/>
      <c r="X42" s="112">
        <f t="shared" si="3"/>
        <v>0</v>
      </c>
      <c r="Y42" s="112">
        <f t="shared" si="4"/>
        <v>0</v>
      </c>
      <c r="Z42" s="113">
        <f t="shared" si="5"/>
        <v>30000</v>
      </c>
      <c r="AA42" s="113">
        <v>0</v>
      </c>
      <c r="AB42" s="114">
        <v>0</v>
      </c>
      <c r="AC42" s="11">
        <f t="shared" si="6"/>
        <v>0</v>
      </c>
      <c r="AD42" s="115">
        <f t="shared" si="7"/>
        <v>0</v>
      </c>
      <c r="AE42" s="115">
        <f t="shared" si="8"/>
        <v>0</v>
      </c>
      <c r="AF42" s="115" t="e">
        <f t="shared" si="9"/>
        <v>#REF!</v>
      </c>
      <c r="AG42" s="11"/>
      <c r="AH42" s="115">
        <f t="shared" si="10"/>
        <v>0</v>
      </c>
      <c r="AI42" s="115">
        <f t="shared" si="11"/>
        <v>0</v>
      </c>
      <c r="AJ42" s="115">
        <f t="shared" si="12"/>
        <v>30000</v>
      </c>
      <c r="AL42" s="11" t="e">
        <f t="shared" si="13"/>
        <v>#REF!</v>
      </c>
      <c r="AM42" s="118" t="s">
        <v>83</v>
      </c>
    </row>
    <row r="43" spans="1:39" s="124" customFormat="1">
      <c r="A43" s="127"/>
      <c r="B43" s="127" t="s">
        <v>49</v>
      </c>
      <c r="C43" s="96"/>
      <c r="D43" s="118" t="s">
        <v>85</v>
      </c>
      <c r="E43" s="98"/>
      <c r="F43" s="99" t="e">
        <f>VLOOKUP(D43,#REF!,19,FALSE)</f>
        <v>#REF!</v>
      </c>
      <c r="G43" s="100"/>
      <c r="H43" s="100"/>
      <c r="I43" s="101"/>
      <c r="J43" s="102" t="e">
        <f t="shared" si="0"/>
        <v>#REF!</v>
      </c>
      <c r="K43" s="103"/>
      <c r="L43" s="104"/>
      <c r="M43" s="105">
        <v>15000</v>
      </c>
      <c r="N43" s="103">
        <v>0</v>
      </c>
      <c r="O43" s="106"/>
      <c r="P43" s="103">
        <v>0</v>
      </c>
      <c r="Q43" s="107">
        <f t="shared" si="1"/>
        <v>15000</v>
      </c>
      <c r="R43" s="107"/>
      <c r="S43" s="107"/>
      <c r="T43" s="108">
        <v>15763.13</v>
      </c>
      <c r="U43" s="119"/>
      <c r="V43" s="110">
        <f t="shared" si="2"/>
        <v>763.1299999999992</v>
      </c>
      <c r="W43" s="103"/>
      <c r="X43" s="112">
        <f t="shared" si="3"/>
        <v>15000</v>
      </c>
      <c r="Y43" s="112">
        <f t="shared" si="4"/>
        <v>0</v>
      </c>
      <c r="Z43" s="113">
        <f t="shared" si="5"/>
        <v>0</v>
      </c>
      <c r="AA43" s="113">
        <v>0</v>
      </c>
      <c r="AB43" s="114">
        <v>0</v>
      </c>
      <c r="AC43" s="11">
        <f t="shared" si="6"/>
        <v>0</v>
      </c>
      <c r="AD43" s="115" t="e">
        <f t="shared" si="7"/>
        <v>#REF!</v>
      </c>
      <c r="AE43" s="115">
        <f t="shared" si="8"/>
        <v>0</v>
      </c>
      <c r="AF43" s="115">
        <f t="shared" si="9"/>
        <v>0</v>
      </c>
      <c r="AG43" s="11"/>
      <c r="AH43" s="115">
        <f t="shared" si="10"/>
        <v>15000</v>
      </c>
      <c r="AI43" s="115">
        <f t="shared" si="11"/>
        <v>0</v>
      </c>
      <c r="AJ43" s="115">
        <f t="shared" si="12"/>
        <v>0</v>
      </c>
      <c r="AL43" s="11" t="e">
        <f t="shared" si="13"/>
        <v>#REF!</v>
      </c>
      <c r="AM43" s="118" t="s">
        <v>85</v>
      </c>
    </row>
    <row r="44" spans="1:39">
      <c r="A44" s="129"/>
      <c r="B44" s="129" t="s">
        <v>49</v>
      </c>
      <c r="C44" s="96"/>
      <c r="D44" s="120" t="s">
        <v>86</v>
      </c>
      <c r="E44" s="98">
        <v>14145.68</v>
      </c>
      <c r="F44" s="99" t="e">
        <f>VLOOKUP(D44,#REF!,19,FALSE)</f>
        <v>#REF!</v>
      </c>
      <c r="G44" s="100"/>
      <c r="H44" s="100"/>
      <c r="I44" s="101"/>
      <c r="J44" s="102" t="e">
        <f t="shared" si="0"/>
        <v>#REF!</v>
      </c>
      <c r="K44" s="103"/>
      <c r="L44" s="104"/>
      <c r="M44" s="105">
        <v>10000</v>
      </c>
      <c r="N44" s="103">
        <v>0</v>
      </c>
      <c r="O44" s="106"/>
      <c r="P44" s="103">
        <v>0</v>
      </c>
      <c r="Q44" s="107">
        <f t="shared" si="1"/>
        <v>10000</v>
      </c>
      <c r="R44" s="107"/>
      <c r="S44" s="107"/>
      <c r="T44" s="108">
        <v>0</v>
      </c>
      <c r="U44" s="119"/>
      <c r="V44" s="110">
        <f t="shared" si="2"/>
        <v>-10000</v>
      </c>
      <c r="W44" s="103"/>
      <c r="X44" s="112">
        <f t="shared" si="3"/>
        <v>10000</v>
      </c>
      <c r="Y44" s="112">
        <f t="shared" si="4"/>
        <v>0</v>
      </c>
      <c r="Z44" s="113">
        <f t="shared" si="5"/>
        <v>0</v>
      </c>
      <c r="AA44" s="113">
        <v>0</v>
      </c>
      <c r="AB44" s="114">
        <v>0</v>
      </c>
      <c r="AC44" s="11">
        <f t="shared" si="6"/>
        <v>0</v>
      </c>
      <c r="AD44" s="115" t="e">
        <f t="shared" si="7"/>
        <v>#REF!</v>
      </c>
      <c r="AE44" s="115">
        <f t="shared" si="8"/>
        <v>0</v>
      </c>
      <c r="AF44" s="115">
        <f t="shared" si="9"/>
        <v>0</v>
      </c>
      <c r="AG44" s="11"/>
      <c r="AH44" s="115">
        <f t="shared" si="10"/>
        <v>10000</v>
      </c>
      <c r="AI44" s="115">
        <f t="shared" si="11"/>
        <v>0</v>
      </c>
      <c r="AJ44" s="115">
        <f t="shared" si="12"/>
        <v>0</v>
      </c>
      <c r="AL44" s="11" t="e">
        <f t="shared" si="13"/>
        <v>#REF!</v>
      </c>
      <c r="AM44" s="120" t="s">
        <v>86</v>
      </c>
    </row>
    <row r="45" spans="1:39">
      <c r="A45" s="116"/>
      <c r="B45" s="116" t="s">
        <v>46</v>
      </c>
      <c r="C45" s="122"/>
      <c r="D45" s="120" t="s">
        <v>87</v>
      </c>
      <c r="E45" s="98"/>
      <c r="F45" s="99" t="e">
        <f>VLOOKUP(D45,#REF!,19,FALSE)</f>
        <v>#REF!</v>
      </c>
      <c r="G45" s="100"/>
      <c r="H45" s="100"/>
      <c r="I45" s="101"/>
      <c r="J45" s="102" t="e">
        <f t="shared" si="0"/>
        <v>#REF!</v>
      </c>
      <c r="K45" s="103"/>
      <c r="L45" s="104"/>
      <c r="M45" s="105"/>
      <c r="N45" s="103">
        <v>0</v>
      </c>
      <c r="O45" s="106"/>
      <c r="P45" s="103">
        <v>0</v>
      </c>
      <c r="Q45" s="107">
        <f t="shared" si="1"/>
        <v>0</v>
      </c>
      <c r="R45" s="107"/>
      <c r="S45" s="107"/>
      <c r="T45" s="108">
        <v>0</v>
      </c>
      <c r="U45" s="119"/>
      <c r="V45" s="110">
        <f t="shared" si="2"/>
        <v>0</v>
      </c>
      <c r="W45" s="103"/>
      <c r="X45" s="112">
        <f t="shared" si="3"/>
        <v>0</v>
      </c>
      <c r="Y45" s="112">
        <f t="shared" si="4"/>
        <v>0</v>
      </c>
      <c r="Z45" s="113">
        <f t="shared" si="5"/>
        <v>0</v>
      </c>
      <c r="AA45" s="113">
        <v>0</v>
      </c>
      <c r="AB45" s="114">
        <v>0</v>
      </c>
      <c r="AC45" s="11">
        <f t="shared" si="6"/>
        <v>0</v>
      </c>
      <c r="AD45" s="115">
        <f t="shared" si="7"/>
        <v>0</v>
      </c>
      <c r="AE45" s="115" t="e">
        <f t="shared" si="8"/>
        <v>#REF!</v>
      </c>
      <c r="AF45" s="115">
        <f t="shared" si="9"/>
        <v>0</v>
      </c>
      <c r="AG45" s="11"/>
      <c r="AH45" s="115">
        <f t="shared" si="10"/>
        <v>0</v>
      </c>
      <c r="AI45" s="115">
        <f t="shared" si="11"/>
        <v>0</v>
      </c>
      <c r="AJ45" s="115">
        <f t="shared" si="12"/>
        <v>0</v>
      </c>
      <c r="AL45" s="11" t="e">
        <f t="shared" si="13"/>
        <v>#REF!</v>
      </c>
      <c r="AM45" s="120" t="s">
        <v>87</v>
      </c>
    </row>
    <row r="46" spans="1:39">
      <c r="A46" s="116"/>
      <c r="B46" s="116" t="s">
        <v>49</v>
      </c>
      <c r="C46" s="122"/>
      <c r="D46" s="120" t="s">
        <v>88</v>
      </c>
      <c r="E46" s="98"/>
      <c r="F46" s="99" t="e">
        <f>VLOOKUP(D46,#REF!,19,FALSE)</f>
        <v>#REF!</v>
      </c>
      <c r="G46" s="100"/>
      <c r="H46" s="100"/>
      <c r="I46" s="101"/>
      <c r="J46" s="102" t="e">
        <f t="shared" si="0"/>
        <v>#REF!</v>
      </c>
      <c r="K46" s="103"/>
      <c r="L46" s="104"/>
      <c r="M46" s="105"/>
      <c r="N46" s="103">
        <v>0</v>
      </c>
      <c r="O46" s="106"/>
      <c r="P46" s="103">
        <v>0</v>
      </c>
      <c r="Q46" s="107">
        <f t="shared" si="1"/>
        <v>0</v>
      </c>
      <c r="R46" s="107"/>
      <c r="S46" s="107"/>
      <c r="T46" s="108">
        <v>0</v>
      </c>
      <c r="U46" s="119"/>
      <c r="V46" s="110">
        <f t="shared" si="2"/>
        <v>0</v>
      </c>
      <c r="W46" s="103"/>
      <c r="X46" s="112">
        <f t="shared" si="3"/>
        <v>0</v>
      </c>
      <c r="Y46" s="112">
        <f t="shared" si="4"/>
        <v>0</v>
      </c>
      <c r="Z46" s="113">
        <f t="shared" si="5"/>
        <v>0</v>
      </c>
      <c r="AA46" s="113">
        <v>0</v>
      </c>
      <c r="AB46" s="114">
        <v>0</v>
      </c>
      <c r="AC46" s="11">
        <f t="shared" si="6"/>
        <v>0</v>
      </c>
      <c r="AD46" s="115" t="e">
        <f t="shared" si="7"/>
        <v>#REF!</v>
      </c>
      <c r="AE46" s="115">
        <f t="shared" si="8"/>
        <v>0</v>
      </c>
      <c r="AF46" s="115">
        <f t="shared" si="9"/>
        <v>0</v>
      </c>
      <c r="AG46" s="11"/>
      <c r="AH46" s="115">
        <f t="shared" si="10"/>
        <v>0</v>
      </c>
      <c r="AI46" s="115">
        <f t="shared" si="11"/>
        <v>0</v>
      </c>
      <c r="AJ46" s="115">
        <f t="shared" si="12"/>
        <v>0</v>
      </c>
      <c r="AL46" s="11" t="e">
        <f t="shared" si="13"/>
        <v>#REF!</v>
      </c>
      <c r="AM46" s="120" t="s">
        <v>88</v>
      </c>
    </row>
    <row r="47" spans="1:39">
      <c r="A47" s="116"/>
      <c r="B47" s="116" t="s">
        <v>49</v>
      </c>
      <c r="C47" s="122"/>
      <c r="D47" s="120" t="s">
        <v>89</v>
      </c>
      <c r="E47" s="98"/>
      <c r="F47" s="99" t="e">
        <f>VLOOKUP(D47,#REF!,19,FALSE)</f>
        <v>#REF!</v>
      </c>
      <c r="G47" s="100"/>
      <c r="H47" s="100"/>
      <c r="I47" s="101"/>
      <c r="J47" s="102" t="e">
        <f t="shared" si="0"/>
        <v>#REF!</v>
      </c>
      <c r="K47" s="103"/>
      <c r="L47" s="104"/>
      <c r="M47" s="105">
        <v>85000</v>
      </c>
      <c r="N47" s="103">
        <v>0</v>
      </c>
      <c r="O47" s="106"/>
      <c r="P47" s="103">
        <v>0</v>
      </c>
      <c r="Q47" s="107">
        <f t="shared" si="1"/>
        <v>85000</v>
      </c>
      <c r="R47" s="107"/>
      <c r="S47" s="107"/>
      <c r="T47" s="108">
        <v>96118.68</v>
      </c>
      <c r="U47" s="119"/>
      <c r="V47" s="110">
        <f t="shared" si="2"/>
        <v>11118.679999999993</v>
      </c>
      <c r="W47" s="103"/>
      <c r="X47" s="112">
        <f t="shared" si="3"/>
        <v>85000</v>
      </c>
      <c r="Y47" s="112">
        <f t="shared" si="4"/>
        <v>0</v>
      </c>
      <c r="Z47" s="113">
        <f t="shared" si="5"/>
        <v>0</v>
      </c>
      <c r="AA47" s="113">
        <v>0</v>
      </c>
      <c r="AB47" s="114">
        <v>0</v>
      </c>
      <c r="AC47" s="11">
        <f t="shared" si="6"/>
        <v>0</v>
      </c>
      <c r="AD47" s="115" t="e">
        <f t="shared" si="7"/>
        <v>#REF!</v>
      </c>
      <c r="AE47" s="115">
        <f t="shared" si="8"/>
        <v>0</v>
      </c>
      <c r="AF47" s="115">
        <f t="shared" si="9"/>
        <v>0</v>
      </c>
      <c r="AG47" s="11"/>
      <c r="AH47" s="115">
        <f t="shared" si="10"/>
        <v>85000</v>
      </c>
      <c r="AI47" s="115">
        <f t="shared" si="11"/>
        <v>0</v>
      </c>
      <c r="AJ47" s="115">
        <f t="shared" si="12"/>
        <v>0</v>
      </c>
      <c r="AL47" s="11" t="e">
        <f t="shared" si="13"/>
        <v>#REF!</v>
      </c>
      <c r="AM47" s="120" t="s">
        <v>89</v>
      </c>
    </row>
    <row r="48" spans="1:39">
      <c r="A48" s="116"/>
      <c r="B48" s="116" t="s">
        <v>46</v>
      </c>
      <c r="C48" s="122"/>
      <c r="D48" s="120" t="s">
        <v>90</v>
      </c>
      <c r="E48" s="98"/>
      <c r="F48" s="99" t="e">
        <f>VLOOKUP(D48,#REF!,19,FALSE)</f>
        <v>#REF!</v>
      </c>
      <c r="G48" s="100"/>
      <c r="H48" s="100"/>
      <c r="I48" s="125">
        <v>4040.13</v>
      </c>
      <c r="J48" s="102" t="e">
        <f t="shared" si="0"/>
        <v>#REF!</v>
      </c>
      <c r="K48" s="103"/>
      <c r="L48" s="104"/>
      <c r="M48" s="105"/>
      <c r="N48" s="103">
        <v>0</v>
      </c>
      <c r="O48" s="106"/>
      <c r="P48" s="103">
        <v>0</v>
      </c>
      <c r="Q48" s="107">
        <f t="shared" si="1"/>
        <v>0</v>
      </c>
      <c r="R48" s="107"/>
      <c r="S48" s="107"/>
      <c r="T48" s="108">
        <v>0</v>
      </c>
      <c r="U48" s="119"/>
      <c r="V48" s="110">
        <f t="shared" si="2"/>
        <v>0</v>
      </c>
      <c r="W48" s="103"/>
      <c r="X48" s="112">
        <f t="shared" si="3"/>
        <v>0</v>
      </c>
      <c r="Y48" s="112">
        <f t="shared" si="4"/>
        <v>0</v>
      </c>
      <c r="Z48" s="113">
        <f t="shared" si="5"/>
        <v>0</v>
      </c>
      <c r="AA48" s="113">
        <v>0</v>
      </c>
      <c r="AB48" s="114">
        <v>0</v>
      </c>
      <c r="AC48" s="11">
        <f t="shared" si="6"/>
        <v>0</v>
      </c>
      <c r="AD48" s="115">
        <f t="shared" si="7"/>
        <v>0</v>
      </c>
      <c r="AE48" s="115" t="e">
        <f t="shared" si="8"/>
        <v>#REF!</v>
      </c>
      <c r="AF48" s="115">
        <f t="shared" si="9"/>
        <v>0</v>
      </c>
      <c r="AG48" s="11"/>
      <c r="AH48" s="115">
        <f t="shared" si="10"/>
        <v>0</v>
      </c>
      <c r="AI48" s="115">
        <f t="shared" si="11"/>
        <v>0</v>
      </c>
      <c r="AJ48" s="115">
        <f t="shared" si="12"/>
        <v>0</v>
      </c>
      <c r="AL48" s="11" t="e">
        <f t="shared" si="13"/>
        <v>#REF!</v>
      </c>
      <c r="AM48" s="120" t="s">
        <v>90</v>
      </c>
    </row>
    <row r="49" spans="1:39">
      <c r="A49" s="116"/>
      <c r="B49" s="116" t="s">
        <v>49</v>
      </c>
      <c r="C49" s="122" t="s">
        <v>91</v>
      </c>
      <c r="D49" s="120" t="s">
        <v>92</v>
      </c>
      <c r="E49" s="98"/>
      <c r="F49" s="99" t="e">
        <f>VLOOKUP(D49,#REF!,19,FALSE)</f>
        <v>#REF!</v>
      </c>
      <c r="G49" s="100"/>
      <c r="H49" s="100"/>
      <c r="I49" s="101"/>
      <c r="J49" s="102" t="e">
        <f t="shared" si="0"/>
        <v>#REF!</v>
      </c>
      <c r="K49" s="103"/>
      <c r="L49" s="104"/>
      <c r="M49" s="105"/>
      <c r="N49" s="103">
        <v>0</v>
      </c>
      <c r="O49" s="106"/>
      <c r="P49" s="103">
        <v>0</v>
      </c>
      <c r="Q49" s="107">
        <f t="shared" si="1"/>
        <v>0</v>
      </c>
      <c r="R49" s="107"/>
      <c r="S49" s="107"/>
      <c r="T49" s="108">
        <v>0</v>
      </c>
      <c r="U49" s="119"/>
      <c r="V49" s="110">
        <f t="shared" si="2"/>
        <v>0</v>
      </c>
      <c r="W49" s="103"/>
      <c r="X49" s="112">
        <f t="shared" si="3"/>
        <v>0</v>
      </c>
      <c r="Y49" s="112">
        <f t="shared" si="4"/>
        <v>0</v>
      </c>
      <c r="Z49" s="113">
        <f t="shared" si="5"/>
        <v>0</v>
      </c>
      <c r="AA49" s="113">
        <v>0</v>
      </c>
      <c r="AB49" s="114">
        <v>0</v>
      </c>
      <c r="AC49" s="11">
        <f t="shared" si="6"/>
        <v>0</v>
      </c>
      <c r="AD49" s="115" t="e">
        <f t="shared" si="7"/>
        <v>#REF!</v>
      </c>
      <c r="AE49" s="115">
        <f t="shared" si="8"/>
        <v>0</v>
      </c>
      <c r="AF49" s="115">
        <f t="shared" si="9"/>
        <v>0</v>
      </c>
      <c r="AG49" s="11"/>
      <c r="AH49" s="115">
        <f t="shared" si="10"/>
        <v>0</v>
      </c>
      <c r="AI49" s="115">
        <f t="shared" si="11"/>
        <v>0</v>
      </c>
      <c r="AJ49" s="115">
        <f t="shared" si="12"/>
        <v>0</v>
      </c>
      <c r="AL49" s="11" t="e">
        <f t="shared" si="13"/>
        <v>#REF!</v>
      </c>
      <c r="AM49" s="120" t="s">
        <v>92</v>
      </c>
    </row>
    <row r="50" spans="1:39" hidden="1">
      <c r="A50" s="116"/>
      <c r="B50" s="116" t="s">
        <v>49</v>
      </c>
      <c r="C50" s="122" t="s">
        <v>93</v>
      </c>
      <c r="D50" s="120" t="s">
        <v>94</v>
      </c>
      <c r="E50" s="98"/>
      <c r="F50" s="99" t="e">
        <f>VLOOKUP(D50,#REF!,19,FALSE)</f>
        <v>#REF!</v>
      </c>
      <c r="G50" s="100"/>
      <c r="H50" s="100"/>
      <c r="I50" s="101"/>
      <c r="J50" s="102" t="e">
        <f t="shared" si="0"/>
        <v>#REF!</v>
      </c>
      <c r="K50" s="103"/>
      <c r="L50" s="104"/>
      <c r="M50" s="105"/>
      <c r="N50" s="103">
        <v>0</v>
      </c>
      <c r="O50" s="106"/>
      <c r="P50" s="103">
        <v>0</v>
      </c>
      <c r="Q50" s="107">
        <f t="shared" si="1"/>
        <v>0</v>
      </c>
      <c r="R50" s="107"/>
      <c r="S50" s="107"/>
      <c r="T50" s="108">
        <v>0</v>
      </c>
      <c r="U50" s="119"/>
      <c r="V50" s="110">
        <f t="shared" si="2"/>
        <v>0</v>
      </c>
      <c r="W50" s="103"/>
      <c r="X50" s="112">
        <f t="shared" si="3"/>
        <v>0</v>
      </c>
      <c r="Y50" s="112">
        <f t="shared" si="4"/>
        <v>0</v>
      </c>
      <c r="Z50" s="113">
        <f t="shared" si="5"/>
        <v>0</v>
      </c>
      <c r="AA50" s="113">
        <v>0</v>
      </c>
      <c r="AB50" s="114">
        <v>0</v>
      </c>
      <c r="AC50" s="11">
        <f t="shared" si="6"/>
        <v>0</v>
      </c>
      <c r="AD50" s="115" t="e">
        <f t="shared" si="7"/>
        <v>#REF!</v>
      </c>
      <c r="AE50" s="115">
        <f t="shared" si="8"/>
        <v>0</v>
      </c>
      <c r="AF50" s="115">
        <f t="shared" si="9"/>
        <v>0</v>
      </c>
      <c r="AG50" s="11"/>
      <c r="AH50" s="115">
        <f t="shared" si="10"/>
        <v>0</v>
      </c>
      <c r="AI50" s="115">
        <f t="shared" si="11"/>
        <v>0</v>
      </c>
      <c r="AJ50" s="115">
        <f t="shared" si="12"/>
        <v>0</v>
      </c>
      <c r="AL50" s="11" t="e">
        <f t="shared" si="13"/>
        <v>#REF!</v>
      </c>
      <c r="AM50" s="120" t="s">
        <v>94</v>
      </c>
    </row>
    <row r="51" spans="1:39">
      <c r="A51" s="116" t="s">
        <v>60</v>
      </c>
      <c r="B51" s="116" t="s">
        <v>49</v>
      </c>
      <c r="C51" s="122" t="s">
        <v>95</v>
      </c>
      <c r="D51" s="120" t="s">
        <v>96</v>
      </c>
      <c r="E51" s="98">
        <v>93628.08</v>
      </c>
      <c r="F51" s="99" t="e">
        <f>VLOOKUP(D51,#REF!,19,FALSE)</f>
        <v>#REF!</v>
      </c>
      <c r="G51" s="100"/>
      <c r="H51" s="100"/>
      <c r="I51" s="101"/>
      <c r="J51" s="102" t="e">
        <f t="shared" si="0"/>
        <v>#REF!</v>
      </c>
      <c r="K51" s="103"/>
      <c r="L51" s="104"/>
      <c r="M51" s="105">
        <v>60000</v>
      </c>
      <c r="N51" s="103">
        <v>0</v>
      </c>
      <c r="O51" s="106"/>
      <c r="P51" s="103">
        <v>0</v>
      </c>
      <c r="Q51" s="107">
        <f t="shared" si="1"/>
        <v>60000</v>
      </c>
      <c r="R51" s="107"/>
      <c r="S51" s="107"/>
      <c r="T51" s="108">
        <v>0</v>
      </c>
      <c r="U51" s="119"/>
      <c r="V51" s="110">
        <f t="shared" si="2"/>
        <v>-60000</v>
      </c>
      <c r="W51" s="103"/>
      <c r="X51" s="112">
        <f t="shared" si="3"/>
        <v>60000</v>
      </c>
      <c r="Y51" s="112">
        <f t="shared" si="4"/>
        <v>0</v>
      </c>
      <c r="Z51" s="113">
        <f t="shared" si="5"/>
        <v>0</v>
      </c>
      <c r="AA51" s="113">
        <v>0</v>
      </c>
      <c r="AB51" s="114">
        <v>0</v>
      </c>
      <c r="AC51" s="11">
        <f t="shared" si="6"/>
        <v>0</v>
      </c>
      <c r="AD51" s="115" t="e">
        <f t="shared" si="7"/>
        <v>#REF!</v>
      </c>
      <c r="AE51" s="115">
        <f t="shared" si="8"/>
        <v>0</v>
      </c>
      <c r="AF51" s="115">
        <f t="shared" si="9"/>
        <v>0</v>
      </c>
      <c r="AG51" s="11"/>
      <c r="AH51" s="115">
        <f t="shared" si="10"/>
        <v>60000</v>
      </c>
      <c r="AI51" s="115">
        <f t="shared" si="11"/>
        <v>0</v>
      </c>
      <c r="AJ51" s="115">
        <f t="shared" si="12"/>
        <v>0</v>
      </c>
      <c r="AL51" s="11" t="e">
        <f t="shared" si="13"/>
        <v>#REF!</v>
      </c>
      <c r="AM51" s="120" t="s">
        <v>96</v>
      </c>
    </row>
    <row r="52" spans="1:39" s="14" customFormat="1">
      <c r="A52" s="130"/>
      <c r="B52" s="130" t="s">
        <v>46</v>
      </c>
      <c r="C52" s="122"/>
      <c r="D52" s="121" t="s">
        <v>97</v>
      </c>
      <c r="E52" s="131"/>
      <c r="F52" s="230" t="e">
        <f>VLOOKUP(D52,#REF!,19,FALSE)</f>
        <v>#REF!</v>
      </c>
      <c r="G52" s="100"/>
      <c r="H52" s="100"/>
      <c r="I52" s="101"/>
      <c r="J52" s="132" t="e">
        <f t="shared" si="0"/>
        <v>#REF!</v>
      </c>
      <c r="K52" s="133"/>
      <c r="L52" s="134"/>
      <c r="M52" s="135">
        <v>20000</v>
      </c>
      <c r="N52" s="133">
        <v>0</v>
      </c>
      <c r="O52" s="136"/>
      <c r="P52" s="133">
        <v>0</v>
      </c>
      <c r="Q52" s="137">
        <f t="shared" si="1"/>
        <v>20000</v>
      </c>
      <c r="R52" s="137"/>
      <c r="S52" s="137"/>
      <c r="T52" s="108">
        <v>3979.92</v>
      </c>
      <c r="U52" s="138"/>
      <c r="V52" s="110">
        <f t="shared" si="2"/>
        <v>-16020.08</v>
      </c>
      <c r="W52" s="133"/>
      <c r="X52" s="112">
        <f t="shared" si="3"/>
        <v>0</v>
      </c>
      <c r="Y52" s="112">
        <f t="shared" si="4"/>
        <v>20000</v>
      </c>
      <c r="Z52" s="113">
        <f t="shared" si="5"/>
        <v>0</v>
      </c>
      <c r="AA52" s="113">
        <v>0</v>
      </c>
      <c r="AB52" s="114">
        <v>0</v>
      </c>
      <c r="AC52" s="8">
        <f t="shared" si="6"/>
        <v>0</v>
      </c>
      <c r="AD52" s="115">
        <f t="shared" si="7"/>
        <v>0</v>
      </c>
      <c r="AE52" s="115" t="e">
        <f t="shared" si="8"/>
        <v>#REF!</v>
      </c>
      <c r="AF52" s="115">
        <f t="shared" si="9"/>
        <v>0</v>
      </c>
      <c r="AG52" s="8"/>
      <c r="AH52" s="115">
        <f t="shared" si="10"/>
        <v>0</v>
      </c>
      <c r="AI52" s="115">
        <f t="shared" si="11"/>
        <v>20000</v>
      </c>
      <c r="AJ52" s="115">
        <f t="shared" si="12"/>
        <v>0</v>
      </c>
      <c r="AL52" s="8" t="e">
        <f t="shared" si="13"/>
        <v>#REF!</v>
      </c>
      <c r="AM52" s="120" t="s">
        <v>98</v>
      </c>
    </row>
    <row r="53" spans="1:39" s="124" customFormat="1" hidden="1">
      <c r="A53" s="123"/>
      <c r="B53" s="123" t="s">
        <v>46</v>
      </c>
      <c r="C53" s="122" t="s">
        <v>99</v>
      </c>
      <c r="D53" s="118" t="s">
        <v>100</v>
      </c>
      <c r="E53" s="98"/>
      <c r="F53" s="99" t="e">
        <f>VLOOKUP(D53,#REF!,19,FALSE)</f>
        <v>#REF!</v>
      </c>
      <c r="G53" s="100"/>
      <c r="H53" s="100"/>
      <c r="I53" s="101"/>
      <c r="J53" s="102" t="e">
        <f t="shared" si="0"/>
        <v>#REF!</v>
      </c>
      <c r="K53" s="103"/>
      <c r="L53" s="104"/>
      <c r="M53" s="105"/>
      <c r="N53" s="103">
        <v>0</v>
      </c>
      <c r="O53" s="106"/>
      <c r="P53" s="103">
        <v>0</v>
      </c>
      <c r="Q53" s="107">
        <f t="shared" si="1"/>
        <v>0</v>
      </c>
      <c r="R53" s="107"/>
      <c r="S53" s="107"/>
      <c r="T53" s="108">
        <v>0</v>
      </c>
      <c r="U53" s="119"/>
      <c r="V53" s="110">
        <f t="shared" si="2"/>
        <v>0</v>
      </c>
      <c r="W53" s="103"/>
      <c r="X53" s="112">
        <f t="shared" si="3"/>
        <v>0</v>
      </c>
      <c r="Y53" s="112">
        <f t="shared" si="4"/>
        <v>0</v>
      </c>
      <c r="Z53" s="113">
        <f t="shared" si="5"/>
        <v>0</v>
      </c>
      <c r="AA53" s="113">
        <v>0</v>
      </c>
      <c r="AB53" s="114">
        <v>0</v>
      </c>
      <c r="AC53" s="11">
        <f t="shared" si="6"/>
        <v>0</v>
      </c>
      <c r="AD53" s="115">
        <f t="shared" si="7"/>
        <v>0</v>
      </c>
      <c r="AE53" s="115" t="e">
        <f t="shared" si="8"/>
        <v>#REF!</v>
      </c>
      <c r="AF53" s="115">
        <f t="shared" si="9"/>
        <v>0</v>
      </c>
      <c r="AG53" s="11"/>
      <c r="AH53" s="115">
        <f t="shared" si="10"/>
        <v>0</v>
      </c>
      <c r="AI53" s="115">
        <f t="shared" si="11"/>
        <v>0</v>
      </c>
      <c r="AJ53" s="115">
        <f t="shared" si="12"/>
        <v>0</v>
      </c>
      <c r="AL53" s="11" t="e">
        <f t="shared" si="13"/>
        <v>#REF!</v>
      </c>
      <c r="AM53" s="118" t="s">
        <v>100</v>
      </c>
    </row>
    <row r="54" spans="1:39" s="124" customFormat="1" hidden="1">
      <c r="A54" s="123"/>
      <c r="B54" s="123" t="s">
        <v>46</v>
      </c>
      <c r="C54" s="122" t="s">
        <v>99</v>
      </c>
      <c r="D54" s="118" t="s">
        <v>101</v>
      </c>
      <c r="E54" s="98"/>
      <c r="F54" s="99" t="e">
        <f>VLOOKUP(D54,#REF!,19,FALSE)</f>
        <v>#REF!</v>
      </c>
      <c r="G54" s="100"/>
      <c r="H54" s="100"/>
      <c r="I54" s="101"/>
      <c r="J54" s="102" t="e">
        <f t="shared" si="0"/>
        <v>#REF!</v>
      </c>
      <c r="K54" s="103"/>
      <c r="L54" s="104"/>
      <c r="M54" s="105"/>
      <c r="N54" s="103">
        <v>0</v>
      </c>
      <c r="O54" s="106"/>
      <c r="P54" s="103">
        <v>0</v>
      </c>
      <c r="Q54" s="107">
        <f t="shared" si="1"/>
        <v>0</v>
      </c>
      <c r="R54" s="107"/>
      <c r="S54" s="107"/>
      <c r="T54" s="108">
        <v>0</v>
      </c>
      <c r="U54" s="119"/>
      <c r="V54" s="110">
        <f t="shared" si="2"/>
        <v>0</v>
      </c>
      <c r="W54" s="103"/>
      <c r="X54" s="112">
        <f t="shared" si="3"/>
        <v>0</v>
      </c>
      <c r="Y54" s="112">
        <f t="shared" si="4"/>
        <v>0</v>
      </c>
      <c r="Z54" s="113">
        <f t="shared" si="5"/>
        <v>0</v>
      </c>
      <c r="AA54" s="113">
        <v>0</v>
      </c>
      <c r="AB54" s="114">
        <v>0</v>
      </c>
      <c r="AC54" s="11">
        <f t="shared" si="6"/>
        <v>0</v>
      </c>
      <c r="AD54" s="115">
        <f t="shared" si="7"/>
        <v>0</v>
      </c>
      <c r="AE54" s="115" t="e">
        <f t="shared" si="8"/>
        <v>#REF!</v>
      </c>
      <c r="AF54" s="115">
        <f t="shared" si="9"/>
        <v>0</v>
      </c>
      <c r="AG54" s="11"/>
      <c r="AH54" s="115">
        <f t="shared" si="10"/>
        <v>0</v>
      </c>
      <c r="AI54" s="115">
        <f t="shared" si="11"/>
        <v>0</v>
      </c>
      <c r="AJ54" s="115">
        <f t="shared" si="12"/>
        <v>0</v>
      </c>
      <c r="AL54" s="11" t="e">
        <f t="shared" si="13"/>
        <v>#REF!</v>
      </c>
      <c r="AM54" s="118" t="s">
        <v>101</v>
      </c>
    </row>
    <row r="55" spans="1:39" s="124" customFormat="1" hidden="1">
      <c r="A55" s="123"/>
      <c r="B55" s="123" t="s">
        <v>46</v>
      </c>
      <c r="C55" s="122" t="s">
        <v>99</v>
      </c>
      <c r="D55" s="118" t="s">
        <v>102</v>
      </c>
      <c r="E55" s="98"/>
      <c r="F55" s="99" t="e">
        <f>VLOOKUP(D55,#REF!,19,FALSE)</f>
        <v>#REF!</v>
      </c>
      <c r="G55" s="100"/>
      <c r="H55" s="100"/>
      <c r="I55" s="101"/>
      <c r="J55" s="102" t="e">
        <f t="shared" si="0"/>
        <v>#REF!</v>
      </c>
      <c r="K55" s="103"/>
      <c r="L55" s="104"/>
      <c r="M55" s="105"/>
      <c r="N55" s="103">
        <v>0</v>
      </c>
      <c r="O55" s="106"/>
      <c r="P55" s="103">
        <v>0</v>
      </c>
      <c r="Q55" s="107">
        <f t="shared" si="1"/>
        <v>0</v>
      </c>
      <c r="R55" s="107"/>
      <c r="S55" s="107"/>
      <c r="T55" s="108">
        <v>0</v>
      </c>
      <c r="U55" s="119"/>
      <c r="V55" s="110">
        <f t="shared" si="2"/>
        <v>0</v>
      </c>
      <c r="W55" s="103"/>
      <c r="X55" s="112">
        <f t="shared" si="3"/>
        <v>0</v>
      </c>
      <c r="Y55" s="112">
        <f t="shared" si="4"/>
        <v>0</v>
      </c>
      <c r="Z55" s="113">
        <f t="shared" si="5"/>
        <v>0</v>
      </c>
      <c r="AA55" s="113">
        <v>0</v>
      </c>
      <c r="AB55" s="114">
        <v>0</v>
      </c>
      <c r="AC55" s="11">
        <f t="shared" si="6"/>
        <v>0</v>
      </c>
      <c r="AD55" s="115">
        <f t="shared" si="7"/>
        <v>0</v>
      </c>
      <c r="AE55" s="115" t="e">
        <f t="shared" si="8"/>
        <v>#REF!</v>
      </c>
      <c r="AF55" s="115">
        <f t="shared" si="9"/>
        <v>0</v>
      </c>
      <c r="AG55" s="11"/>
      <c r="AH55" s="115">
        <f t="shared" si="10"/>
        <v>0</v>
      </c>
      <c r="AI55" s="115">
        <f t="shared" si="11"/>
        <v>0</v>
      </c>
      <c r="AJ55" s="115">
        <f t="shared" si="12"/>
        <v>0</v>
      </c>
      <c r="AL55" s="11" t="e">
        <f t="shared" si="13"/>
        <v>#REF!</v>
      </c>
      <c r="AM55" s="118" t="s">
        <v>102</v>
      </c>
    </row>
    <row r="56" spans="1:39">
      <c r="A56" s="116"/>
      <c r="B56" s="116" t="s">
        <v>49</v>
      </c>
      <c r="C56" s="122"/>
      <c r="D56" s="120" t="s">
        <v>103</v>
      </c>
      <c r="E56" s="98"/>
      <c r="F56" s="99" t="e">
        <f>VLOOKUP(D56,#REF!,19,FALSE)</f>
        <v>#REF!</v>
      </c>
      <c r="G56" s="100"/>
      <c r="H56" s="100"/>
      <c r="I56" s="101"/>
      <c r="J56" s="102" t="e">
        <f t="shared" si="0"/>
        <v>#REF!</v>
      </c>
      <c r="K56" s="103"/>
      <c r="L56" s="104"/>
      <c r="M56" s="105"/>
      <c r="N56" s="103">
        <v>0</v>
      </c>
      <c r="O56" s="106"/>
      <c r="P56" s="103">
        <v>0</v>
      </c>
      <c r="Q56" s="107">
        <f t="shared" si="1"/>
        <v>0</v>
      </c>
      <c r="R56" s="107"/>
      <c r="S56" s="107"/>
      <c r="T56" s="108">
        <v>0</v>
      </c>
      <c r="U56" s="119"/>
      <c r="V56" s="110">
        <f t="shared" si="2"/>
        <v>0</v>
      </c>
      <c r="W56" s="103"/>
      <c r="X56" s="112">
        <f t="shared" si="3"/>
        <v>0</v>
      </c>
      <c r="Y56" s="112">
        <f t="shared" si="4"/>
        <v>0</v>
      </c>
      <c r="Z56" s="113">
        <f t="shared" si="5"/>
        <v>0</v>
      </c>
      <c r="AA56" s="113">
        <v>0</v>
      </c>
      <c r="AB56" s="114">
        <v>0</v>
      </c>
      <c r="AC56" s="11">
        <f t="shared" si="6"/>
        <v>0</v>
      </c>
      <c r="AD56" s="115" t="e">
        <f t="shared" si="7"/>
        <v>#REF!</v>
      </c>
      <c r="AE56" s="115">
        <f t="shared" si="8"/>
        <v>0</v>
      </c>
      <c r="AF56" s="115">
        <f t="shared" si="9"/>
        <v>0</v>
      </c>
      <c r="AG56" s="11"/>
      <c r="AH56" s="115">
        <f t="shared" si="10"/>
        <v>0</v>
      </c>
      <c r="AI56" s="115">
        <f t="shared" si="11"/>
        <v>0</v>
      </c>
      <c r="AJ56" s="115">
        <f t="shared" si="12"/>
        <v>0</v>
      </c>
      <c r="AL56" s="11" t="e">
        <f t="shared" si="13"/>
        <v>#REF!</v>
      </c>
      <c r="AM56" s="120" t="s">
        <v>103</v>
      </c>
    </row>
    <row r="57" spans="1:39" s="124" customFormat="1">
      <c r="A57" s="123"/>
      <c r="B57" s="123" t="s">
        <v>49</v>
      </c>
      <c r="C57" s="126" t="s">
        <v>104</v>
      </c>
      <c r="D57" s="120" t="s">
        <v>105</v>
      </c>
      <c r="E57" s="98"/>
      <c r="F57" s="99" t="e">
        <f>VLOOKUP(D57,#REF!,19,FALSE)</f>
        <v>#REF!</v>
      </c>
      <c r="G57" s="100"/>
      <c r="H57" s="100"/>
      <c r="I57" s="101"/>
      <c r="J57" s="102" t="e">
        <f t="shared" si="0"/>
        <v>#REF!</v>
      </c>
      <c r="K57" s="103"/>
      <c r="L57" s="104"/>
      <c r="M57" s="105"/>
      <c r="N57" s="103">
        <v>0</v>
      </c>
      <c r="O57" s="106"/>
      <c r="P57" s="103">
        <v>0</v>
      </c>
      <c r="Q57" s="107">
        <f t="shared" si="1"/>
        <v>0</v>
      </c>
      <c r="R57" s="107"/>
      <c r="S57" s="107"/>
      <c r="T57" s="108">
        <v>4158.1400000000003</v>
      </c>
      <c r="U57" s="119"/>
      <c r="V57" s="110">
        <f t="shared" si="2"/>
        <v>4158.1400000000003</v>
      </c>
      <c r="W57" s="103"/>
      <c r="X57" s="112">
        <f t="shared" si="3"/>
        <v>0</v>
      </c>
      <c r="Y57" s="112">
        <f t="shared" si="4"/>
        <v>0</v>
      </c>
      <c r="Z57" s="113">
        <f t="shared" si="5"/>
        <v>0</v>
      </c>
      <c r="AA57" s="113">
        <v>0</v>
      </c>
      <c r="AB57" s="114">
        <v>0</v>
      </c>
      <c r="AC57" s="11">
        <f t="shared" si="6"/>
        <v>0</v>
      </c>
      <c r="AD57" s="115" t="e">
        <f t="shared" si="7"/>
        <v>#REF!</v>
      </c>
      <c r="AE57" s="115">
        <f t="shared" si="8"/>
        <v>0</v>
      </c>
      <c r="AF57" s="115">
        <f t="shared" si="9"/>
        <v>0</v>
      </c>
      <c r="AG57" s="11"/>
      <c r="AH57" s="115">
        <f t="shared" si="10"/>
        <v>0</v>
      </c>
      <c r="AI57" s="115">
        <f t="shared" si="11"/>
        <v>0</v>
      </c>
      <c r="AJ57" s="115">
        <f t="shared" si="12"/>
        <v>0</v>
      </c>
      <c r="AK57"/>
      <c r="AL57" s="11" t="e">
        <f t="shared" si="13"/>
        <v>#REF!</v>
      </c>
      <c r="AM57" s="120" t="s">
        <v>105</v>
      </c>
    </row>
    <row r="58" spans="1:39">
      <c r="A58" s="116" t="s">
        <v>60</v>
      </c>
      <c r="B58" s="116" t="s">
        <v>46</v>
      </c>
      <c r="C58" s="122" t="s">
        <v>106</v>
      </c>
      <c r="D58" s="120" t="s">
        <v>107</v>
      </c>
      <c r="E58" s="98">
        <v>8.3699999999999992</v>
      </c>
      <c r="F58" s="99" t="e">
        <f>VLOOKUP(D58,#REF!,19,FALSE)</f>
        <v>#REF!</v>
      </c>
      <c r="G58" s="100"/>
      <c r="H58" s="100"/>
      <c r="I58" s="101"/>
      <c r="J58" s="102" t="e">
        <f>SUM(E58:I58)</f>
        <v>#REF!</v>
      </c>
      <c r="K58" s="103"/>
      <c r="L58" s="104"/>
      <c r="M58" s="105"/>
      <c r="N58" s="103">
        <v>0</v>
      </c>
      <c r="O58" s="106"/>
      <c r="P58" s="103">
        <v>0</v>
      </c>
      <c r="Q58" s="107">
        <f t="shared" si="1"/>
        <v>0</v>
      </c>
      <c r="R58" s="107"/>
      <c r="S58" s="107"/>
      <c r="T58" s="108">
        <v>0</v>
      </c>
      <c r="U58" s="119"/>
      <c r="V58" s="110">
        <f t="shared" si="2"/>
        <v>0</v>
      </c>
      <c r="W58" s="103"/>
      <c r="X58" s="112">
        <f t="shared" si="3"/>
        <v>0</v>
      </c>
      <c r="Y58" s="112">
        <f t="shared" si="4"/>
        <v>0</v>
      </c>
      <c r="Z58" s="113">
        <f t="shared" si="5"/>
        <v>0</v>
      </c>
      <c r="AA58" s="113">
        <v>0</v>
      </c>
      <c r="AB58" s="114">
        <v>0</v>
      </c>
      <c r="AC58" s="11">
        <f t="shared" si="6"/>
        <v>0</v>
      </c>
      <c r="AD58" s="115">
        <f t="shared" si="7"/>
        <v>0</v>
      </c>
      <c r="AE58" s="115" t="e">
        <f t="shared" si="8"/>
        <v>#REF!</v>
      </c>
      <c r="AF58" s="115">
        <f t="shared" si="9"/>
        <v>0</v>
      </c>
      <c r="AG58" s="11"/>
      <c r="AH58" s="115">
        <f t="shared" si="10"/>
        <v>0</v>
      </c>
      <c r="AI58" s="115">
        <f t="shared" si="11"/>
        <v>0</v>
      </c>
      <c r="AJ58" s="115">
        <f t="shared" si="12"/>
        <v>0</v>
      </c>
      <c r="AL58" s="11" t="e">
        <f t="shared" si="13"/>
        <v>#REF!</v>
      </c>
      <c r="AM58" s="120" t="s">
        <v>107</v>
      </c>
    </row>
    <row r="59" spans="1:39">
      <c r="A59" s="116" t="s">
        <v>60</v>
      </c>
      <c r="B59" s="116" t="s">
        <v>49</v>
      </c>
      <c r="C59" s="122"/>
      <c r="D59" s="120" t="s">
        <v>108</v>
      </c>
      <c r="E59" s="98"/>
      <c r="F59" s="99" t="e">
        <f>VLOOKUP(D59,#REF!,19,FALSE)</f>
        <v>#REF!</v>
      </c>
      <c r="G59" s="100"/>
      <c r="H59" s="100"/>
      <c r="I59" s="125">
        <v>942.55</v>
      </c>
      <c r="J59" s="102" t="e">
        <f t="shared" si="0"/>
        <v>#REF!</v>
      </c>
      <c r="K59" s="103"/>
      <c r="L59" s="104"/>
      <c r="M59" s="105"/>
      <c r="N59" s="103">
        <v>0</v>
      </c>
      <c r="O59" s="106"/>
      <c r="P59" s="103">
        <v>0</v>
      </c>
      <c r="Q59" s="107">
        <f t="shared" si="1"/>
        <v>0</v>
      </c>
      <c r="R59" s="107"/>
      <c r="S59" s="107"/>
      <c r="T59" s="108">
        <v>0</v>
      </c>
      <c r="U59" s="119"/>
      <c r="V59" s="110">
        <f t="shared" si="2"/>
        <v>0</v>
      </c>
      <c r="W59" s="103"/>
      <c r="X59" s="112">
        <f t="shared" si="3"/>
        <v>0</v>
      </c>
      <c r="Y59" s="112">
        <f t="shared" si="4"/>
        <v>0</v>
      </c>
      <c r="Z59" s="113">
        <f t="shared" si="5"/>
        <v>0</v>
      </c>
      <c r="AA59" s="113">
        <v>0</v>
      </c>
      <c r="AB59" s="114">
        <v>0</v>
      </c>
      <c r="AC59" s="11">
        <f t="shared" si="6"/>
        <v>0</v>
      </c>
      <c r="AD59" s="115" t="e">
        <f t="shared" si="7"/>
        <v>#REF!</v>
      </c>
      <c r="AE59" s="115">
        <f t="shared" si="8"/>
        <v>0</v>
      </c>
      <c r="AF59" s="115">
        <f t="shared" si="9"/>
        <v>0</v>
      </c>
      <c r="AG59" s="11"/>
      <c r="AH59" s="115">
        <f t="shared" si="10"/>
        <v>0</v>
      </c>
      <c r="AI59" s="115">
        <f t="shared" si="11"/>
        <v>0</v>
      </c>
      <c r="AJ59" s="115">
        <f t="shared" si="12"/>
        <v>0</v>
      </c>
      <c r="AL59" s="11" t="e">
        <f t="shared" si="13"/>
        <v>#REF!</v>
      </c>
      <c r="AM59" s="120" t="s">
        <v>109</v>
      </c>
    </row>
    <row r="60" spans="1:39">
      <c r="A60" s="116"/>
      <c r="B60" s="116" t="s">
        <v>46</v>
      </c>
      <c r="C60" s="126" t="s">
        <v>110</v>
      </c>
      <c r="D60" s="120" t="s">
        <v>111</v>
      </c>
      <c r="E60" s="98">
        <f>7889.63+15040.23</f>
        <v>22929.86</v>
      </c>
      <c r="F60" s="99" t="e">
        <f>VLOOKUP(D60,#REF!,19,FALSE)</f>
        <v>#REF!</v>
      </c>
      <c r="G60" s="100"/>
      <c r="H60" s="100"/>
      <c r="I60" s="125">
        <v>711425.12</v>
      </c>
      <c r="J60" s="102" t="e">
        <f t="shared" si="0"/>
        <v>#REF!</v>
      </c>
      <c r="K60" s="103"/>
      <c r="L60" s="104"/>
      <c r="M60" s="105"/>
      <c r="N60" s="103">
        <v>0</v>
      </c>
      <c r="O60" s="106"/>
      <c r="P60" s="103">
        <v>0</v>
      </c>
      <c r="Q60" s="107">
        <f t="shared" si="1"/>
        <v>0</v>
      </c>
      <c r="R60" s="107"/>
      <c r="S60" s="107"/>
      <c r="T60" s="108">
        <v>0</v>
      </c>
      <c r="U60" s="119"/>
      <c r="V60" s="110">
        <f t="shared" si="2"/>
        <v>0</v>
      </c>
      <c r="W60" s="103"/>
      <c r="X60" s="112">
        <f t="shared" si="3"/>
        <v>0</v>
      </c>
      <c r="Y60" s="112">
        <f t="shared" si="4"/>
        <v>0</v>
      </c>
      <c r="Z60" s="113">
        <f t="shared" si="5"/>
        <v>0</v>
      </c>
      <c r="AA60" s="113">
        <v>0</v>
      </c>
      <c r="AB60" s="114">
        <v>0</v>
      </c>
      <c r="AC60" s="11">
        <f t="shared" si="6"/>
        <v>0</v>
      </c>
      <c r="AD60" s="115">
        <f t="shared" si="7"/>
        <v>0</v>
      </c>
      <c r="AE60" s="115" t="e">
        <f t="shared" si="8"/>
        <v>#REF!</v>
      </c>
      <c r="AF60" s="115">
        <f t="shared" si="9"/>
        <v>0</v>
      </c>
      <c r="AG60" s="11"/>
      <c r="AH60" s="115">
        <f t="shared" si="10"/>
        <v>0</v>
      </c>
      <c r="AI60" s="115">
        <f t="shared" si="11"/>
        <v>0</v>
      </c>
      <c r="AJ60" s="115">
        <f t="shared" si="12"/>
        <v>0</v>
      </c>
      <c r="AL60" s="11" t="e">
        <f t="shared" si="13"/>
        <v>#REF!</v>
      </c>
      <c r="AM60" s="120" t="s">
        <v>111</v>
      </c>
    </row>
    <row r="61" spans="1:39">
      <c r="A61" s="116"/>
      <c r="B61" s="116" t="s">
        <v>46</v>
      </c>
      <c r="C61" s="122"/>
      <c r="D61" s="120" t="s">
        <v>112</v>
      </c>
      <c r="E61" s="98"/>
      <c r="F61" s="99" t="e">
        <f>VLOOKUP(D61,#REF!,19,FALSE)</f>
        <v>#REF!</v>
      </c>
      <c r="G61" s="100"/>
      <c r="H61" s="100"/>
      <c r="I61" s="101"/>
      <c r="J61" s="102" t="e">
        <f t="shared" si="0"/>
        <v>#REF!</v>
      </c>
      <c r="K61" s="103"/>
      <c r="L61" s="104"/>
      <c r="M61" s="105">
        <v>10000</v>
      </c>
      <c r="N61" s="103">
        <v>0</v>
      </c>
      <c r="O61" s="106"/>
      <c r="P61" s="103">
        <v>0</v>
      </c>
      <c r="Q61" s="107">
        <f t="shared" si="1"/>
        <v>10000</v>
      </c>
      <c r="R61" s="107"/>
      <c r="S61" s="107"/>
      <c r="T61" s="108">
        <v>0</v>
      </c>
      <c r="U61" s="119"/>
      <c r="V61" s="110">
        <f t="shared" si="2"/>
        <v>-10000</v>
      </c>
      <c r="W61" s="103"/>
      <c r="X61" s="112">
        <f t="shared" si="3"/>
        <v>0</v>
      </c>
      <c r="Y61" s="112">
        <f t="shared" si="4"/>
        <v>10000</v>
      </c>
      <c r="Z61" s="113">
        <f t="shared" si="5"/>
        <v>0</v>
      </c>
      <c r="AA61" s="113">
        <v>0</v>
      </c>
      <c r="AB61" s="114">
        <v>0</v>
      </c>
      <c r="AC61" s="11">
        <f t="shared" si="6"/>
        <v>0</v>
      </c>
      <c r="AD61" s="115">
        <f t="shared" si="7"/>
        <v>0</v>
      </c>
      <c r="AE61" s="115" t="e">
        <f t="shared" si="8"/>
        <v>#REF!</v>
      </c>
      <c r="AF61" s="115">
        <f t="shared" si="9"/>
        <v>0</v>
      </c>
      <c r="AG61" s="11"/>
      <c r="AH61" s="115">
        <f t="shared" si="10"/>
        <v>0</v>
      </c>
      <c r="AI61" s="115">
        <f t="shared" si="11"/>
        <v>10000</v>
      </c>
      <c r="AJ61" s="115">
        <f t="shared" si="12"/>
        <v>0</v>
      </c>
      <c r="AL61" s="11" t="e">
        <f t="shared" si="13"/>
        <v>#REF!</v>
      </c>
      <c r="AM61" s="120" t="s">
        <v>112</v>
      </c>
    </row>
    <row r="62" spans="1:39">
      <c r="A62" s="116"/>
      <c r="B62" s="116" t="s">
        <v>81</v>
      </c>
      <c r="C62" s="122"/>
      <c r="D62" s="120" t="s">
        <v>113</v>
      </c>
      <c r="E62" s="98"/>
      <c r="F62" s="99" t="e">
        <f>VLOOKUP(D62,#REF!,19,FALSE)</f>
        <v>#REF!</v>
      </c>
      <c r="G62" s="100"/>
      <c r="H62" s="100"/>
      <c r="I62" s="101"/>
      <c r="J62" s="102" t="e">
        <f t="shared" si="0"/>
        <v>#REF!</v>
      </c>
      <c r="K62" s="103"/>
      <c r="L62" s="104"/>
      <c r="M62" s="105"/>
      <c r="N62" s="103">
        <v>0</v>
      </c>
      <c r="O62" s="106"/>
      <c r="P62" s="103">
        <v>0</v>
      </c>
      <c r="Q62" s="107">
        <f t="shared" si="1"/>
        <v>0</v>
      </c>
      <c r="R62" s="107"/>
      <c r="S62" s="107"/>
      <c r="T62" s="108">
        <v>0</v>
      </c>
      <c r="U62" s="119"/>
      <c r="V62" s="110">
        <f t="shared" si="2"/>
        <v>0</v>
      </c>
      <c r="W62" s="103"/>
      <c r="X62" s="112">
        <f t="shared" si="3"/>
        <v>0</v>
      </c>
      <c r="Y62" s="112">
        <f t="shared" si="4"/>
        <v>0</v>
      </c>
      <c r="Z62" s="113">
        <f t="shared" si="5"/>
        <v>0</v>
      </c>
      <c r="AA62" s="113">
        <v>0</v>
      </c>
      <c r="AB62" s="114">
        <v>0</v>
      </c>
      <c r="AC62" s="11">
        <f t="shared" si="6"/>
        <v>0</v>
      </c>
      <c r="AD62" s="115">
        <f t="shared" si="7"/>
        <v>0</v>
      </c>
      <c r="AE62" s="115">
        <f t="shared" si="8"/>
        <v>0</v>
      </c>
      <c r="AF62" s="115" t="e">
        <f t="shared" si="9"/>
        <v>#REF!</v>
      </c>
      <c r="AG62" s="11"/>
      <c r="AH62" s="115">
        <f t="shared" si="10"/>
        <v>0</v>
      </c>
      <c r="AI62" s="115">
        <f t="shared" si="11"/>
        <v>0</v>
      </c>
      <c r="AJ62" s="115">
        <f t="shared" si="12"/>
        <v>0</v>
      </c>
      <c r="AL62" s="11" t="e">
        <f t="shared" si="13"/>
        <v>#REF!</v>
      </c>
      <c r="AM62" s="120" t="s">
        <v>113</v>
      </c>
    </row>
    <row r="63" spans="1:39">
      <c r="A63" s="129"/>
      <c r="B63" s="129" t="s">
        <v>49</v>
      </c>
      <c r="C63" s="96" t="s">
        <v>114</v>
      </c>
      <c r="D63" s="118" t="s">
        <v>115</v>
      </c>
      <c r="E63" s="98"/>
      <c r="F63" s="99" t="e">
        <f>VLOOKUP(D63,#REF!,19,FALSE)</f>
        <v>#REF!</v>
      </c>
      <c r="G63" s="100"/>
      <c r="H63" s="100"/>
      <c r="I63" s="101"/>
      <c r="J63" s="102" t="e">
        <f t="shared" si="0"/>
        <v>#REF!</v>
      </c>
      <c r="K63" s="103"/>
      <c r="L63" s="104"/>
      <c r="M63" s="105">
        <v>475000</v>
      </c>
      <c r="N63" s="103">
        <v>0</v>
      </c>
      <c r="O63" s="106"/>
      <c r="P63" s="103">
        <v>0</v>
      </c>
      <c r="Q63" s="107">
        <f t="shared" si="1"/>
        <v>475000</v>
      </c>
      <c r="R63" s="107"/>
      <c r="S63" s="107"/>
      <c r="T63" s="108">
        <v>491779.06</v>
      </c>
      <c r="U63" s="119"/>
      <c r="V63" s="110">
        <f t="shared" si="2"/>
        <v>16779.059999999998</v>
      </c>
      <c r="W63" s="103"/>
      <c r="X63" s="112">
        <f t="shared" si="3"/>
        <v>475000</v>
      </c>
      <c r="Y63" s="112">
        <f t="shared" si="4"/>
        <v>0</v>
      </c>
      <c r="Z63" s="113">
        <f t="shared" si="5"/>
        <v>0</v>
      </c>
      <c r="AA63" s="113">
        <v>0</v>
      </c>
      <c r="AB63" s="114">
        <v>0</v>
      </c>
      <c r="AC63" s="11">
        <f t="shared" si="6"/>
        <v>0</v>
      </c>
      <c r="AD63" s="115" t="e">
        <f t="shared" si="7"/>
        <v>#REF!</v>
      </c>
      <c r="AE63" s="115">
        <f t="shared" si="8"/>
        <v>0</v>
      </c>
      <c r="AF63" s="115">
        <f t="shared" si="9"/>
        <v>0</v>
      </c>
      <c r="AG63" s="11"/>
      <c r="AH63" s="115">
        <f t="shared" si="10"/>
        <v>475000</v>
      </c>
      <c r="AI63" s="115">
        <f t="shared" si="11"/>
        <v>0</v>
      </c>
      <c r="AJ63" s="115">
        <f t="shared" si="12"/>
        <v>0</v>
      </c>
      <c r="AL63" s="11" t="e">
        <f t="shared" si="13"/>
        <v>#REF!</v>
      </c>
      <c r="AM63" s="118" t="s">
        <v>115</v>
      </c>
    </row>
    <row r="64" spans="1:39">
      <c r="A64" s="116"/>
      <c r="B64" s="116" t="s">
        <v>49</v>
      </c>
      <c r="C64" s="122" t="s">
        <v>116</v>
      </c>
      <c r="D64" s="120" t="s">
        <v>117</v>
      </c>
      <c r="E64" s="98"/>
      <c r="F64" s="99" t="e">
        <f>VLOOKUP(D64,#REF!,19,FALSE)</f>
        <v>#REF!</v>
      </c>
      <c r="G64" s="100"/>
      <c r="H64" s="100"/>
      <c r="I64" s="101"/>
      <c r="J64" s="102" t="e">
        <f t="shared" si="0"/>
        <v>#REF!</v>
      </c>
      <c r="K64" s="103"/>
      <c r="L64" s="104"/>
      <c r="M64" s="105"/>
      <c r="N64" s="103">
        <v>0</v>
      </c>
      <c r="O64" s="106"/>
      <c r="P64" s="103">
        <v>0</v>
      </c>
      <c r="Q64" s="107">
        <f t="shared" si="1"/>
        <v>0</v>
      </c>
      <c r="R64" s="107"/>
      <c r="S64" s="107"/>
      <c r="T64" s="108">
        <v>0</v>
      </c>
      <c r="U64" s="119"/>
      <c r="V64" s="110">
        <f t="shared" si="2"/>
        <v>0</v>
      </c>
      <c r="W64" s="103"/>
      <c r="X64" s="112">
        <f t="shared" si="3"/>
        <v>0</v>
      </c>
      <c r="Y64" s="112">
        <f t="shared" si="4"/>
        <v>0</v>
      </c>
      <c r="Z64" s="113">
        <f t="shared" si="5"/>
        <v>0</v>
      </c>
      <c r="AA64" s="113">
        <v>0</v>
      </c>
      <c r="AB64" s="114">
        <v>0</v>
      </c>
      <c r="AC64" s="11">
        <f t="shared" si="6"/>
        <v>0</v>
      </c>
      <c r="AD64" s="115" t="e">
        <f t="shared" si="7"/>
        <v>#REF!</v>
      </c>
      <c r="AE64" s="115">
        <f t="shared" si="8"/>
        <v>0</v>
      </c>
      <c r="AF64" s="115">
        <f t="shared" si="9"/>
        <v>0</v>
      </c>
      <c r="AG64" s="11"/>
      <c r="AH64" s="115">
        <f t="shared" si="10"/>
        <v>0</v>
      </c>
      <c r="AI64" s="115">
        <f t="shared" si="11"/>
        <v>0</v>
      </c>
      <c r="AJ64" s="115">
        <f t="shared" si="12"/>
        <v>0</v>
      </c>
      <c r="AL64" s="11" t="e">
        <f t="shared" si="13"/>
        <v>#REF!</v>
      </c>
      <c r="AM64" s="120" t="s">
        <v>117</v>
      </c>
    </row>
    <row r="65" spans="1:39">
      <c r="A65" s="116"/>
      <c r="B65" s="116" t="s">
        <v>49</v>
      </c>
      <c r="C65" s="126"/>
      <c r="D65" s="120" t="s">
        <v>118</v>
      </c>
      <c r="E65" s="98">
        <v>3132.23</v>
      </c>
      <c r="F65" s="99" t="e">
        <f>VLOOKUP(D65,#REF!,19,FALSE)</f>
        <v>#REF!</v>
      </c>
      <c r="G65" s="100"/>
      <c r="H65" s="100"/>
      <c r="I65" s="101"/>
      <c r="J65" s="102" t="e">
        <f t="shared" si="0"/>
        <v>#REF!</v>
      </c>
      <c r="K65" s="103"/>
      <c r="L65" s="104"/>
      <c r="M65" s="105"/>
      <c r="N65" s="103">
        <v>0</v>
      </c>
      <c r="O65" s="106"/>
      <c r="P65" s="103">
        <v>0</v>
      </c>
      <c r="Q65" s="107">
        <f t="shared" si="1"/>
        <v>0</v>
      </c>
      <c r="R65" s="107"/>
      <c r="S65" s="107"/>
      <c r="T65" s="108">
        <v>0</v>
      </c>
      <c r="U65" s="119"/>
      <c r="V65" s="110">
        <f t="shared" si="2"/>
        <v>0</v>
      </c>
      <c r="W65" s="103"/>
      <c r="X65" s="112">
        <f t="shared" si="3"/>
        <v>0</v>
      </c>
      <c r="Y65" s="112">
        <f t="shared" si="4"/>
        <v>0</v>
      </c>
      <c r="Z65" s="113">
        <f t="shared" si="5"/>
        <v>0</v>
      </c>
      <c r="AA65" s="113">
        <v>0</v>
      </c>
      <c r="AB65" s="114">
        <v>0</v>
      </c>
      <c r="AC65" s="11">
        <f t="shared" si="6"/>
        <v>0</v>
      </c>
      <c r="AD65" s="115" t="e">
        <f t="shared" si="7"/>
        <v>#REF!</v>
      </c>
      <c r="AE65" s="115">
        <f t="shared" si="8"/>
        <v>0</v>
      </c>
      <c r="AF65" s="115">
        <f t="shared" si="9"/>
        <v>0</v>
      </c>
      <c r="AG65" s="11"/>
      <c r="AH65" s="115">
        <f t="shared" si="10"/>
        <v>0</v>
      </c>
      <c r="AI65" s="115">
        <f t="shared" si="11"/>
        <v>0</v>
      </c>
      <c r="AJ65" s="115">
        <f t="shared" si="12"/>
        <v>0</v>
      </c>
      <c r="AL65" s="11" t="e">
        <f t="shared" si="13"/>
        <v>#REF!</v>
      </c>
      <c r="AM65" s="120" t="s">
        <v>118</v>
      </c>
    </row>
    <row r="66" spans="1:39">
      <c r="A66" s="116"/>
      <c r="B66" s="116" t="s">
        <v>49</v>
      </c>
      <c r="C66" s="126" t="s">
        <v>119</v>
      </c>
      <c r="D66" s="120" t="s">
        <v>120</v>
      </c>
      <c r="E66" s="98"/>
      <c r="F66" s="99" t="e">
        <f>VLOOKUP(D66,#REF!,19,FALSE)</f>
        <v>#REF!</v>
      </c>
      <c r="G66" s="100"/>
      <c r="H66" s="100"/>
      <c r="I66" s="101"/>
      <c r="J66" s="102" t="e">
        <f t="shared" si="0"/>
        <v>#REF!</v>
      </c>
      <c r="K66" s="103"/>
      <c r="L66" s="104"/>
      <c r="M66" s="105"/>
      <c r="N66" s="103">
        <v>0</v>
      </c>
      <c r="O66" s="106"/>
      <c r="P66" s="103">
        <v>0</v>
      </c>
      <c r="Q66" s="107">
        <f t="shared" si="1"/>
        <v>0</v>
      </c>
      <c r="R66" s="107"/>
      <c r="S66" s="107"/>
      <c r="T66" s="108">
        <v>0</v>
      </c>
      <c r="U66" s="119"/>
      <c r="V66" s="110">
        <f t="shared" si="2"/>
        <v>0</v>
      </c>
      <c r="W66" s="103"/>
      <c r="X66" s="112">
        <f t="shared" si="3"/>
        <v>0</v>
      </c>
      <c r="Y66" s="112">
        <f t="shared" si="4"/>
        <v>0</v>
      </c>
      <c r="Z66" s="113">
        <f t="shared" si="5"/>
        <v>0</v>
      </c>
      <c r="AA66" s="113">
        <v>0</v>
      </c>
      <c r="AB66" s="114">
        <v>0</v>
      </c>
      <c r="AC66" s="11">
        <f t="shared" si="6"/>
        <v>0</v>
      </c>
      <c r="AD66" s="115" t="e">
        <f t="shared" si="7"/>
        <v>#REF!</v>
      </c>
      <c r="AE66" s="115">
        <f t="shared" si="8"/>
        <v>0</v>
      </c>
      <c r="AF66" s="115">
        <f t="shared" si="9"/>
        <v>0</v>
      </c>
      <c r="AG66" s="11"/>
      <c r="AH66" s="115">
        <f t="shared" si="10"/>
        <v>0</v>
      </c>
      <c r="AI66" s="115">
        <f t="shared" si="11"/>
        <v>0</v>
      </c>
      <c r="AJ66" s="115">
        <f t="shared" si="12"/>
        <v>0</v>
      </c>
      <c r="AL66" s="11" t="e">
        <f t="shared" si="13"/>
        <v>#REF!</v>
      </c>
      <c r="AM66" s="120" t="s">
        <v>120</v>
      </c>
    </row>
    <row r="67" spans="1:39">
      <c r="A67" s="129" t="s">
        <v>46</v>
      </c>
      <c r="B67" s="129" t="s">
        <v>49</v>
      </c>
      <c r="C67" s="96"/>
      <c r="D67" s="120" t="s">
        <v>121</v>
      </c>
      <c r="E67" s="98"/>
      <c r="F67" s="99" t="e">
        <f>VLOOKUP(D67,#REF!,19,FALSE)</f>
        <v>#REF!</v>
      </c>
      <c r="G67" s="100"/>
      <c r="H67" s="100"/>
      <c r="I67" s="101"/>
      <c r="J67" s="102" t="e">
        <f t="shared" si="0"/>
        <v>#REF!</v>
      </c>
      <c r="K67" s="103"/>
      <c r="L67" s="104"/>
      <c r="M67" s="105"/>
      <c r="N67" s="103">
        <v>0</v>
      </c>
      <c r="O67" s="106"/>
      <c r="P67" s="103">
        <v>0</v>
      </c>
      <c r="Q67" s="107">
        <f t="shared" si="1"/>
        <v>0</v>
      </c>
      <c r="R67" s="107"/>
      <c r="S67" s="107"/>
      <c r="T67" s="108">
        <v>0</v>
      </c>
      <c r="U67" s="119"/>
      <c r="V67" s="110">
        <f t="shared" si="2"/>
        <v>0</v>
      </c>
      <c r="W67" s="103"/>
      <c r="X67" s="112">
        <f t="shared" si="3"/>
        <v>0</v>
      </c>
      <c r="Y67" s="112">
        <f t="shared" si="4"/>
        <v>0</v>
      </c>
      <c r="Z67" s="113">
        <f t="shared" si="5"/>
        <v>0</v>
      </c>
      <c r="AA67" s="113">
        <v>0</v>
      </c>
      <c r="AB67" s="114">
        <v>0</v>
      </c>
      <c r="AC67" s="11">
        <f t="shared" si="6"/>
        <v>0</v>
      </c>
      <c r="AD67" s="115" t="e">
        <f t="shared" si="7"/>
        <v>#REF!</v>
      </c>
      <c r="AE67" s="115">
        <f t="shared" si="8"/>
        <v>0</v>
      </c>
      <c r="AF67" s="115">
        <f t="shared" si="9"/>
        <v>0</v>
      </c>
      <c r="AG67" s="11"/>
      <c r="AH67" s="115">
        <f t="shared" si="10"/>
        <v>0</v>
      </c>
      <c r="AI67" s="115">
        <f t="shared" si="11"/>
        <v>0</v>
      </c>
      <c r="AJ67" s="115">
        <f t="shared" si="12"/>
        <v>0</v>
      </c>
      <c r="AL67" s="11" t="e">
        <f t="shared" si="13"/>
        <v>#REF!</v>
      </c>
      <c r="AM67" s="120" t="s">
        <v>121</v>
      </c>
    </row>
    <row r="68" spans="1:39">
      <c r="A68" s="129"/>
      <c r="B68" s="129" t="s">
        <v>49</v>
      </c>
      <c r="C68" s="96"/>
      <c r="D68" s="120" t="s">
        <v>122</v>
      </c>
      <c r="E68" s="98">
        <v>500.85</v>
      </c>
      <c r="F68" s="99" t="e">
        <f>VLOOKUP(D68,#REF!,19,FALSE)</f>
        <v>#REF!</v>
      </c>
      <c r="G68" s="100"/>
      <c r="H68" s="100"/>
      <c r="I68" s="101"/>
      <c r="J68" s="102" t="e">
        <f t="shared" si="0"/>
        <v>#REF!</v>
      </c>
      <c r="K68" s="103"/>
      <c r="L68" s="104"/>
      <c r="M68" s="105"/>
      <c r="N68" s="103">
        <v>0</v>
      </c>
      <c r="O68" s="106"/>
      <c r="P68" s="103">
        <v>0</v>
      </c>
      <c r="Q68" s="107">
        <f t="shared" si="1"/>
        <v>0</v>
      </c>
      <c r="R68" s="107"/>
      <c r="S68" s="107"/>
      <c r="T68" s="108">
        <v>0</v>
      </c>
      <c r="U68" s="119"/>
      <c r="V68" s="110">
        <f t="shared" si="2"/>
        <v>0</v>
      </c>
      <c r="W68" s="103"/>
      <c r="X68" s="112">
        <f t="shared" si="3"/>
        <v>0</v>
      </c>
      <c r="Y68" s="112">
        <f t="shared" si="4"/>
        <v>0</v>
      </c>
      <c r="Z68" s="113">
        <f t="shared" si="5"/>
        <v>0</v>
      </c>
      <c r="AA68" s="113">
        <v>0</v>
      </c>
      <c r="AB68" s="114">
        <v>0</v>
      </c>
      <c r="AC68" s="11">
        <f t="shared" si="6"/>
        <v>0</v>
      </c>
      <c r="AD68" s="115" t="e">
        <f t="shared" si="7"/>
        <v>#REF!</v>
      </c>
      <c r="AE68" s="115">
        <f t="shared" si="8"/>
        <v>0</v>
      </c>
      <c r="AF68" s="115">
        <f t="shared" si="9"/>
        <v>0</v>
      </c>
      <c r="AG68" s="11"/>
      <c r="AH68" s="115">
        <f t="shared" si="10"/>
        <v>0</v>
      </c>
      <c r="AI68" s="115">
        <f t="shared" si="11"/>
        <v>0</v>
      </c>
      <c r="AJ68" s="115">
        <f t="shared" si="12"/>
        <v>0</v>
      </c>
      <c r="AL68" s="11" t="e">
        <f t="shared" si="13"/>
        <v>#REF!</v>
      </c>
      <c r="AM68" s="120" t="s">
        <v>122</v>
      </c>
    </row>
    <row r="69" spans="1:39">
      <c r="A69" s="129"/>
      <c r="B69" s="129" t="s">
        <v>49</v>
      </c>
      <c r="C69" s="96"/>
      <c r="D69" s="120" t="s">
        <v>123</v>
      </c>
      <c r="E69" s="98"/>
      <c r="F69" s="99" t="e">
        <f>VLOOKUP(D69,#REF!,19,FALSE)</f>
        <v>#REF!</v>
      </c>
      <c r="G69" s="100"/>
      <c r="H69" s="100"/>
      <c r="I69" s="101"/>
      <c r="J69" s="102" t="e">
        <f t="shared" si="0"/>
        <v>#REF!</v>
      </c>
      <c r="K69" s="103"/>
      <c r="L69" s="104"/>
      <c r="M69" s="105"/>
      <c r="N69" s="103">
        <v>0</v>
      </c>
      <c r="O69" s="106"/>
      <c r="P69" s="103">
        <v>0</v>
      </c>
      <c r="Q69" s="107">
        <f t="shared" si="1"/>
        <v>0</v>
      </c>
      <c r="R69" s="107"/>
      <c r="S69" s="107"/>
      <c r="T69" s="108">
        <v>0</v>
      </c>
      <c r="U69" s="119"/>
      <c r="V69" s="110">
        <f t="shared" si="2"/>
        <v>0</v>
      </c>
      <c r="W69" s="103"/>
      <c r="X69" s="112">
        <f t="shared" si="3"/>
        <v>0</v>
      </c>
      <c r="Y69" s="112">
        <f t="shared" si="4"/>
        <v>0</v>
      </c>
      <c r="Z69" s="113">
        <f t="shared" si="5"/>
        <v>0</v>
      </c>
      <c r="AA69" s="113">
        <v>0</v>
      </c>
      <c r="AB69" s="114">
        <v>0</v>
      </c>
      <c r="AC69" s="11">
        <f t="shared" si="6"/>
        <v>0</v>
      </c>
      <c r="AD69" s="115" t="e">
        <f t="shared" si="7"/>
        <v>#REF!</v>
      </c>
      <c r="AE69" s="115">
        <f t="shared" si="8"/>
        <v>0</v>
      </c>
      <c r="AF69" s="115">
        <f t="shared" si="9"/>
        <v>0</v>
      </c>
      <c r="AG69" s="11"/>
      <c r="AH69" s="115">
        <f t="shared" si="10"/>
        <v>0</v>
      </c>
      <c r="AI69" s="115">
        <f t="shared" si="11"/>
        <v>0</v>
      </c>
      <c r="AJ69" s="115">
        <f t="shared" si="12"/>
        <v>0</v>
      </c>
      <c r="AL69" s="11" t="e">
        <f t="shared" si="13"/>
        <v>#REF!</v>
      </c>
      <c r="AM69" s="120" t="s">
        <v>123</v>
      </c>
    </row>
    <row r="70" spans="1:39" s="124" customFormat="1">
      <c r="A70" s="123" t="s">
        <v>60</v>
      </c>
      <c r="B70" s="123" t="s">
        <v>49</v>
      </c>
      <c r="C70" s="122" t="s">
        <v>124</v>
      </c>
      <c r="D70" s="118" t="s">
        <v>125</v>
      </c>
      <c r="E70" s="98"/>
      <c r="F70" s="99" t="e">
        <f>VLOOKUP(D70,#REF!,19,FALSE)</f>
        <v>#REF!</v>
      </c>
      <c r="G70" s="100"/>
      <c r="H70" s="100"/>
      <c r="I70" s="101"/>
      <c r="J70" s="102" t="e">
        <f t="shared" si="0"/>
        <v>#REF!</v>
      </c>
      <c r="K70" s="103"/>
      <c r="L70" s="104"/>
      <c r="M70" s="105">
        <v>400000</v>
      </c>
      <c r="N70" s="103">
        <v>0</v>
      </c>
      <c r="O70" s="106"/>
      <c r="P70" s="103">
        <v>0</v>
      </c>
      <c r="Q70" s="107">
        <f t="shared" si="1"/>
        <v>400000</v>
      </c>
      <c r="R70" s="107"/>
      <c r="S70" s="107"/>
      <c r="T70" s="108">
        <v>0</v>
      </c>
      <c r="U70" s="119"/>
      <c r="V70" s="110">
        <f t="shared" si="2"/>
        <v>-400000</v>
      </c>
      <c r="W70" s="103"/>
      <c r="X70" s="112">
        <f t="shared" si="3"/>
        <v>400000</v>
      </c>
      <c r="Y70" s="112">
        <f t="shared" si="4"/>
        <v>0</v>
      </c>
      <c r="Z70" s="113">
        <f t="shared" si="5"/>
        <v>0</v>
      </c>
      <c r="AA70" s="113">
        <v>0</v>
      </c>
      <c r="AB70" s="114">
        <v>0</v>
      </c>
      <c r="AC70" s="11">
        <f t="shared" si="6"/>
        <v>0</v>
      </c>
      <c r="AD70" s="115" t="e">
        <f t="shared" si="7"/>
        <v>#REF!</v>
      </c>
      <c r="AE70" s="115">
        <f t="shared" si="8"/>
        <v>0</v>
      </c>
      <c r="AF70" s="115">
        <f t="shared" si="9"/>
        <v>0</v>
      </c>
      <c r="AG70" s="11"/>
      <c r="AH70" s="115">
        <f t="shared" si="10"/>
        <v>400000</v>
      </c>
      <c r="AI70" s="115">
        <f t="shared" si="11"/>
        <v>0</v>
      </c>
      <c r="AJ70" s="115">
        <f t="shared" si="12"/>
        <v>0</v>
      </c>
      <c r="AL70" s="11" t="e">
        <f t="shared" si="13"/>
        <v>#REF!</v>
      </c>
      <c r="AM70" s="118" t="s">
        <v>125</v>
      </c>
    </row>
    <row r="71" spans="1:39" s="124" customFormat="1">
      <c r="A71" s="123" t="s">
        <v>60</v>
      </c>
      <c r="B71" s="123" t="s">
        <v>49</v>
      </c>
      <c r="C71" s="122" t="s">
        <v>124</v>
      </c>
      <c r="D71" s="118" t="s">
        <v>126</v>
      </c>
      <c r="E71" s="98"/>
      <c r="F71" s="99" t="e">
        <f>VLOOKUP(D71,#REF!,19,FALSE)</f>
        <v>#REF!</v>
      </c>
      <c r="G71" s="100"/>
      <c r="H71" s="100"/>
      <c r="I71" s="101"/>
      <c r="J71" s="102" t="e">
        <f t="shared" si="0"/>
        <v>#REF!</v>
      </c>
      <c r="K71" s="103"/>
      <c r="L71" s="104"/>
      <c r="M71" s="105"/>
      <c r="N71" s="103">
        <v>0</v>
      </c>
      <c r="O71" s="106"/>
      <c r="P71" s="103">
        <v>0</v>
      </c>
      <c r="Q71" s="107">
        <f t="shared" si="1"/>
        <v>0</v>
      </c>
      <c r="R71" s="107"/>
      <c r="S71" s="107"/>
      <c r="T71" s="108">
        <v>0</v>
      </c>
      <c r="U71" s="119"/>
      <c r="V71" s="110">
        <f t="shared" si="2"/>
        <v>0</v>
      </c>
      <c r="W71" s="103"/>
      <c r="X71" s="112">
        <f t="shared" si="3"/>
        <v>0</v>
      </c>
      <c r="Y71" s="112">
        <f t="shared" si="4"/>
        <v>0</v>
      </c>
      <c r="Z71" s="113">
        <f t="shared" si="5"/>
        <v>0</v>
      </c>
      <c r="AA71" s="113">
        <v>0</v>
      </c>
      <c r="AB71" s="114">
        <v>0</v>
      </c>
      <c r="AC71" s="11">
        <f t="shared" si="6"/>
        <v>0</v>
      </c>
      <c r="AD71" s="115" t="e">
        <f t="shared" si="7"/>
        <v>#REF!</v>
      </c>
      <c r="AE71" s="115">
        <f t="shared" si="8"/>
        <v>0</v>
      </c>
      <c r="AF71" s="115">
        <f t="shared" si="9"/>
        <v>0</v>
      </c>
      <c r="AG71" s="11"/>
      <c r="AH71" s="115">
        <f t="shared" si="10"/>
        <v>0</v>
      </c>
      <c r="AI71" s="115">
        <f t="shared" si="11"/>
        <v>0</v>
      </c>
      <c r="AJ71" s="115">
        <f t="shared" si="12"/>
        <v>0</v>
      </c>
      <c r="AL71" s="11" t="e">
        <f t="shared" si="13"/>
        <v>#REF!</v>
      </c>
      <c r="AM71" s="118" t="s">
        <v>126</v>
      </c>
    </row>
    <row r="72" spans="1:39" s="124" customFormat="1" hidden="1">
      <c r="A72" s="123" t="s">
        <v>60</v>
      </c>
      <c r="B72" s="123" t="s">
        <v>49</v>
      </c>
      <c r="C72" s="122" t="s">
        <v>124</v>
      </c>
      <c r="D72" s="118" t="s">
        <v>127</v>
      </c>
      <c r="E72" s="98"/>
      <c r="F72" s="99" t="e">
        <f>VLOOKUP(D72,#REF!,19,FALSE)</f>
        <v>#REF!</v>
      </c>
      <c r="G72" s="100"/>
      <c r="H72" s="100"/>
      <c r="I72" s="101"/>
      <c r="J72" s="102" t="e">
        <f t="shared" si="0"/>
        <v>#REF!</v>
      </c>
      <c r="K72" s="103"/>
      <c r="L72" s="104"/>
      <c r="M72" s="105"/>
      <c r="N72" s="103">
        <v>0</v>
      </c>
      <c r="O72" s="106"/>
      <c r="P72" s="103">
        <v>0</v>
      </c>
      <c r="Q72" s="107">
        <f t="shared" si="1"/>
        <v>0</v>
      </c>
      <c r="R72" s="107"/>
      <c r="S72" s="107"/>
      <c r="T72" s="108">
        <v>0</v>
      </c>
      <c r="U72" s="119"/>
      <c r="V72" s="110">
        <f t="shared" si="2"/>
        <v>0</v>
      </c>
      <c r="W72" s="103"/>
      <c r="X72" s="112">
        <f t="shared" si="3"/>
        <v>0</v>
      </c>
      <c r="Y72" s="112">
        <f t="shared" si="4"/>
        <v>0</v>
      </c>
      <c r="Z72" s="113">
        <f t="shared" si="5"/>
        <v>0</v>
      </c>
      <c r="AA72" s="113">
        <v>0</v>
      </c>
      <c r="AB72" s="114">
        <v>0</v>
      </c>
      <c r="AC72" s="11">
        <f t="shared" si="6"/>
        <v>0</v>
      </c>
      <c r="AD72" s="115" t="e">
        <f t="shared" si="7"/>
        <v>#REF!</v>
      </c>
      <c r="AE72" s="115">
        <f t="shared" si="8"/>
        <v>0</v>
      </c>
      <c r="AF72" s="115">
        <f t="shared" si="9"/>
        <v>0</v>
      </c>
      <c r="AG72" s="11"/>
      <c r="AH72" s="115">
        <f t="shared" si="10"/>
        <v>0</v>
      </c>
      <c r="AI72" s="115">
        <f t="shared" si="11"/>
        <v>0</v>
      </c>
      <c r="AJ72" s="115">
        <f t="shared" si="12"/>
        <v>0</v>
      </c>
      <c r="AL72" s="11" t="e">
        <f t="shared" si="13"/>
        <v>#REF!</v>
      </c>
      <c r="AM72" s="118" t="s">
        <v>127</v>
      </c>
    </row>
    <row r="73" spans="1:39" s="124" customFormat="1" hidden="1">
      <c r="A73" s="123" t="s">
        <v>60</v>
      </c>
      <c r="B73" s="123" t="s">
        <v>49</v>
      </c>
      <c r="C73" s="122" t="s">
        <v>124</v>
      </c>
      <c r="D73" s="118" t="s">
        <v>128</v>
      </c>
      <c r="E73" s="98"/>
      <c r="F73" s="99" t="e">
        <f>VLOOKUP(D73,#REF!,19,FALSE)</f>
        <v>#REF!</v>
      </c>
      <c r="G73" s="100"/>
      <c r="H73" s="100"/>
      <c r="I73" s="101"/>
      <c r="J73" s="102" t="e">
        <f t="shared" si="0"/>
        <v>#REF!</v>
      </c>
      <c r="K73" s="103"/>
      <c r="L73" s="104"/>
      <c r="M73" s="105"/>
      <c r="N73" s="103">
        <v>0</v>
      </c>
      <c r="O73" s="106"/>
      <c r="P73" s="103">
        <v>0</v>
      </c>
      <c r="Q73" s="107">
        <f t="shared" si="1"/>
        <v>0</v>
      </c>
      <c r="R73" s="107"/>
      <c r="S73" s="107"/>
      <c r="T73" s="108">
        <v>0</v>
      </c>
      <c r="U73" s="119"/>
      <c r="V73" s="110">
        <f t="shared" si="2"/>
        <v>0</v>
      </c>
      <c r="W73" s="103"/>
      <c r="X73" s="112">
        <f t="shared" si="3"/>
        <v>0</v>
      </c>
      <c r="Y73" s="112">
        <f t="shared" si="4"/>
        <v>0</v>
      </c>
      <c r="Z73" s="113">
        <f t="shared" si="5"/>
        <v>0</v>
      </c>
      <c r="AA73" s="113">
        <v>0</v>
      </c>
      <c r="AB73" s="114">
        <v>0</v>
      </c>
      <c r="AC73" s="11">
        <f t="shared" si="6"/>
        <v>0</v>
      </c>
      <c r="AD73" s="115" t="e">
        <f t="shared" si="7"/>
        <v>#REF!</v>
      </c>
      <c r="AE73" s="115">
        <f t="shared" si="8"/>
        <v>0</v>
      </c>
      <c r="AF73" s="115">
        <f t="shared" si="9"/>
        <v>0</v>
      </c>
      <c r="AG73" s="11"/>
      <c r="AH73" s="115">
        <f t="shared" si="10"/>
        <v>0</v>
      </c>
      <c r="AI73" s="115">
        <f t="shared" si="11"/>
        <v>0</v>
      </c>
      <c r="AJ73" s="115">
        <f t="shared" si="12"/>
        <v>0</v>
      </c>
      <c r="AL73" s="11" t="e">
        <f t="shared" si="13"/>
        <v>#REF!</v>
      </c>
      <c r="AM73" s="118" t="s">
        <v>128</v>
      </c>
    </row>
    <row r="74" spans="1:39" s="124" customFormat="1" hidden="1">
      <c r="A74" s="123" t="s">
        <v>60</v>
      </c>
      <c r="B74" s="123" t="s">
        <v>49</v>
      </c>
      <c r="C74" s="122" t="s">
        <v>124</v>
      </c>
      <c r="D74" s="118" t="s">
        <v>129</v>
      </c>
      <c r="E74" s="98"/>
      <c r="F74" s="99" t="e">
        <f>VLOOKUP(D74,#REF!,19,FALSE)</f>
        <v>#REF!</v>
      </c>
      <c r="G74" s="100"/>
      <c r="H74" s="100"/>
      <c r="I74" s="101"/>
      <c r="J74" s="102" t="e">
        <f t="shared" si="0"/>
        <v>#REF!</v>
      </c>
      <c r="K74" s="103"/>
      <c r="L74" s="104"/>
      <c r="M74" s="105"/>
      <c r="N74" s="103">
        <v>0</v>
      </c>
      <c r="O74" s="106"/>
      <c r="P74" s="103">
        <v>0</v>
      </c>
      <c r="Q74" s="107">
        <f t="shared" si="1"/>
        <v>0</v>
      </c>
      <c r="R74" s="107"/>
      <c r="S74" s="107"/>
      <c r="T74" s="108">
        <v>0</v>
      </c>
      <c r="U74" s="119"/>
      <c r="V74" s="110">
        <f t="shared" si="2"/>
        <v>0</v>
      </c>
      <c r="W74" s="103"/>
      <c r="X74" s="112">
        <f t="shared" si="3"/>
        <v>0</v>
      </c>
      <c r="Y74" s="112">
        <f t="shared" si="4"/>
        <v>0</v>
      </c>
      <c r="Z74" s="113">
        <f t="shared" si="5"/>
        <v>0</v>
      </c>
      <c r="AA74" s="113">
        <v>0</v>
      </c>
      <c r="AB74" s="114">
        <v>0</v>
      </c>
      <c r="AC74" s="11">
        <f t="shared" si="6"/>
        <v>0</v>
      </c>
      <c r="AD74" s="115" t="e">
        <f t="shared" si="7"/>
        <v>#REF!</v>
      </c>
      <c r="AE74" s="115">
        <f t="shared" si="8"/>
        <v>0</v>
      </c>
      <c r="AF74" s="115">
        <f t="shared" si="9"/>
        <v>0</v>
      </c>
      <c r="AG74" s="11"/>
      <c r="AH74" s="115">
        <f t="shared" si="10"/>
        <v>0</v>
      </c>
      <c r="AI74" s="115">
        <f t="shared" si="11"/>
        <v>0</v>
      </c>
      <c r="AJ74" s="115">
        <f t="shared" si="12"/>
        <v>0</v>
      </c>
      <c r="AL74" s="11" t="e">
        <f t="shared" si="13"/>
        <v>#REF!</v>
      </c>
      <c r="AM74" s="118" t="s">
        <v>129</v>
      </c>
    </row>
    <row r="75" spans="1:39" s="124" customFormat="1" hidden="1">
      <c r="A75" s="123" t="s">
        <v>60</v>
      </c>
      <c r="B75" s="123" t="s">
        <v>49</v>
      </c>
      <c r="C75" s="122" t="s">
        <v>124</v>
      </c>
      <c r="D75" s="118" t="s">
        <v>130</v>
      </c>
      <c r="E75" s="98"/>
      <c r="F75" s="99" t="e">
        <f>VLOOKUP(D75,#REF!,19,FALSE)</f>
        <v>#REF!</v>
      </c>
      <c r="G75" s="100"/>
      <c r="H75" s="100"/>
      <c r="I75" s="101"/>
      <c r="J75" s="102" t="e">
        <f t="shared" si="0"/>
        <v>#REF!</v>
      </c>
      <c r="K75" s="103"/>
      <c r="L75" s="104"/>
      <c r="M75" s="105"/>
      <c r="N75" s="103">
        <v>0</v>
      </c>
      <c r="O75" s="106"/>
      <c r="P75" s="103">
        <v>0</v>
      </c>
      <c r="Q75" s="107">
        <f t="shared" si="1"/>
        <v>0</v>
      </c>
      <c r="R75" s="107"/>
      <c r="S75" s="107"/>
      <c r="T75" s="108">
        <v>0</v>
      </c>
      <c r="U75" s="119"/>
      <c r="V75" s="110">
        <f t="shared" si="2"/>
        <v>0</v>
      </c>
      <c r="W75" s="103"/>
      <c r="X75" s="112">
        <f t="shared" si="3"/>
        <v>0</v>
      </c>
      <c r="Y75" s="112">
        <f t="shared" si="4"/>
        <v>0</v>
      </c>
      <c r="Z75" s="113">
        <f t="shared" si="5"/>
        <v>0</v>
      </c>
      <c r="AA75" s="113">
        <v>0</v>
      </c>
      <c r="AB75" s="114">
        <v>0</v>
      </c>
      <c r="AC75" s="11">
        <f t="shared" si="6"/>
        <v>0</v>
      </c>
      <c r="AD75" s="115" t="e">
        <f t="shared" si="7"/>
        <v>#REF!</v>
      </c>
      <c r="AE75" s="115">
        <f t="shared" si="8"/>
        <v>0</v>
      </c>
      <c r="AF75" s="115">
        <f t="shared" si="9"/>
        <v>0</v>
      </c>
      <c r="AG75" s="11"/>
      <c r="AH75" s="115">
        <f t="shared" si="10"/>
        <v>0</v>
      </c>
      <c r="AI75" s="115">
        <f t="shared" si="11"/>
        <v>0</v>
      </c>
      <c r="AJ75" s="115">
        <f t="shared" si="12"/>
        <v>0</v>
      </c>
      <c r="AL75" s="11" t="e">
        <f t="shared" si="13"/>
        <v>#REF!</v>
      </c>
      <c r="AM75" s="118" t="s">
        <v>130</v>
      </c>
    </row>
    <row r="76" spans="1:39" s="124" customFormat="1">
      <c r="A76" s="123"/>
      <c r="B76" s="123" t="s">
        <v>46</v>
      </c>
      <c r="C76" s="140"/>
      <c r="D76" s="121" t="s">
        <v>131</v>
      </c>
      <c r="E76" s="98"/>
      <c r="F76" s="99" t="e">
        <f>VLOOKUP(D76,#REF!,19,FALSE)</f>
        <v>#REF!</v>
      </c>
      <c r="G76" s="100"/>
      <c r="H76" s="100"/>
      <c r="I76" s="101"/>
      <c r="J76" s="102" t="e">
        <f t="shared" si="0"/>
        <v>#REF!</v>
      </c>
      <c r="K76" s="103"/>
      <c r="L76" s="104"/>
      <c r="M76" s="105"/>
      <c r="N76" s="103">
        <v>0</v>
      </c>
      <c r="O76" s="106"/>
      <c r="P76" s="103">
        <v>0</v>
      </c>
      <c r="Q76" s="107">
        <f t="shared" si="1"/>
        <v>0</v>
      </c>
      <c r="R76" s="107"/>
      <c r="S76" s="107"/>
      <c r="T76" s="108">
        <v>0</v>
      </c>
      <c r="U76" s="119"/>
      <c r="V76" s="110">
        <f t="shared" si="2"/>
        <v>0</v>
      </c>
      <c r="W76" s="103"/>
      <c r="X76" s="112">
        <f t="shared" si="3"/>
        <v>0</v>
      </c>
      <c r="Y76" s="112">
        <f t="shared" si="4"/>
        <v>0</v>
      </c>
      <c r="Z76" s="113">
        <f t="shared" si="5"/>
        <v>0</v>
      </c>
      <c r="AA76" s="113">
        <v>0</v>
      </c>
      <c r="AB76" s="114">
        <v>0</v>
      </c>
      <c r="AC76" s="11">
        <f t="shared" si="6"/>
        <v>0</v>
      </c>
      <c r="AD76" s="115">
        <f t="shared" si="7"/>
        <v>0</v>
      </c>
      <c r="AE76" s="115" t="e">
        <f t="shared" si="8"/>
        <v>#REF!</v>
      </c>
      <c r="AF76" s="115">
        <f t="shared" si="9"/>
        <v>0</v>
      </c>
      <c r="AG76" s="11"/>
      <c r="AH76" s="115">
        <f t="shared" si="10"/>
        <v>0</v>
      </c>
      <c r="AI76" s="115">
        <f t="shared" si="11"/>
        <v>0</v>
      </c>
      <c r="AJ76" s="115">
        <f t="shared" si="12"/>
        <v>0</v>
      </c>
      <c r="AL76" s="11" t="e">
        <f t="shared" si="13"/>
        <v>#REF!</v>
      </c>
      <c r="AM76" s="121" t="s">
        <v>131</v>
      </c>
    </row>
    <row r="77" spans="1:39" hidden="1">
      <c r="A77" s="116"/>
      <c r="B77" s="116" t="s">
        <v>49</v>
      </c>
      <c r="C77" s="122"/>
      <c r="D77" s="120" t="s">
        <v>132</v>
      </c>
      <c r="E77" s="98"/>
      <c r="F77" s="99" t="e">
        <f>VLOOKUP(D77,#REF!,19,FALSE)</f>
        <v>#REF!</v>
      </c>
      <c r="G77" s="100"/>
      <c r="H77" s="100"/>
      <c r="I77" s="101"/>
      <c r="J77" s="102" t="e">
        <f t="shared" si="0"/>
        <v>#REF!</v>
      </c>
      <c r="K77" s="103"/>
      <c r="L77" s="104"/>
      <c r="M77" s="105"/>
      <c r="N77" s="103">
        <v>0</v>
      </c>
      <c r="O77" s="106"/>
      <c r="P77" s="103">
        <v>0</v>
      </c>
      <c r="Q77" s="107">
        <f t="shared" si="1"/>
        <v>0</v>
      </c>
      <c r="R77" s="107"/>
      <c r="S77" s="107"/>
      <c r="T77" s="108">
        <v>0</v>
      </c>
      <c r="U77" s="119"/>
      <c r="V77" s="110">
        <f t="shared" si="2"/>
        <v>0</v>
      </c>
      <c r="W77" s="103"/>
      <c r="X77" s="112">
        <f t="shared" si="3"/>
        <v>0</v>
      </c>
      <c r="Y77" s="112">
        <f t="shared" si="4"/>
        <v>0</v>
      </c>
      <c r="Z77" s="113">
        <f t="shared" si="5"/>
        <v>0</v>
      </c>
      <c r="AA77" s="113">
        <v>0</v>
      </c>
      <c r="AB77" s="114">
        <v>0</v>
      </c>
      <c r="AC77" s="11">
        <f t="shared" si="6"/>
        <v>0</v>
      </c>
      <c r="AD77" s="115" t="e">
        <f t="shared" si="7"/>
        <v>#REF!</v>
      </c>
      <c r="AE77" s="115">
        <f t="shared" si="8"/>
        <v>0</v>
      </c>
      <c r="AF77" s="115">
        <f t="shared" si="9"/>
        <v>0</v>
      </c>
      <c r="AG77" s="11"/>
      <c r="AH77" s="115">
        <f t="shared" si="10"/>
        <v>0</v>
      </c>
      <c r="AI77" s="115">
        <f t="shared" si="11"/>
        <v>0</v>
      </c>
      <c r="AJ77" s="115">
        <f t="shared" si="12"/>
        <v>0</v>
      </c>
      <c r="AL77" s="11" t="e">
        <f t="shared" si="13"/>
        <v>#REF!</v>
      </c>
      <c r="AM77" s="120" t="s">
        <v>132</v>
      </c>
    </row>
    <row r="78" spans="1:39">
      <c r="A78" s="116"/>
      <c r="B78" s="116" t="s">
        <v>49</v>
      </c>
      <c r="C78" s="122"/>
      <c r="D78" s="120" t="s">
        <v>133</v>
      </c>
      <c r="E78" s="98"/>
      <c r="F78" s="99" t="e">
        <f>VLOOKUP(D78,#REF!,19,FALSE)</f>
        <v>#REF!</v>
      </c>
      <c r="G78" s="100"/>
      <c r="H78" s="100"/>
      <c r="I78" s="125">
        <v>214.43</v>
      </c>
      <c r="J78" s="102" t="e">
        <f t="shared" si="0"/>
        <v>#REF!</v>
      </c>
      <c r="K78" s="103"/>
      <c r="L78" s="104"/>
      <c r="M78" s="105"/>
      <c r="N78" s="103">
        <v>0</v>
      </c>
      <c r="O78" s="106"/>
      <c r="P78" s="103">
        <v>0</v>
      </c>
      <c r="Q78" s="107">
        <f t="shared" si="1"/>
        <v>0</v>
      </c>
      <c r="R78" s="107"/>
      <c r="S78" s="107"/>
      <c r="T78" s="108">
        <v>0</v>
      </c>
      <c r="U78" s="119"/>
      <c r="V78" s="110">
        <f t="shared" si="2"/>
        <v>0</v>
      </c>
      <c r="W78" s="103"/>
      <c r="X78" s="112">
        <f t="shared" si="3"/>
        <v>0</v>
      </c>
      <c r="Y78" s="112">
        <f t="shared" si="4"/>
        <v>0</v>
      </c>
      <c r="Z78" s="113">
        <f t="shared" si="5"/>
        <v>0</v>
      </c>
      <c r="AA78" s="113">
        <v>0</v>
      </c>
      <c r="AB78" s="114">
        <v>0</v>
      </c>
      <c r="AC78" s="11">
        <f t="shared" si="6"/>
        <v>0</v>
      </c>
      <c r="AD78" s="115" t="e">
        <f t="shared" si="7"/>
        <v>#REF!</v>
      </c>
      <c r="AE78" s="115">
        <f t="shared" si="8"/>
        <v>0</v>
      </c>
      <c r="AF78" s="115">
        <f t="shared" si="9"/>
        <v>0</v>
      </c>
      <c r="AG78" s="11"/>
      <c r="AH78" s="115">
        <f t="shared" si="10"/>
        <v>0</v>
      </c>
      <c r="AI78" s="115">
        <f t="shared" si="11"/>
        <v>0</v>
      </c>
      <c r="AJ78" s="115">
        <f t="shared" si="12"/>
        <v>0</v>
      </c>
      <c r="AL78" s="11" t="e">
        <f t="shared" si="13"/>
        <v>#REF!</v>
      </c>
      <c r="AM78" s="120" t="s">
        <v>133</v>
      </c>
    </row>
    <row r="79" spans="1:39">
      <c r="A79" s="116"/>
      <c r="B79" s="116" t="s">
        <v>49</v>
      </c>
      <c r="C79" s="126" t="s">
        <v>385</v>
      </c>
      <c r="D79" s="120" t="s">
        <v>135</v>
      </c>
      <c r="E79" s="98"/>
      <c r="F79" s="99" t="e">
        <f>VLOOKUP(D79,#REF!,19,FALSE)</f>
        <v>#REF!</v>
      </c>
      <c r="G79" s="100"/>
      <c r="H79" s="100"/>
      <c r="I79" s="101"/>
      <c r="J79" s="102" t="e">
        <f t="shared" si="0"/>
        <v>#REF!</v>
      </c>
      <c r="K79" s="103"/>
      <c r="L79" s="104"/>
      <c r="M79" s="105"/>
      <c r="N79" s="103">
        <v>0</v>
      </c>
      <c r="O79" s="106"/>
      <c r="P79" s="103">
        <v>0</v>
      </c>
      <c r="Q79" s="107">
        <f t="shared" si="1"/>
        <v>0</v>
      </c>
      <c r="R79" s="107"/>
      <c r="S79" s="107"/>
      <c r="T79" s="108">
        <v>22661</v>
      </c>
      <c r="U79" s="119"/>
      <c r="V79" s="110">
        <f t="shared" si="2"/>
        <v>22661</v>
      </c>
      <c r="W79" s="103"/>
      <c r="X79" s="112">
        <f t="shared" si="3"/>
        <v>0</v>
      </c>
      <c r="Y79" s="112">
        <f t="shared" si="4"/>
        <v>0</v>
      </c>
      <c r="Z79" s="113">
        <f t="shared" si="5"/>
        <v>0</v>
      </c>
      <c r="AA79" s="113">
        <v>0</v>
      </c>
      <c r="AB79" s="114">
        <v>0</v>
      </c>
      <c r="AC79" s="11">
        <f t="shared" si="6"/>
        <v>0</v>
      </c>
      <c r="AD79" s="115" t="e">
        <f t="shared" si="7"/>
        <v>#REF!</v>
      </c>
      <c r="AE79" s="115">
        <f t="shared" si="8"/>
        <v>0</v>
      </c>
      <c r="AF79" s="115">
        <f t="shared" si="9"/>
        <v>0</v>
      </c>
      <c r="AG79" s="11"/>
      <c r="AH79" s="115">
        <f t="shared" si="10"/>
        <v>0</v>
      </c>
      <c r="AI79" s="115">
        <f t="shared" si="11"/>
        <v>0</v>
      </c>
      <c r="AJ79" s="115">
        <f t="shared" si="12"/>
        <v>0</v>
      </c>
      <c r="AL79" s="11" t="e">
        <f t="shared" si="13"/>
        <v>#REF!</v>
      </c>
      <c r="AM79" s="120" t="s">
        <v>135</v>
      </c>
    </row>
    <row r="80" spans="1:39">
      <c r="A80" s="116" t="s">
        <v>46</v>
      </c>
      <c r="B80" s="116" t="s">
        <v>46</v>
      </c>
      <c r="C80" s="122" t="s">
        <v>136</v>
      </c>
      <c r="D80" s="120" t="s">
        <v>137</v>
      </c>
      <c r="E80" s="98"/>
      <c r="F80" s="99" t="e">
        <f>VLOOKUP(D80,#REF!,19,FALSE)</f>
        <v>#REF!</v>
      </c>
      <c r="G80" s="100"/>
      <c r="H80" s="100"/>
      <c r="I80" s="101"/>
      <c r="J80" s="102" t="e">
        <f t="shared" si="0"/>
        <v>#REF!</v>
      </c>
      <c r="K80" s="103"/>
      <c r="L80" s="104"/>
      <c r="M80" s="105"/>
      <c r="N80" s="103">
        <v>0</v>
      </c>
      <c r="O80" s="106"/>
      <c r="P80" s="103">
        <v>0</v>
      </c>
      <c r="Q80" s="107">
        <f t="shared" si="1"/>
        <v>0</v>
      </c>
      <c r="R80" s="107"/>
      <c r="S80" s="107"/>
      <c r="T80" s="108">
        <v>0</v>
      </c>
      <c r="U80" s="119"/>
      <c r="V80" s="110">
        <f t="shared" ref="V80:V143" si="14">IF(T80="","",T80-Q80)</f>
        <v>0</v>
      </c>
      <c r="W80" s="103"/>
      <c r="X80" s="112">
        <f t="shared" si="3"/>
        <v>0</v>
      </c>
      <c r="Y80" s="112">
        <f t="shared" si="4"/>
        <v>0</v>
      </c>
      <c r="Z80" s="113">
        <f t="shared" si="5"/>
        <v>0</v>
      </c>
      <c r="AA80" s="113">
        <v>0</v>
      </c>
      <c r="AB80" s="114">
        <v>0</v>
      </c>
      <c r="AC80" s="11">
        <f t="shared" si="6"/>
        <v>0</v>
      </c>
      <c r="AD80" s="115">
        <f t="shared" si="7"/>
        <v>0</v>
      </c>
      <c r="AE80" s="115" t="e">
        <f t="shared" si="8"/>
        <v>#REF!</v>
      </c>
      <c r="AF80" s="115">
        <f t="shared" si="9"/>
        <v>0</v>
      </c>
      <c r="AG80" s="11"/>
      <c r="AH80" s="115">
        <f t="shared" si="10"/>
        <v>0</v>
      </c>
      <c r="AI80" s="115">
        <f t="shared" si="11"/>
        <v>0</v>
      </c>
      <c r="AJ80" s="115">
        <f t="shared" si="12"/>
        <v>0</v>
      </c>
      <c r="AL80" s="11" t="e">
        <f t="shared" si="13"/>
        <v>#REF!</v>
      </c>
      <c r="AM80" s="120" t="s">
        <v>137</v>
      </c>
    </row>
    <row r="81" spans="1:39">
      <c r="A81" s="116"/>
      <c r="B81" s="116" t="s">
        <v>46</v>
      </c>
      <c r="C81" s="122"/>
      <c r="D81" s="120" t="s">
        <v>138</v>
      </c>
      <c r="E81" s="98"/>
      <c r="F81" s="99" t="e">
        <f>VLOOKUP(D81,#REF!,19,FALSE)</f>
        <v>#REF!</v>
      </c>
      <c r="G81" s="100"/>
      <c r="H81" s="100"/>
      <c r="I81" s="101"/>
      <c r="J81" s="102" t="e">
        <f t="shared" si="0"/>
        <v>#REF!</v>
      </c>
      <c r="K81" s="103"/>
      <c r="L81" s="104"/>
      <c r="M81" s="105"/>
      <c r="N81" s="103">
        <v>0</v>
      </c>
      <c r="O81" s="106"/>
      <c r="P81" s="103">
        <v>0</v>
      </c>
      <c r="Q81" s="107">
        <f t="shared" si="1"/>
        <v>0</v>
      </c>
      <c r="R81" s="107"/>
      <c r="S81" s="107"/>
      <c r="T81" s="108">
        <v>0</v>
      </c>
      <c r="U81" s="119"/>
      <c r="V81" s="110">
        <f t="shared" si="14"/>
        <v>0</v>
      </c>
      <c r="W81" s="103"/>
      <c r="X81" s="112">
        <f t="shared" si="3"/>
        <v>0</v>
      </c>
      <c r="Y81" s="112">
        <f t="shared" si="4"/>
        <v>0</v>
      </c>
      <c r="Z81" s="113">
        <f t="shared" si="5"/>
        <v>0</v>
      </c>
      <c r="AA81" s="113">
        <v>0</v>
      </c>
      <c r="AB81" s="114">
        <v>0</v>
      </c>
      <c r="AC81" s="11">
        <f t="shared" si="6"/>
        <v>0</v>
      </c>
      <c r="AD81" s="115">
        <f t="shared" si="7"/>
        <v>0</v>
      </c>
      <c r="AE81" s="115" t="e">
        <f t="shared" si="8"/>
        <v>#REF!</v>
      </c>
      <c r="AF81" s="115">
        <f t="shared" si="9"/>
        <v>0</v>
      </c>
      <c r="AG81" s="11"/>
      <c r="AH81" s="115">
        <f t="shared" si="10"/>
        <v>0</v>
      </c>
      <c r="AI81" s="115">
        <f t="shared" si="11"/>
        <v>0</v>
      </c>
      <c r="AJ81" s="115">
        <f t="shared" si="12"/>
        <v>0</v>
      </c>
      <c r="AL81" s="11" t="e">
        <f t="shared" si="13"/>
        <v>#REF!</v>
      </c>
      <c r="AM81" s="120" t="s">
        <v>138</v>
      </c>
    </row>
    <row r="82" spans="1:39">
      <c r="A82" s="116"/>
      <c r="B82" s="116" t="s">
        <v>49</v>
      </c>
      <c r="C82" s="122"/>
      <c r="D82" s="120" t="s">
        <v>139</v>
      </c>
      <c r="E82" s="98"/>
      <c r="F82" s="99" t="e">
        <f>VLOOKUP(D82,#REF!,19,FALSE)</f>
        <v>#REF!</v>
      </c>
      <c r="G82" s="100"/>
      <c r="H82" s="100"/>
      <c r="I82" s="101"/>
      <c r="J82" s="102" t="e">
        <f t="shared" si="0"/>
        <v>#REF!</v>
      </c>
      <c r="K82" s="103"/>
      <c r="L82" s="104"/>
      <c r="M82" s="105">
        <v>825000</v>
      </c>
      <c r="N82" s="103">
        <v>0</v>
      </c>
      <c r="O82" s="106"/>
      <c r="P82" s="103">
        <v>0</v>
      </c>
      <c r="Q82" s="107">
        <f t="shared" si="1"/>
        <v>825000</v>
      </c>
      <c r="R82" s="107"/>
      <c r="S82" s="107"/>
      <c r="T82" s="108">
        <v>5</v>
      </c>
      <c r="U82" s="119"/>
      <c r="V82" s="110">
        <f t="shared" si="14"/>
        <v>-824995</v>
      </c>
      <c r="W82" s="103"/>
      <c r="X82" s="112">
        <f t="shared" si="3"/>
        <v>825000</v>
      </c>
      <c r="Y82" s="112">
        <f t="shared" si="4"/>
        <v>0</v>
      </c>
      <c r="Z82" s="113">
        <f t="shared" si="5"/>
        <v>0</v>
      </c>
      <c r="AA82" s="113">
        <v>0</v>
      </c>
      <c r="AB82" s="114">
        <v>0</v>
      </c>
      <c r="AC82" s="11">
        <f t="shared" si="6"/>
        <v>0</v>
      </c>
      <c r="AD82" s="115" t="e">
        <f t="shared" si="7"/>
        <v>#REF!</v>
      </c>
      <c r="AE82" s="115">
        <f t="shared" si="8"/>
        <v>0</v>
      </c>
      <c r="AF82" s="115">
        <f t="shared" si="9"/>
        <v>0</v>
      </c>
      <c r="AG82" s="11"/>
      <c r="AH82" s="115">
        <f t="shared" si="10"/>
        <v>825000</v>
      </c>
      <c r="AI82" s="115">
        <f t="shared" si="11"/>
        <v>0</v>
      </c>
      <c r="AJ82" s="115">
        <f t="shared" si="12"/>
        <v>0</v>
      </c>
      <c r="AL82" s="11" t="e">
        <f t="shared" si="13"/>
        <v>#REF!</v>
      </c>
      <c r="AM82" s="120" t="s">
        <v>139</v>
      </c>
    </row>
    <row r="83" spans="1:39" s="124" customFormat="1">
      <c r="A83" s="123"/>
      <c r="B83" s="123" t="s">
        <v>46</v>
      </c>
      <c r="C83" s="122" t="s">
        <v>140</v>
      </c>
      <c r="D83" s="97" t="s">
        <v>141</v>
      </c>
      <c r="E83" s="98"/>
      <c r="F83" s="99" t="e">
        <f>VLOOKUP(D83,#REF!,19,FALSE)</f>
        <v>#REF!</v>
      </c>
      <c r="G83" s="100"/>
      <c r="H83" s="100"/>
      <c r="I83" s="101"/>
      <c r="J83" s="102" t="e">
        <f t="shared" si="0"/>
        <v>#REF!</v>
      </c>
      <c r="K83" s="103"/>
      <c r="L83" s="104"/>
      <c r="M83" s="105"/>
      <c r="N83" s="103">
        <v>0</v>
      </c>
      <c r="O83" s="106"/>
      <c r="P83" s="103">
        <v>0</v>
      </c>
      <c r="Q83" s="107">
        <f t="shared" si="1"/>
        <v>0</v>
      </c>
      <c r="R83" s="107"/>
      <c r="S83" s="107"/>
      <c r="T83" s="108">
        <v>0</v>
      </c>
      <c r="U83" s="119"/>
      <c r="V83" s="110">
        <f t="shared" si="14"/>
        <v>0</v>
      </c>
      <c r="W83" s="103"/>
      <c r="X83" s="112">
        <f t="shared" si="3"/>
        <v>0</v>
      </c>
      <c r="Y83" s="112">
        <f t="shared" si="4"/>
        <v>0</v>
      </c>
      <c r="Z83" s="113">
        <f t="shared" si="5"/>
        <v>0</v>
      </c>
      <c r="AA83" s="113">
        <v>0</v>
      </c>
      <c r="AB83" s="114">
        <v>0</v>
      </c>
      <c r="AC83" s="11">
        <f t="shared" si="6"/>
        <v>0</v>
      </c>
      <c r="AD83" s="115">
        <f t="shared" si="7"/>
        <v>0</v>
      </c>
      <c r="AE83" s="115" t="e">
        <f t="shared" si="8"/>
        <v>#REF!</v>
      </c>
      <c r="AF83" s="115">
        <f t="shared" si="9"/>
        <v>0</v>
      </c>
      <c r="AG83" s="11"/>
      <c r="AH83" s="115">
        <f t="shared" si="10"/>
        <v>0</v>
      </c>
      <c r="AI83" s="115">
        <f t="shared" si="11"/>
        <v>0</v>
      </c>
      <c r="AJ83" s="115">
        <f t="shared" si="12"/>
        <v>0</v>
      </c>
      <c r="AL83" s="11" t="e">
        <f t="shared" si="13"/>
        <v>#REF!</v>
      </c>
      <c r="AM83" s="97" t="s">
        <v>141</v>
      </c>
    </row>
    <row r="84" spans="1:39" s="124" customFormat="1">
      <c r="A84" s="123"/>
      <c r="B84" s="123" t="s">
        <v>46</v>
      </c>
      <c r="C84" s="122" t="s">
        <v>140</v>
      </c>
      <c r="D84" s="97" t="s">
        <v>142</v>
      </c>
      <c r="E84" s="98"/>
      <c r="F84" s="99" t="e">
        <f>VLOOKUP(D84,#REF!,19,FALSE)</f>
        <v>#REF!</v>
      </c>
      <c r="G84" s="100"/>
      <c r="H84" s="100"/>
      <c r="I84" s="101"/>
      <c r="J84" s="102" t="e">
        <f t="shared" si="0"/>
        <v>#REF!</v>
      </c>
      <c r="K84" s="103"/>
      <c r="L84" s="104"/>
      <c r="M84" s="105"/>
      <c r="N84" s="103">
        <v>0</v>
      </c>
      <c r="O84" s="106"/>
      <c r="P84" s="103">
        <v>0</v>
      </c>
      <c r="Q84" s="107">
        <f t="shared" si="1"/>
        <v>0</v>
      </c>
      <c r="R84" s="107"/>
      <c r="S84" s="107"/>
      <c r="T84" s="108">
        <v>0</v>
      </c>
      <c r="U84" s="119"/>
      <c r="V84" s="110">
        <f t="shared" si="14"/>
        <v>0</v>
      </c>
      <c r="W84" s="103"/>
      <c r="X84" s="112">
        <f t="shared" si="3"/>
        <v>0</v>
      </c>
      <c r="Y84" s="112">
        <f t="shared" si="4"/>
        <v>0</v>
      </c>
      <c r="Z84" s="113">
        <f t="shared" si="5"/>
        <v>0</v>
      </c>
      <c r="AA84" s="113">
        <v>0</v>
      </c>
      <c r="AB84" s="114">
        <v>0</v>
      </c>
      <c r="AC84" s="11">
        <f t="shared" si="6"/>
        <v>0</v>
      </c>
      <c r="AD84" s="115">
        <f t="shared" si="7"/>
        <v>0</v>
      </c>
      <c r="AE84" s="115" t="e">
        <f t="shared" si="8"/>
        <v>#REF!</v>
      </c>
      <c r="AF84" s="115">
        <f t="shared" si="9"/>
        <v>0</v>
      </c>
      <c r="AG84" s="11"/>
      <c r="AH84" s="115">
        <f t="shared" si="10"/>
        <v>0</v>
      </c>
      <c r="AI84" s="115">
        <f t="shared" si="11"/>
        <v>0</v>
      </c>
      <c r="AJ84" s="115">
        <f t="shared" si="12"/>
        <v>0</v>
      </c>
      <c r="AL84" s="11" t="e">
        <f t="shared" si="13"/>
        <v>#REF!</v>
      </c>
      <c r="AM84" s="97" t="s">
        <v>142</v>
      </c>
    </row>
    <row r="85" spans="1:39" s="124" customFormat="1">
      <c r="A85" s="123"/>
      <c r="B85" s="123" t="s">
        <v>46</v>
      </c>
      <c r="C85" s="122" t="s">
        <v>140</v>
      </c>
      <c r="D85" s="97" t="s">
        <v>143</v>
      </c>
      <c r="E85" s="98"/>
      <c r="F85" s="99" t="e">
        <f>VLOOKUP(D85,#REF!,19,FALSE)</f>
        <v>#REF!</v>
      </c>
      <c r="G85" s="100"/>
      <c r="H85" s="100"/>
      <c r="I85" s="101"/>
      <c r="J85" s="102" t="e">
        <f t="shared" si="0"/>
        <v>#REF!</v>
      </c>
      <c r="K85" s="103"/>
      <c r="L85" s="104"/>
      <c r="M85" s="105"/>
      <c r="N85" s="103">
        <v>0</v>
      </c>
      <c r="O85" s="106"/>
      <c r="P85" s="103">
        <v>0</v>
      </c>
      <c r="Q85" s="107">
        <f t="shared" si="1"/>
        <v>0</v>
      </c>
      <c r="R85" s="107"/>
      <c r="S85" s="107"/>
      <c r="T85" s="108">
        <v>0</v>
      </c>
      <c r="U85" s="119"/>
      <c r="V85" s="110">
        <f t="shared" si="14"/>
        <v>0</v>
      </c>
      <c r="W85" s="103"/>
      <c r="X85" s="112">
        <f t="shared" si="3"/>
        <v>0</v>
      </c>
      <c r="Y85" s="112">
        <f t="shared" si="4"/>
        <v>0</v>
      </c>
      <c r="Z85" s="113">
        <f t="shared" si="5"/>
        <v>0</v>
      </c>
      <c r="AA85" s="113">
        <v>0</v>
      </c>
      <c r="AB85" s="114">
        <v>0</v>
      </c>
      <c r="AC85" s="11">
        <f t="shared" si="6"/>
        <v>0</v>
      </c>
      <c r="AD85" s="115">
        <f t="shared" si="7"/>
        <v>0</v>
      </c>
      <c r="AE85" s="115" t="e">
        <f t="shared" si="8"/>
        <v>#REF!</v>
      </c>
      <c r="AF85" s="115">
        <f t="shared" si="9"/>
        <v>0</v>
      </c>
      <c r="AG85" s="11"/>
      <c r="AH85" s="115">
        <f t="shared" si="10"/>
        <v>0</v>
      </c>
      <c r="AI85" s="115">
        <f t="shared" si="11"/>
        <v>0</v>
      </c>
      <c r="AJ85" s="115">
        <f t="shared" si="12"/>
        <v>0</v>
      </c>
      <c r="AL85" s="11" t="e">
        <f t="shared" si="13"/>
        <v>#REF!</v>
      </c>
      <c r="AM85" s="97" t="s">
        <v>143</v>
      </c>
    </row>
    <row r="86" spans="1:39">
      <c r="A86" s="116"/>
      <c r="B86" s="116" t="s">
        <v>49</v>
      </c>
      <c r="C86" s="122" t="s">
        <v>144</v>
      </c>
      <c r="D86" s="121" t="s">
        <v>145</v>
      </c>
      <c r="E86" s="98"/>
      <c r="F86" s="99" t="e">
        <f>VLOOKUP(D86,#REF!,19,FALSE)</f>
        <v>#REF!</v>
      </c>
      <c r="G86" s="100"/>
      <c r="H86" s="100"/>
      <c r="I86" s="101"/>
      <c r="J86" s="102" t="e">
        <f t="shared" si="0"/>
        <v>#REF!</v>
      </c>
      <c r="K86" s="103"/>
      <c r="L86" s="104"/>
      <c r="M86" s="105"/>
      <c r="N86" s="103">
        <v>0</v>
      </c>
      <c r="O86" s="106"/>
      <c r="P86" s="103">
        <v>0</v>
      </c>
      <c r="Q86" s="107">
        <f t="shared" si="1"/>
        <v>0</v>
      </c>
      <c r="R86" s="107"/>
      <c r="S86" s="107"/>
      <c r="T86" s="108">
        <v>0</v>
      </c>
      <c r="U86" s="119"/>
      <c r="V86" s="110">
        <f t="shared" si="14"/>
        <v>0</v>
      </c>
      <c r="W86" s="103"/>
      <c r="X86" s="112">
        <f t="shared" si="3"/>
        <v>0</v>
      </c>
      <c r="Y86" s="112">
        <f t="shared" si="4"/>
        <v>0</v>
      </c>
      <c r="Z86" s="113">
        <f t="shared" si="5"/>
        <v>0</v>
      </c>
      <c r="AA86" s="113">
        <v>0</v>
      </c>
      <c r="AB86" s="114">
        <v>0</v>
      </c>
      <c r="AC86" s="11">
        <f t="shared" si="6"/>
        <v>0</v>
      </c>
      <c r="AD86" s="115" t="e">
        <f t="shared" si="7"/>
        <v>#REF!</v>
      </c>
      <c r="AE86" s="115">
        <f t="shared" si="8"/>
        <v>0</v>
      </c>
      <c r="AF86" s="115">
        <f t="shared" si="9"/>
        <v>0</v>
      </c>
      <c r="AG86" s="11"/>
      <c r="AH86" s="115">
        <f t="shared" si="10"/>
        <v>0</v>
      </c>
      <c r="AI86" s="115">
        <f t="shared" si="11"/>
        <v>0</v>
      </c>
      <c r="AJ86" s="115">
        <f t="shared" si="12"/>
        <v>0</v>
      </c>
      <c r="AL86" s="11" t="e">
        <f t="shared" si="13"/>
        <v>#REF!</v>
      </c>
      <c r="AM86" s="121" t="s">
        <v>145</v>
      </c>
    </row>
    <row r="87" spans="1:39">
      <c r="A87" s="116"/>
      <c r="B87" s="116" t="s">
        <v>49</v>
      </c>
      <c r="C87" s="122" t="s">
        <v>144</v>
      </c>
      <c r="D87" s="121" t="s">
        <v>146</v>
      </c>
      <c r="E87" s="98"/>
      <c r="F87" s="99" t="e">
        <f>VLOOKUP(D87,#REF!,19,FALSE)</f>
        <v>#REF!</v>
      </c>
      <c r="G87" s="100"/>
      <c r="H87" s="100"/>
      <c r="I87" s="101"/>
      <c r="J87" s="102" t="e">
        <f t="shared" ref="J87:J155" si="15">SUM(E87:I87)</f>
        <v>#REF!</v>
      </c>
      <c r="K87" s="103"/>
      <c r="L87" s="104"/>
      <c r="M87" s="105"/>
      <c r="N87" s="103">
        <v>0</v>
      </c>
      <c r="O87" s="106"/>
      <c r="P87" s="103">
        <v>0</v>
      </c>
      <c r="Q87" s="107">
        <f t="shared" si="1"/>
        <v>0</v>
      </c>
      <c r="R87" s="107"/>
      <c r="S87" s="107"/>
      <c r="T87" s="108">
        <v>0</v>
      </c>
      <c r="U87" s="119"/>
      <c r="V87" s="110">
        <f t="shared" si="14"/>
        <v>0</v>
      </c>
      <c r="W87" s="103"/>
      <c r="X87" s="112">
        <f t="shared" si="3"/>
        <v>0</v>
      </c>
      <c r="Y87" s="112">
        <f t="shared" si="4"/>
        <v>0</v>
      </c>
      <c r="Z87" s="113">
        <f t="shared" si="5"/>
        <v>0</v>
      </c>
      <c r="AA87" s="113">
        <v>0</v>
      </c>
      <c r="AB87" s="114">
        <v>0</v>
      </c>
      <c r="AC87" s="11">
        <f t="shared" si="6"/>
        <v>0</v>
      </c>
      <c r="AD87" s="115" t="e">
        <f t="shared" ref="AD87:AD155" si="16">IF(B87="D",J87,0)</f>
        <v>#REF!</v>
      </c>
      <c r="AE87" s="115">
        <f t="shared" ref="AE87:AE155" si="17">IF(B87="M",J87,0)</f>
        <v>0</v>
      </c>
      <c r="AF87" s="115">
        <f t="shared" ref="AF87:AF155" si="18">IF(B87="V",J87,0)</f>
        <v>0</v>
      </c>
      <c r="AG87" s="11"/>
      <c r="AH87" s="115">
        <f t="shared" si="10"/>
        <v>0</v>
      </c>
      <c r="AI87" s="115">
        <f t="shared" si="11"/>
        <v>0</v>
      </c>
      <c r="AJ87" s="115">
        <f t="shared" si="12"/>
        <v>0</v>
      </c>
      <c r="AL87" s="11" t="e">
        <f t="shared" si="13"/>
        <v>#REF!</v>
      </c>
      <c r="AM87" s="121" t="s">
        <v>146</v>
      </c>
    </row>
    <row r="88" spans="1:39">
      <c r="A88" s="116"/>
      <c r="B88" s="116" t="s">
        <v>49</v>
      </c>
      <c r="C88" s="122" t="s">
        <v>147</v>
      </c>
      <c r="D88" s="120" t="s">
        <v>148</v>
      </c>
      <c r="E88" s="98"/>
      <c r="F88" s="99" t="e">
        <f>VLOOKUP(D88,#REF!,19,FALSE)</f>
        <v>#REF!</v>
      </c>
      <c r="G88" s="100"/>
      <c r="H88" s="100"/>
      <c r="I88" s="101"/>
      <c r="J88" s="102" t="e">
        <f t="shared" si="15"/>
        <v>#REF!</v>
      </c>
      <c r="K88" s="103"/>
      <c r="L88" s="104"/>
      <c r="M88" s="105">
        <v>10000</v>
      </c>
      <c r="N88" s="103">
        <v>0</v>
      </c>
      <c r="O88" s="106"/>
      <c r="P88" s="103">
        <v>0</v>
      </c>
      <c r="Q88" s="107">
        <f t="shared" si="1"/>
        <v>10000</v>
      </c>
      <c r="R88" s="107"/>
      <c r="S88" s="107"/>
      <c r="T88" s="108">
        <v>6998.45</v>
      </c>
      <c r="U88" s="119"/>
      <c r="V88" s="110">
        <f t="shared" si="14"/>
        <v>-3001.55</v>
      </c>
      <c r="W88" s="103"/>
      <c r="X88" s="112">
        <f t="shared" ref="X88:X157" si="19">IF(B88="D",Q88,0)</f>
        <v>10000</v>
      </c>
      <c r="Y88" s="112">
        <f t="shared" ref="Y88:Y157" si="20">IF(B88="M",Q88,0)</f>
        <v>0</v>
      </c>
      <c r="Z88" s="113">
        <f t="shared" ref="Z88:Z157" si="21">IF(B88="V",Q88,0)</f>
        <v>0</v>
      </c>
      <c r="AA88" s="113">
        <v>0</v>
      </c>
      <c r="AB88" s="114">
        <v>0</v>
      </c>
      <c r="AC88" s="11">
        <f t="shared" ref="AC88:AC157" si="22">(L88+M88)-(X88+Y88+Z88+AA88+AB88)</f>
        <v>0</v>
      </c>
      <c r="AD88" s="115" t="e">
        <f t="shared" si="16"/>
        <v>#REF!</v>
      </c>
      <c r="AE88" s="115">
        <f t="shared" si="17"/>
        <v>0</v>
      </c>
      <c r="AF88" s="115">
        <f t="shared" si="18"/>
        <v>0</v>
      </c>
      <c r="AG88" s="11"/>
      <c r="AH88" s="115">
        <f t="shared" ref="AH88:AH156" si="23">IF(B88="D",Q88,0)</f>
        <v>10000</v>
      </c>
      <c r="AI88" s="115">
        <f t="shared" ref="AI88:AI156" si="24">IF(B88="M",Q88,0)</f>
        <v>0</v>
      </c>
      <c r="AJ88" s="115">
        <f t="shared" ref="AJ88:AJ156" si="25">IF(B88="V",Q88,0)</f>
        <v>0</v>
      </c>
      <c r="AL88" s="11" t="e">
        <f t="shared" si="13"/>
        <v>#REF!</v>
      </c>
      <c r="AM88" s="120" t="s">
        <v>148</v>
      </c>
    </row>
    <row r="89" spans="1:39">
      <c r="A89" s="116"/>
      <c r="B89" s="116" t="s">
        <v>49</v>
      </c>
      <c r="C89" s="122" t="s">
        <v>149</v>
      </c>
      <c r="D89" s="120" t="s">
        <v>150</v>
      </c>
      <c r="E89" s="98"/>
      <c r="F89" s="99" t="e">
        <f>VLOOKUP(D89,#REF!,19,FALSE)</f>
        <v>#REF!</v>
      </c>
      <c r="G89" s="100"/>
      <c r="H89" s="100"/>
      <c r="I89" s="101"/>
      <c r="J89" s="102" t="e">
        <f t="shared" si="15"/>
        <v>#REF!</v>
      </c>
      <c r="K89" s="103"/>
      <c r="L89" s="104"/>
      <c r="M89" s="105"/>
      <c r="N89" s="103">
        <v>0</v>
      </c>
      <c r="O89" s="106"/>
      <c r="P89" s="103">
        <v>0</v>
      </c>
      <c r="Q89" s="107">
        <f t="shared" si="1"/>
        <v>0</v>
      </c>
      <c r="R89" s="107"/>
      <c r="S89" s="107"/>
      <c r="T89" s="108">
        <v>0</v>
      </c>
      <c r="U89" s="119"/>
      <c r="V89" s="110">
        <f t="shared" si="14"/>
        <v>0</v>
      </c>
      <c r="W89" s="103"/>
      <c r="X89" s="112">
        <f t="shared" si="19"/>
        <v>0</v>
      </c>
      <c r="Y89" s="112">
        <f t="shared" si="20"/>
        <v>0</v>
      </c>
      <c r="Z89" s="113">
        <f t="shared" si="21"/>
        <v>0</v>
      </c>
      <c r="AA89" s="113">
        <v>0</v>
      </c>
      <c r="AB89" s="114">
        <v>0</v>
      </c>
      <c r="AC89" s="11">
        <f t="shared" si="22"/>
        <v>0</v>
      </c>
      <c r="AD89" s="115" t="e">
        <f t="shared" si="16"/>
        <v>#REF!</v>
      </c>
      <c r="AE89" s="115">
        <f t="shared" si="17"/>
        <v>0</v>
      </c>
      <c r="AF89" s="115">
        <f t="shared" si="18"/>
        <v>0</v>
      </c>
      <c r="AG89" s="11"/>
      <c r="AH89" s="115">
        <f t="shared" si="23"/>
        <v>0</v>
      </c>
      <c r="AI89" s="115">
        <f t="shared" si="24"/>
        <v>0</v>
      </c>
      <c r="AJ89" s="115">
        <f t="shared" si="25"/>
        <v>0</v>
      </c>
      <c r="AL89" s="11" t="e">
        <f t="shared" ref="AL89:AL155" si="26">SUM(AD89:AJ89)</f>
        <v>#REF!</v>
      </c>
      <c r="AM89" s="120" t="s">
        <v>150</v>
      </c>
    </row>
    <row r="90" spans="1:39">
      <c r="A90" s="116"/>
      <c r="B90" s="116" t="s">
        <v>49</v>
      </c>
      <c r="C90" s="122" t="s">
        <v>149</v>
      </c>
      <c r="D90" s="120" t="s">
        <v>151</v>
      </c>
      <c r="E90" s="98"/>
      <c r="F90" s="99" t="e">
        <f>VLOOKUP(D90,#REF!,19,FALSE)</f>
        <v>#REF!</v>
      </c>
      <c r="G90" s="100"/>
      <c r="H90" s="100"/>
      <c r="I90" s="101"/>
      <c r="J90" s="102" t="e">
        <f t="shared" si="15"/>
        <v>#REF!</v>
      </c>
      <c r="K90" s="103"/>
      <c r="L90" s="104"/>
      <c r="M90" s="105"/>
      <c r="N90" s="103">
        <v>0</v>
      </c>
      <c r="O90" s="106"/>
      <c r="P90" s="103">
        <v>0</v>
      </c>
      <c r="Q90" s="107">
        <f t="shared" si="1"/>
        <v>0</v>
      </c>
      <c r="R90" s="107"/>
      <c r="S90" s="107"/>
      <c r="T90" s="108">
        <v>0</v>
      </c>
      <c r="U90" s="119"/>
      <c r="V90" s="110">
        <f t="shared" si="14"/>
        <v>0</v>
      </c>
      <c r="W90" s="103"/>
      <c r="X90" s="112">
        <f t="shared" si="19"/>
        <v>0</v>
      </c>
      <c r="Y90" s="112">
        <f t="shared" si="20"/>
        <v>0</v>
      </c>
      <c r="Z90" s="113">
        <f t="shared" si="21"/>
        <v>0</v>
      </c>
      <c r="AA90" s="113">
        <v>0</v>
      </c>
      <c r="AB90" s="114">
        <v>0</v>
      </c>
      <c r="AC90" s="11">
        <f t="shared" si="22"/>
        <v>0</v>
      </c>
      <c r="AD90" s="115" t="e">
        <f t="shared" si="16"/>
        <v>#REF!</v>
      </c>
      <c r="AE90" s="115">
        <f t="shared" si="17"/>
        <v>0</v>
      </c>
      <c r="AF90" s="115">
        <f t="shared" si="18"/>
        <v>0</v>
      </c>
      <c r="AG90" s="11"/>
      <c r="AH90" s="115">
        <f t="shared" si="23"/>
        <v>0</v>
      </c>
      <c r="AI90" s="115">
        <f t="shared" si="24"/>
        <v>0</v>
      </c>
      <c r="AJ90" s="115">
        <f t="shared" si="25"/>
        <v>0</v>
      </c>
      <c r="AL90" s="11" t="e">
        <f t="shared" si="26"/>
        <v>#REF!</v>
      </c>
      <c r="AM90" s="120" t="s">
        <v>151</v>
      </c>
    </row>
    <row r="91" spans="1:39">
      <c r="A91" s="116"/>
      <c r="B91" s="116" t="s">
        <v>49</v>
      </c>
      <c r="C91" s="122" t="s">
        <v>149</v>
      </c>
      <c r="D91" s="120" t="s">
        <v>152</v>
      </c>
      <c r="E91" s="98"/>
      <c r="F91" s="99" t="e">
        <f>VLOOKUP(D91,#REF!,19,FALSE)</f>
        <v>#REF!</v>
      </c>
      <c r="G91" s="100"/>
      <c r="H91" s="100"/>
      <c r="I91" s="101"/>
      <c r="J91" s="102" t="e">
        <f t="shared" si="15"/>
        <v>#REF!</v>
      </c>
      <c r="K91" s="103"/>
      <c r="L91" s="104"/>
      <c r="M91" s="105"/>
      <c r="N91" s="103">
        <v>0</v>
      </c>
      <c r="O91" s="106"/>
      <c r="P91" s="103">
        <v>0</v>
      </c>
      <c r="Q91" s="107">
        <f t="shared" si="1"/>
        <v>0</v>
      </c>
      <c r="R91" s="107"/>
      <c r="S91" s="107"/>
      <c r="T91" s="108">
        <v>0</v>
      </c>
      <c r="U91" s="119"/>
      <c r="V91" s="110">
        <f t="shared" si="14"/>
        <v>0</v>
      </c>
      <c r="W91" s="103"/>
      <c r="X91" s="112">
        <f t="shared" si="19"/>
        <v>0</v>
      </c>
      <c r="Y91" s="112">
        <f t="shared" si="20"/>
        <v>0</v>
      </c>
      <c r="Z91" s="113">
        <f t="shared" si="21"/>
        <v>0</v>
      </c>
      <c r="AA91" s="113">
        <v>0</v>
      </c>
      <c r="AB91" s="114">
        <v>0</v>
      </c>
      <c r="AC91" s="11">
        <f t="shared" si="22"/>
        <v>0</v>
      </c>
      <c r="AD91" s="115" t="e">
        <f t="shared" si="16"/>
        <v>#REF!</v>
      </c>
      <c r="AE91" s="115">
        <f t="shared" si="17"/>
        <v>0</v>
      </c>
      <c r="AF91" s="115">
        <f t="shared" si="18"/>
        <v>0</v>
      </c>
      <c r="AG91" s="11"/>
      <c r="AH91" s="115">
        <f t="shared" si="23"/>
        <v>0</v>
      </c>
      <c r="AI91" s="115">
        <f t="shared" si="24"/>
        <v>0</v>
      </c>
      <c r="AJ91" s="115">
        <f t="shared" si="25"/>
        <v>0</v>
      </c>
      <c r="AL91" s="11" t="e">
        <f t="shared" si="26"/>
        <v>#REF!</v>
      </c>
      <c r="AM91" s="120" t="s">
        <v>152</v>
      </c>
    </row>
    <row r="92" spans="1:39">
      <c r="A92" s="129"/>
      <c r="B92" s="129" t="s">
        <v>49</v>
      </c>
      <c r="C92" s="96"/>
      <c r="D92" s="120" t="s">
        <v>153</v>
      </c>
      <c r="E92" s="98"/>
      <c r="F92" s="99" t="e">
        <f>VLOOKUP(D92,#REF!,19,FALSE)</f>
        <v>#REF!</v>
      </c>
      <c r="G92" s="100"/>
      <c r="H92" s="100"/>
      <c r="I92" s="101"/>
      <c r="J92" s="102" t="e">
        <f t="shared" si="15"/>
        <v>#REF!</v>
      </c>
      <c r="K92" s="103"/>
      <c r="L92" s="104"/>
      <c r="M92" s="105"/>
      <c r="N92" s="103">
        <v>0</v>
      </c>
      <c r="O92" s="106"/>
      <c r="P92" s="103">
        <v>0</v>
      </c>
      <c r="Q92" s="107">
        <f t="shared" si="1"/>
        <v>0</v>
      </c>
      <c r="R92" s="107"/>
      <c r="S92" s="107"/>
      <c r="T92" s="108">
        <v>0</v>
      </c>
      <c r="U92" s="119"/>
      <c r="V92" s="110">
        <f t="shared" si="14"/>
        <v>0</v>
      </c>
      <c r="W92" s="103"/>
      <c r="X92" s="112">
        <f t="shared" si="19"/>
        <v>0</v>
      </c>
      <c r="Y92" s="112">
        <f t="shared" si="20"/>
        <v>0</v>
      </c>
      <c r="Z92" s="113">
        <f t="shared" si="21"/>
        <v>0</v>
      </c>
      <c r="AA92" s="113">
        <v>0</v>
      </c>
      <c r="AB92" s="114">
        <v>0</v>
      </c>
      <c r="AC92" s="11">
        <f t="shared" si="22"/>
        <v>0</v>
      </c>
      <c r="AD92" s="115" t="e">
        <f t="shared" si="16"/>
        <v>#REF!</v>
      </c>
      <c r="AE92" s="115">
        <f t="shared" si="17"/>
        <v>0</v>
      </c>
      <c r="AF92" s="115">
        <f t="shared" si="18"/>
        <v>0</v>
      </c>
      <c r="AG92" s="11"/>
      <c r="AH92" s="115">
        <f t="shared" si="23"/>
        <v>0</v>
      </c>
      <c r="AI92" s="115">
        <f t="shared" si="24"/>
        <v>0</v>
      </c>
      <c r="AJ92" s="115">
        <f t="shared" si="25"/>
        <v>0</v>
      </c>
      <c r="AL92" s="11" t="e">
        <f t="shared" si="26"/>
        <v>#REF!</v>
      </c>
      <c r="AM92" s="120" t="s">
        <v>122</v>
      </c>
    </row>
    <row r="93" spans="1:39">
      <c r="A93" s="116" t="s">
        <v>154</v>
      </c>
      <c r="B93" s="116" t="s">
        <v>81</v>
      </c>
      <c r="C93" s="122"/>
      <c r="D93" s="120" t="s">
        <v>155</v>
      </c>
      <c r="E93" s="98"/>
      <c r="F93" s="99" t="e">
        <f>VLOOKUP(D93,#REF!,19,FALSE)</f>
        <v>#REF!</v>
      </c>
      <c r="G93" s="100"/>
      <c r="H93" s="100"/>
      <c r="I93" s="101"/>
      <c r="J93" s="102" t="e">
        <f t="shared" si="15"/>
        <v>#REF!</v>
      </c>
      <c r="K93" s="103"/>
      <c r="L93" s="104"/>
      <c r="M93" s="105">
        <v>25000</v>
      </c>
      <c r="N93" s="103">
        <v>0</v>
      </c>
      <c r="O93" s="106"/>
      <c r="P93" s="103">
        <v>0</v>
      </c>
      <c r="Q93" s="107">
        <f t="shared" si="1"/>
        <v>25000</v>
      </c>
      <c r="R93" s="107"/>
      <c r="S93" s="107"/>
      <c r="T93" s="108">
        <v>27979.19</v>
      </c>
      <c r="U93" s="119"/>
      <c r="V93" s="110">
        <f t="shared" si="14"/>
        <v>2979.1899999999987</v>
      </c>
      <c r="W93" s="103"/>
      <c r="X93" s="112">
        <f t="shared" si="19"/>
        <v>0</v>
      </c>
      <c r="Y93" s="112">
        <f t="shared" si="20"/>
        <v>0</v>
      </c>
      <c r="Z93" s="113">
        <f t="shared" si="21"/>
        <v>25000</v>
      </c>
      <c r="AA93" s="113">
        <v>0</v>
      </c>
      <c r="AB93" s="114">
        <v>0</v>
      </c>
      <c r="AC93" s="11">
        <f t="shared" si="22"/>
        <v>0</v>
      </c>
      <c r="AD93" s="115">
        <f t="shared" si="16"/>
        <v>0</v>
      </c>
      <c r="AE93" s="115">
        <f t="shared" si="17"/>
        <v>0</v>
      </c>
      <c r="AF93" s="115" t="e">
        <f t="shared" si="18"/>
        <v>#REF!</v>
      </c>
      <c r="AG93" s="11"/>
      <c r="AH93" s="115">
        <f t="shared" si="23"/>
        <v>0</v>
      </c>
      <c r="AI93" s="115">
        <f t="shared" si="24"/>
        <v>0</v>
      </c>
      <c r="AJ93" s="115">
        <f t="shared" si="25"/>
        <v>25000</v>
      </c>
      <c r="AL93" s="11" t="e">
        <f t="shared" si="26"/>
        <v>#REF!</v>
      </c>
      <c r="AM93" s="120" t="s">
        <v>155</v>
      </c>
    </row>
    <row r="94" spans="1:39" hidden="1">
      <c r="A94" s="116" t="s">
        <v>154</v>
      </c>
      <c r="B94" s="116" t="s">
        <v>81</v>
      </c>
      <c r="C94" s="122"/>
      <c r="D94" s="120" t="s">
        <v>156</v>
      </c>
      <c r="E94" s="98"/>
      <c r="F94" s="99" t="e">
        <f>VLOOKUP(D94,#REF!,19,FALSE)</f>
        <v>#REF!</v>
      </c>
      <c r="G94" s="100"/>
      <c r="H94" s="100"/>
      <c r="I94" s="101"/>
      <c r="J94" s="102" t="e">
        <f t="shared" si="15"/>
        <v>#REF!</v>
      </c>
      <c r="K94" s="103"/>
      <c r="L94" s="104"/>
      <c r="M94" s="105"/>
      <c r="N94" s="103"/>
      <c r="O94" s="106"/>
      <c r="P94" s="103"/>
      <c r="Q94" s="107">
        <f t="shared" si="1"/>
        <v>0</v>
      </c>
      <c r="R94" s="107"/>
      <c r="S94" s="107"/>
      <c r="T94" s="108">
        <v>0</v>
      </c>
      <c r="U94" s="119"/>
      <c r="V94" s="110">
        <f t="shared" si="14"/>
        <v>0</v>
      </c>
      <c r="W94" s="103"/>
      <c r="X94" s="112">
        <f t="shared" si="19"/>
        <v>0</v>
      </c>
      <c r="Y94" s="112">
        <f t="shared" si="20"/>
        <v>0</v>
      </c>
      <c r="Z94" s="113">
        <f t="shared" si="21"/>
        <v>0</v>
      </c>
      <c r="AA94" s="113">
        <v>0</v>
      </c>
      <c r="AB94" s="114">
        <v>0</v>
      </c>
      <c r="AC94" s="11">
        <f t="shared" si="22"/>
        <v>0</v>
      </c>
      <c r="AD94" s="115">
        <f t="shared" si="16"/>
        <v>0</v>
      </c>
      <c r="AE94" s="115">
        <f t="shared" si="17"/>
        <v>0</v>
      </c>
      <c r="AF94" s="115" t="e">
        <f t="shared" si="18"/>
        <v>#REF!</v>
      </c>
      <c r="AG94" s="11"/>
      <c r="AH94" s="115">
        <f t="shared" si="23"/>
        <v>0</v>
      </c>
      <c r="AI94" s="115">
        <f t="shared" si="24"/>
        <v>0</v>
      </c>
      <c r="AJ94" s="115">
        <f t="shared" si="25"/>
        <v>0</v>
      </c>
      <c r="AL94" s="11" t="e">
        <f t="shared" si="26"/>
        <v>#REF!</v>
      </c>
      <c r="AM94" s="120" t="s">
        <v>156</v>
      </c>
    </row>
    <row r="95" spans="1:39" hidden="1">
      <c r="A95" s="116" t="s">
        <v>46</v>
      </c>
      <c r="B95" s="116" t="s">
        <v>46</v>
      </c>
      <c r="C95" s="122" t="s">
        <v>157</v>
      </c>
      <c r="D95" s="120" t="s">
        <v>158</v>
      </c>
      <c r="E95" s="98"/>
      <c r="F95" s="99" t="e">
        <f>VLOOKUP(D95,#REF!,19,FALSE)</f>
        <v>#REF!</v>
      </c>
      <c r="G95" s="100"/>
      <c r="H95" s="100"/>
      <c r="I95" s="101"/>
      <c r="J95" s="102" t="e">
        <f t="shared" si="15"/>
        <v>#REF!</v>
      </c>
      <c r="K95" s="103"/>
      <c r="L95" s="104"/>
      <c r="M95" s="105"/>
      <c r="N95" s="103">
        <v>0</v>
      </c>
      <c r="O95" s="106"/>
      <c r="P95" s="103">
        <v>0</v>
      </c>
      <c r="Q95" s="107">
        <f t="shared" si="1"/>
        <v>0</v>
      </c>
      <c r="R95" s="107"/>
      <c r="S95" s="107"/>
      <c r="T95" s="108">
        <v>0</v>
      </c>
      <c r="U95" s="119"/>
      <c r="V95" s="110">
        <f t="shared" si="14"/>
        <v>0</v>
      </c>
      <c r="W95" s="103"/>
      <c r="X95" s="112">
        <f t="shared" si="19"/>
        <v>0</v>
      </c>
      <c r="Y95" s="112">
        <f t="shared" si="20"/>
        <v>0</v>
      </c>
      <c r="Z95" s="113">
        <f t="shared" si="21"/>
        <v>0</v>
      </c>
      <c r="AA95" s="113">
        <v>0</v>
      </c>
      <c r="AB95" s="114">
        <v>0</v>
      </c>
      <c r="AC95" s="11">
        <f t="shared" si="22"/>
        <v>0</v>
      </c>
      <c r="AD95" s="115">
        <f t="shared" si="16"/>
        <v>0</v>
      </c>
      <c r="AE95" s="115" t="e">
        <f t="shared" si="17"/>
        <v>#REF!</v>
      </c>
      <c r="AF95" s="115">
        <f t="shared" si="18"/>
        <v>0</v>
      </c>
      <c r="AG95" s="11"/>
      <c r="AH95" s="115">
        <f t="shared" si="23"/>
        <v>0</v>
      </c>
      <c r="AI95" s="115">
        <f t="shared" si="24"/>
        <v>0</v>
      </c>
      <c r="AJ95" s="115">
        <f t="shared" si="25"/>
        <v>0</v>
      </c>
      <c r="AL95" s="11" t="e">
        <f t="shared" si="26"/>
        <v>#REF!</v>
      </c>
      <c r="AM95" s="120" t="s">
        <v>158</v>
      </c>
    </row>
    <row r="96" spans="1:39" hidden="1">
      <c r="A96" s="129" t="s">
        <v>60</v>
      </c>
      <c r="B96" s="129" t="s">
        <v>46</v>
      </c>
      <c r="C96" s="96" t="s">
        <v>159</v>
      </c>
      <c r="D96" s="120" t="s">
        <v>160</v>
      </c>
      <c r="E96" s="98"/>
      <c r="F96" s="99" t="e">
        <f>VLOOKUP(D96,#REF!,19,FALSE)</f>
        <v>#REF!</v>
      </c>
      <c r="G96" s="100"/>
      <c r="H96" s="100"/>
      <c r="I96" s="101"/>
      <c r="J96" s="102" t="e">
        <f t="shared" si="15"/>
        <v>#REF!</v>
      </c>
      <c r="K96" s="103"/>
      <c r="L96" s="104"/>
      <c r="M96" s="105"/>
      <c r="N96" s="103">
        <v>0</v>
      </c>
      <c r="O96" s="106"/>
      <c r="P96" s="103">
        <v>0</v>
      </c>
      <c r="Q96" s="107">
        <f t="shared" si="1"/>
        <v>0</v>
      </c>
      <c r="R96" s="107"/>
      <c r="S96" s="107"/>
      <c r="T96" s="108">
        <v>0</v>
      </c>
      <c r="U96" s="119"/>
      <c r="V96" s="110">
        <f t="shared" si="14"/>
        <v>0</v>
      </c>
      <c r="W96" s="103"/>
      <c r="X96" s="112">
        <f t="shared" si="19"/>
        <v>0</v>
      </c>
      <c r="Y96" s="112">
        <f t="shared" si="20"/>
        <v>0</v>
      </c>
      <c r="Z96" s="113">
        <f t="shared" si="21"/>
        <v>0</v>
      </c>
      <c r="AA96" s="113">
        <v>0</v>
      </c>
      <c r="AB96" s="114">
        <v>0</v>
      </c>
      <c r="AC96" s="11">
        <f t="shared" si="22"/>
        <v>0</v>
      </c>
      <c r="AD96" s="115">
        <f t="shared" si="16"/>
        <v>0</v>
      </c>
      <c r="AE96" s="115" t="e">
        <f t="shared" si="17"/>
        <v>#REF!</v>
      </c>
      <c r="AF96" s="115">
        <f t="shared" si="18"/>
        <v>0</v>
      </c>
      <c r="AG96" s="11"/>
      <c r="AH96" s="115">
        <f t="shared" si="23"/>
        <v>0</v>
      </c>
      <c r="AI96" s="115">
        <f t="shared" si="24"/>
        <v>0</v>
      </c>
      <c r="AJ96" s="115">
        <f t="shared" si="25"/>
        <v>0</v>
      </c>
      <c r="AL96" s="11" t="e">
        <f t="shared" si="26"/>
        <v>#REF!</v>
      </c>
      <c r="AM96" s="120" t="s">
        <v>160</v>
      </c>
    </row>
    <row r="97" spans="1:39" hidden="1">
      <c r="A97" s="129" t="s">
        <v>60</v>
      </c>
      <c r="B97" s="129" t="s">
        <v>49</v>
      </c>
      <c r="C97" s="96"/>
      <c r="D97" s="120" t="s">
        <v>161</v>
      </c>
      <c r="E97" s="98"/>
      <c r="F97" s="99" t="e">
        <f>VLOOKUP(D97,#REF!,19,FALSE)</f>
        <v>#REF!</v>
      </c>
      <c r="G97" s="100"/>
      <c r="H97" s="100"/>
      <c r="I97" s="101"/>
      <c r="J97" s="102" t="e">
        <f t="shared" si="15"/>
        <v>#REF!</v>
      </c>
      <c r="K97" s="103"/>
      <c r="L97" s="104"/>
      <c r="M97" s="105"/>
      <c r="N97" s="103">
        <v>0</v>
      </c>
      <c r="O97" s="106"/>
      <c r="P97" s="103">
        <v>0</v>
      </c>
      <c r="Q97" s="107">
        <f t="shared" si="1"/>
        <v>0</v>
      </c>
      <c r="R97" s="107"/>
      <c r="S97" s="107"/>
      <c r="T97" s="108">
        <v>0</v>
      </c>
      <c r="U97" s="119"/>
      <c r="V97" s="110">
        <f t="shared" si="14"/>
        <v>0</v>
      </c>
      <c r="W97" s="103"/>
      <c r="X97" s="112">
        <f t="shared" si="19"/>
        <v>0</v>
      </c>
      <c r="Y97" s="112">
        <f t="shared" si="20"/>
        <v>0</v>
      </c>
      <c r="Z97" s="113">
        <f t="shared" si="21"/>
        <v>0</v>
      </c>
      <c r="AA97" s="113">
        <v>0</v>
      </c>
      <c r="AB97" s="114">
        <v>0</v>
      </c>
      <c r="AC97" s="11">
        <f t="shared" si="22"/>
        <v>0</v>
      </c>
      <c r="AD97" s="115" t="e">
        <f t="shared" si="16"/>
        <v>#REF!</v>
      </c>
      <c r="AE97" s="115">
        <f t="shared" si="17"/>
        <v>0</v>
      </c>
      <c r="AF97" s="115">
        <f t="shared" si="18"/>
        <v>0</v>
      </c>
      <c r="AG97" s="11"/>
      <c r="AH97" s="115">
        <f t="shared" si="23"/>
        <v>0</v>
      </c>
      <c r="AI97" s="115">
        <f t="shared" si="24"/>
        <v>0</v>
      </c>
      <c r="AJ97" s="115">
        <f t="shared" si="25"/>
        <v>0</v>
      </c>
      <c r="AL97" s="11" t="e">
        <f t="shared" si="26"/>
        <v>#REF!</v>
      </c>
      <c r="AM97" s="120" t="s">
        <v>161</v>
      </c>
    </row>
    <row r="98" spans="1:39">
      <c r="A98" s="116" t="s">
        <v>60</v>
      </c>
      <c r="B98" s="116" t="s">
        <v>46</v>
      </c>
      <c r="C98" s="122" t="s">
        <v>162</v>
      </c>
      <c r="D98" s="120" t="s">
        <v>163</v>
      </c>
      <c r="E98" s="98"/>
      <c r="F98" s="99" t="e">
        <f>VLOOKUP(D98,#REF!,19,FALSE)</f>
        <v>#REF!</v>
      </c>
      <c r="G98" s="100"/>
      <c r="H98" s="100"/>
      <c r="I98" s="101"/>
      <c r="J98" s="102" t="e">
        <f t="shared" si="15"/>
        <v>#REF!</v>
      </c>
      <c r="K98" s="103"/>
      <c r="L98" s="104"/>
      <c r="M98" s="105"/>
      <c r="N98" s="103">
        <v>0</v>
      </c>
      <c r="O98" s="106"/>
      <c r="P98" s="103">
        <v>0</v>
      </c>
      <c r="Q98" s="107">
        <f t="shared" si="1"/>
        <v>0</v>
      </c>
      <c r="R98" s="107"/>
      <c r="S98" s="107"/>
      <c r="T98" s="108">
        <v>0</v>
      </c>
      <c r="U98" s="119"/>
      <c r="V98" s="110">
        <f t="shared" si="14"/>
        <v>0</v>
      </c>
      <c r="W98" s="103"/>
      <c r="X98" s="112">
        <f t="shared" si="19"/>
        <v>0</v>
      </c>
      <c r="Y98" s="112">
        <f t="shared" si="20"/>
        <v>0</v>
      </c>
      <c r="Z98" s="113">
        <f t="shared" si="21"/>
        <v>0</v>
      </c>
      <c r="AA98" s="113">
        <v>0</v>
      </c>
      <c r="AB98" s="114">
        <v>0</v>
      </c>
      <c r="AC98" s="11">
        <f t="shared" si="22"/>
        <v>0</v>
      </c>
      <c r="AD98" s="115">
        <f t="shared" si="16"/>
        <v>0</v>
      </c>
      <c r="AE98" s="115" t="e">
        <f t="shared" si="17"/>
        <v>#REF!</v>
      </c>
      <c r="AF98" s="115">
        <f t="shared" si="18"/>
        <v>0</v>
      </c>
      <c r="AG98" s="11"/>
      <c r="AH98" s="115">
        <f t="shared" si="23"/>
        <v>0</v>
      </c>
      <c r="AI98" s="115">
        <f t="shared" si="24"/>
        <v>0</v>
      </c>
      <c r="AJ98" s="115">
        <f t="shared" si="25"/>
        <v>0</v>
      </c>
      <c r="AL98" s="11" t="e">
        <f t="shared" si="26"/>
        <v>#REF!</v>
      </c>
      <c r="AM98" s="120" t="s">
        <v>163</v>
      </c>
    </row>
    <row r="99" spans="1:39">
      <c r="A99" s="116" t="s">
        <v>60</v>
      </c>
      <c r="B99" s="116" t="s">
        <v>46</v>
      </c>
      <c r="C99" s="122" t="s">
        <v>162</v>
      </c>
      <c r="D99" s="120" t="s">
        <v>164</v>
      </c>
      <c r="E99" s="98"/>
      <c r="F99" s="99" t="e">
        <f>VLOOKUP(D99,#REF!,19,FALSE)</f>
        <v>#REF!</v>
      </c>
      <c r="G99" s="100"/>
      <c r="H99" s="100"/>
      <c r="I99" s="101"/>
      <c r="J99" s="102" t="e">
        <f t="shared" si="15"/>
        <v>#REF!</v>
      </c>
      <c r="K99" s="103"/>
      <c r="L99" s="104"/>
      <c r="M99" s="105"/>
      <c r="N99" s="103">
        <v>0</v>
      </c>
      <c r="O99" s="106"/>
      <c r="P99" s="103">
        <v>0</v>
      </c>
      <c r="Q99" s="107">
        <f t="shared" si="1"/>
        <v>0</v>
      </c>
      <c r="R99" s="107"/>
      <c r="S99" s="107"/>
      <c r="T99" s="108">
        <v>0</v>
      </c>
      <c r="U99" s="119"/>
      <c r="V99" s="110">
        <f t="shared" si="14"/>
        <v>0</v>
      </c>
      <c r="W99" s="103"/>
      <c r="X99" s="112">
        <f t="shared" si="19"/>
        <v>0</v>
      </c>
      <c r="Y99" s="112">
        <f t="shared" si="20"/>
        <v>0</v>
      </c>
      <c r="Z99" s="113">
        <f t="shared" si="21"/>
        <v>0</v>
      </c>
      <c r="AA99" s="113">
        <v>0</v>
      </c>
      <c r="AB99" s="114">
        <v>0</v>
      </c>
      <c r="AC99" s="11">
        <f t="shared" si="22"/>
        <v>0</v>
      </c>
      <c r="AD99" s="115">
        <f t="shared" si="16"/>
        <v>0</v>
      </c>
      <c r="AE99" s="115" t="e">
        <f t="shared" si="17"/>
        <v>#REF!</v>
      </c>
      <c r="AF99" s="115">
        <f t="shared" si="18"/>
        <v>0</v>
      </c>
      <c r="AG99" s="11"/>
      <c r="AH99" s="115">
        <f t="shared" si="23"/>
        <v>0</v>
      </c>
      <c r="AI99" s="115">
        <f t="shared" si="24"/>
        <v>0</v>
      </c>
      <c r="AJ99" s="115">
        <f t="shared" si="25"/>
        <v>0</v>
      </c>
      <c r="AL99" s="11" t="e">
        <f t="shared" si="26"/>
        <v>#REF!</v>
      </c>
      <c r="AM99" s="120" t="s">
        <v>164</v>
      </c>
    </row>
    <row r="100" spans="1:39">
      <c r="A100" s="116"/>
      <c r="B100" s="116" t="s">
        <v>46</v>
      </c>
      <c r="C100" s="122"/>
      <c r="D100" s="120" t="s">
        <v>165</v>
      </c>
      <c r="E100" s="98"/>
      <c r="F100" s="99" t="e">
        <f>VLOOKUP(D100,#REF!,19,FALSE)</f>
        <v>#REF!</v>
      </c>
      <c r="G100" s="100"/>
      <c r="H100" s="100"/>
      <c r="I100" s="101"/>
      <c r="J100" s="102" t="e">
        <f t="shared" si="15"/>
        <v>#REF!</v>
      </c>
      <c r="K100" s="103"/>
      <c r="L100" s="104"/>
      <c r="M100" s="105"/>
      <c r="N100" s="103">
        <v>0</v>
      </c>
      <c r="O100" s="106"/>
      <c r="P100" s="103">
        <v>0</v>
      </c>
      <c r="Q100" s="107">
        <f t="shared" si="1"/>
        <v>0</v>
      </c>
      <c r="R100" s="107"/>
      <c r="S100" s="107"/>
      <c r="T100" s="108">
        <v>0</v>
      </c>
      <c r="U100" s="119"/>
      <c r="V100" s="110">
        <f t="shared" si="14"/>
        <v>0</v>
      </c>
      <c r="W100" s="103"/>
      <c r="X100" s="112">
        <f t="shared" si="19"/>
        <v>0</v>
      </c>
      <c r="Y100" s="112">
        <f t="shared" si="20"/>
        <v>0</v>
      </c>
      <c r="Z100" s="113">
        <f t="shared" si="21"/>
        <v>0</v>
      </c>
      <c r="AA100" s="113">
        <v>0</v>
      </c>
      <c r="AB100" s="114">
        <v>0</v>
      </c>
      <c r="AC100" s="11">
        <f t="shared" si="22"/>
        <v>0</v>
      </c>
      <c r="AD100" s="115">
        <f t="shared" si="16"/>
        <v>0</v>
      </c>
      <c r="AE100" s="115" t="e">
        <f t="shared" si="17"/>
        <v>#REF!</v>
      </c>
      <c r="AF100" s="115">
        <f t="shared" si="18"/>
        <v>0</v>
      </c>
      <c r="AG100" s="11"/>
      <c r="AH100" s="115">
        <f t="shared" si="23"/>
        <v>0</v>
      </c>
      <c r="AI100" s="115">
        <f t="shared" si="24"/>
        <v>0</v>
      </c>
      <c r="AJ100" s="115">
        <f t="shared" si="25"/>
        <v>0</v>
      </c>
      <c r="AL100" s="11" t="e">
        <f t="shared" si="26"/>
        <v>#REF!</v>
      </c>
      <c r="AM100" s="120" t="s">
        <v>165</v>
      </c>
    </row>
    <row r="101" spans="1:39">
      <c r="A101" s="116" t="s">
        <v>46</v>
      </c>
      <c r="B101" s="116" t="s">
        <v>46</v>
      </c>
      <c r="C101" s="122"/>
      <c r="D101" s="120" t="s">
        <v>166</v>
      </c>
      <c r="E101" s="98"/>
      <c r="F101" s="99" t="e">
        <f>VLOOKUP(D101,#REF!,19,FALSE)</f>
        <v>#REF!</v>
      </c>
      <c r="G101" s="100"/>
      <c r="H101" s="100"/>
      <c r="I101" s="101"/>
      <c r="J101" s="102" t="e">
        <f t="shared" si="15"/>
        <v>#REF!</v>
      </c>
      <c r="K101" s="103"/>
      <c r="L101" s="104"/>
      <c r="M101" s="105"/>
      <c r="N101" s="103">
        <v>0</v>
      </c>
      <c r="O101" s="106"/>
      <c r="P101" s="103">
        <v>0</v>
      </c>
      <c r="Q101" s="107">
        <f t="shared" si="1"/>
        <v>0</v>
      </c>
      <c r="R101" s="107"/>
      <c r="S101" s="107"/>
      <c r="T101" s="108">
        <v>0</v>
      </c>
      <c r="U101" s="119"/>
      <c r="V101" s="110">
        <f t="shared" si="14"/>
        <v>0</v>
      </c>
      <c r="W101" s="103"/>
      <c r="X101" s="112">
        <f t="shared" si="19"/>
        <v>0</v>
      </c>
      <c r="Y101" s="112">
        <f t="shared" si="20"/>
        <v>0</v>
      </c>
      <c r="Z101" s="113">
        <f t="shared" si="21"/>
        <v>0</v>
      </c>
      <c r="AA101" s="113">
        <v>0</v>
      </c>
      <c r="AB101" s="114">
        <v>0</v>
      </c>
      <c r="AC101" s="11">
        <f t="shared" si="22"/>
        <v>0</v>
      </c>
      <c r="AD101" s="115">
        <f t="shared" si="16"/>
        <v>0</v>
      </c>
      <c r="AE101" s="115" t="e">
        <f t="shared" si="17"/>
        <v>#REF!</v>
      </c>
      <c r="AF101" s="115">
        <f t="shared" si="18"/>
        <v>0</v>
      </c>
      <c r="AG101" s="11"/>
      <c r="AH101" s="115">
        <f t="shared" si="23"/>
        <v>0</v>
      </c>
      <c r="AI101" s="115">
        <f t="shared" si="24"/>
        <v>0</v>
      </c>
      <c r="AJ101" s="115">
        <f t="shared" si="25"/>
        <v>0</v>
      </c>
      <c r="AL101" s="11" t="e">
        <f t="shared" si="26"/>
        <v>#REF!</v>
      </c>
      <c r="AM101" s="120" t="s">
        <v>166</v>
      </c>
    </row>
    <row r="102" spans="1:39">
      <c r="A102" s="129"/>
      <c r="B102" s="129" t="s">
        <v>49</v>
      </c>
      <c r="C102" s="96"/>
      <c r="D102" s="120" t="s">
        <v>167</v>
      </c>
      <c r="E102" s="98"/>
      <c r="F102" s="99" t="e">
        <f>VLOOKUP(D102,#REF!,19,FALSE)</f>
        <v>#REF!</v>
      </c>
      <c r="G102" s="100"/>
      <c r="H102" s="100"/>
      <c r="I102" s="125">
        <v>132.08000000000001</v>
      </c>
      <c r="J102" s="102" t="e">
        <f t="shared" si="15"/>
        <v>#REF!</v>
      </c>
      <c r="K102" s="103"/>
      <c r="L102" s="104"/>
      <c r="M102" s="105"/>
      <c r="N102" s="103">
        <v>0</v>
      </c>
      <c r="O102" s="106"/>
      <c r="P102" s="103">
        <v>0</v>
      </c>
      <c r="Q102" s="107">
        <f t="shared" si="1"/>
        <v>0</v>
      </c>
      <c r="R102" s="107"/>
      <c r="S102" s="107"/>
      <c r="T102" s="108">
        <v>0</v>
      </c>
      <c r="U102" s="119"/>
      <c r="V102" s="110">
        <f t="shared" si="14"/>
        <v>0</v>
      </c>
      <c r="W102" s="103"/>
      <c r="X102" s="112">
        <f t="shared" si="19"/>
        <v>0</v>
      </c>
      <c r="Y102" s="112">
        <f t="shared" si="20"/>
        <v>0</v>
      </c>
      <c r="Z102" s="113">
        <f t="shared" si="21"/>
        <v>0</v>
      </c>
      <c r="AA102" s="113">
        <v>0</v>
      </c>
      <c r="AB102" s="114">
        <v>0</v>
      </c>
      <c r="AC102" s="11">
        <f t="shared" si="22"/>
        <v>0</v>
      </c>
      <c r="AD102" s="115" t="e">
        <f t="shared" si="16"/>
        <v>#REF!</v>
      </c>
      <c r="AE102" s="115">
        <f t="shared" si="17"/>
        <v>0</v>
      </c>
      <c r="AF102" s="115">
        <f t="shared" si="18"/>
        <v>0</v>
      </c>
      <c r="AG102" s="11"/>
      <c r="AH102" s="115">
        <f t="shared" si="23"/>
        <v>0</v>
      </c>
      <c r="AI102" s="115">
        <f t="shared" si="24"/>
        <v>0</v>
      </c>
      <c r="AJ102" s="115">
        <f t="shared" si="25"/>
        <v>0</v>
      </c>
      <c r="AL102" s="11" t="e">
        <f t="shared" si="26"/>
        <v>#REF!</v>
      </c>
      <c r="AM102" s="120" t="s">
        <v>167</v>
      </c>
    </row>
    <row r="103" spans="1:39">
      <c r="A103" s="129"/>
      <c r="B103" s="129" t="s">
        <v>81</v>
      </c>
      <c r="C103" s="96"/>
      <c r="D103" s="120" t="s">
        <v>168</v>
      </c>
      <c r="E103" s="98"/>
      <c r="F103" s="99">
        <v>0</v>
      </c>
      <c r="G103" s="100"/>
      <c r="H103" s="100"/>
      <c r="I103" s="101"/>
      <c r="J103" s="102">
        <f t="shared" si="15"/>
        <v>0</v>
      </c>
      <c r="K103" s="103"/>
      <c r="L103" s="104"/>
      <c r="M103" s="105"/>
      <c r="N103" s="103">
        <v>0</v>
      </c>
      <c r="O103" s="106"/>
      <c r="P103" s="103">
        <v>0</v>
      </c>
      <c r="Q103" s="107">
        <f t="shared" si="1"/>
        <v>0</v>
      </c>
      <c r="R103" s="107"/>
      <c r="S103" s="107"/>
      <c r="T103" s="108">
        <v>0</v>
      </c>
      <c r="U103" s="119"/>
      <c r="V103" s="110">
        <f t="shared" si="14"/>
        <v>0</v>
      </c>
      <c r="W103" s="103"/>
      <c r="X103" s="112">
        <f t="shared" si="19"/>
        <v>0</v>
      </c>
      <c r="Y103" s="112">
        <f t="shared" si="20"/>
        <v>0</v>
      </c>
      <c r="Z103" s="113">
        <f t="shared" si="21"/>
        <v>0</v>
      </c>
      <c r="AA103" s="113">
        <v>0</v>
      </c>
      <c r="AB103" s="114">
        <v>0</v>
      </c>
      <c r="AC103" s="11">
        <f t="shared" si="22"/>
        <v>0</v>
      </c>
      <c r="AD103" s="115">
        <f t="shared" si="16"/>
        <v>0</v>
      </c>
      <c r="AE103" s="115">
        <f t="shared" si="17"/>
        <v>0</v>
      </c>
      <c r="AF103" s="115">
        <f t="shared" si="18"/>
        <v>0</v>
      </c>
      <c r="AG103" s="11"/>
      <c r="AH103" s="115">
        <f t="shared" si="23"/>
        <v>0</v>
      </c>
      <c r="AI103" s="115">
        <f t="shared" si="24"/>
        <v>0</v>
      </c>
      <c r="AJ103" s="115">
        <f t="shared" si="25"/>
        <v>0</v>
      </c>
      <c r="AL103" s="11">
        <f t="shared" si="26"/>
        <v>0</v>
      </c>
      <c r="AM103" s="120" t="s">
        <v>169</v>
      </c>
    </row>
    <row r="104" spans="1:39">
      <c r="A104" s="129"/>
      <c r="B104" s="129" t="s">
        <v>49</v>
      </c>
      <c r="C104" s="96" t="s">
        <v>170</v>
      </c>
      <c r="D104" s="120" t="s">
        <v>171</v>
      </c>
      <c r="E104" s="98"/>
      <c r="F104" s="99" t="e">
        <f>VLOOKUP(D104,#REF!,19,FALSE)</f>
        <v>#REF!</v>
      </c>
      <c r="G104" s="100"/>
      <c r="H104" s="100"/>
      <c r="I104" s="101"/>
      <c r="J104" s="102" t="e">
        <f t="shared" si="15"/>
        <v>#REF!</v>
      </c>
      <c r="K104" s="103"/>
      <c r="L104" s="104"/>
      <c r="M104" s="105"/>
      <c r="N104" s="103">
        <v>0</v>
      </c>
      <c r="O104" s="106"/>
      <c r="P104" s="103">
        <v>0</v>
      </c>
      <c r="Q104" s="107">
        <f t="shared" si="1"/>
        <v>0</v>
      </c>
      <c r="R104" s="107"/>
      <c r="S104" s="107"/>
      <c r="T104" s="108">
        <v>0</v>
      </c>
      <c r="U104" s="119"/>
      <c r="V104" s="110">
        <f t="shared" si="14"/>
        <v>0</v>
      </c>
      <c r="W104" s="103"/>
      <c r="X104" s="112">
        <f t="shared" si="19"/>
        <v>0</v>
      </c>
      <c r="Y104" s="112">
        <f t="shared" si="20"/>
        <v>0</v>
      </c>
      <c r="Z104" s="113">
        <f t="shared" si="21"/>
        <v>0</v>
      </c>
      <c r="AA104" s="113">
        <v>0</v>
      </c>
      <c r="AB104" s="114">
        <v>0</v>
      </c>
      <c r="AC104" s="11">
        <f t="shared" si="22"/>
        <v>0</v>
      </c>
      <c r="AD104" s="115" t="e">
        <f t="shared" si="16"/>
        <v>#REF!</v>
      </c>
      <c r="AE104" s="115">
        <f t="shared" si="17"/>
        <v>0</v>
      </c>
      <c r="AF104" s="115">
        <f t="shared" si="18"/>
        <v>0</v>
      </c>
      <c r="AG104" s="11"/>
      <c r="AH104" s="115">
        <f t="shared" si="23"/>
        <v>0</v>
      </c>
      <c r="AI104" s="115">
        <f t="shared" si="24"/>
        <v>0</v>
      </c>
      <c r="AJ104" s="115">
        <f t="shared" si="25"/>
        <v>0</v>
      </c>
      <c r="AL104" s="11" t="e">
        <f t="shared" si="26"/>
        <v>#REF!</v>
      </c>
      <c r="AM104" s="120" t="s">
        <v>171</v>
      </c>
    </row>
    <row r="105" spans="1:39">
      <c r="A105" s="116" t="s">
        <v>60</v>
      </c>
      <c r="B105" s="116" t="s">
        <v>49</v>
      </c>
      <c r="C105" s="126" t="s">
        <v>172</v>
      </c>
      <c r="D105" s="97" t="s">
        <v>173</v>
      </c>
      <c r="E105" s="98"/>
      <c r="F105" s="99" t="e">
        <f>VLOOKUP(D105,#REF!,19,FALSE)</f>
        <v>#REF!</v>
      </c>
      <c r="G105" s="100"/>
      <c r="H105" s="100"/>
      <c r="I105" s="125">
        <v>1044.19</v>
      </c>
      <c r="J105" s="102" t="e">
        <f t="shared" si="15"/>
        <v>#REF!</v>
      </c>
      <c r="K105" s="103"/>
      <c r="L105" s="104"/>
      <c r="M105" s="105"/>
      <c r="N105" s="103">
        <v>0</v>
      </c>
      <c r="O105" s="106"/>
      <c r="P105" s="103">
        <v>0</v>
      </c>
      <c r="Q105" s="107">
        <f t="shared" si="1"/>
        <v>0</v>
      </c>
      <c r="R105" s="107"/>
      <c r="S105" s="107"/>
      <c r="T105" s="108">
        <v>0</v>
      </c>
      <c r="U105" s="119"/>
      <c r="V105" s="110">
        <f t="shared" si="14"/>
        <v>0</v>
      </c>
      <c r="W105" s="103"/>
      <c r="X105" s="112">
        <f t="shared" si="19"/>
        <v>0</v>
      </c>
      <c r="Y105" s="112">
        <f t="shared" si="20"/>
        <v>0</v>
      </c>
      <c r="Z105" s="113">
        <f t="shared" si="21"/>
        <v>0</v>
      </c>
      <c r="AA105" s="113">
        <v>0</v>
      </c>
      <c r="AB105" s="114">
        <v>0</v>
      </c>
      <c r="AC105" s="11">
        <f t="shared" si="22"/>
        <v>0</v>
      </c>
      <c r="AD105" s="115" t="e">
        <f t="shared" si="16"/>
        <v>#REF!</v>
      </c>
      <c r="AE105" s="115">
        <f t="shared" si="17"/>
        <v>0</v>
      </c>
      <c r="AF105" s="115">
        <f t="shared" si="18"/>
        <v>0</v>
      </c>
      <c r="AG105" s="11"/>
      <c r="AH105" s="115">
        <f t="shared" si="23"/>
        <v>0</v>
      </c>
      <c r="AI105" s="115">
        <f t="shared" si="24"/>
        <v>0</v>
      </c>
      <c r="AJ105" s="115">
        <f t="shared" si="25"/>
        <v>0</v>
      </c>
      <c r="AL105" s="11" t="e">
        <f t="shared" si="26"/>
        <v>#REF!</v>
      </c>
      <c r="AM105" s="97" t="s">
        <v>173</v>
      </c>
    </row>
    <row r="106" spans="1:39">
      <c r="A106" s="116"/>
      <c r="B106" s="116" t="s">
        <v>49</v>
      </c>
      <c r="C106" s="122"/>
      <c r="D106" s="97" t="s">
        <v>174</v>
      </c>
      <c r="E106" s="98"/>
      <c r="F106" s="99" t="e">
        <f>VLOOKUP(D106,#REF!,19,FALSE)</f>
        <v>#REF!</v>
      </c>
      <c r="G106" s="100"/>
      <c r="H106" s="100"/>
      <c r="I106" s="101"/>
      <c r="J106" s="102" t="e">
        <f t="shared" si="15"/>
        <v>#REF!</v>
      </c>
      <c r="K106" s="103"/>
      <c r="L106" s="104"/>
      <c r="M106" s="105"/>
      <c r="N106" s="103">
        <v>0</v>
      </c>
      <c r="O106" s="106"/>
      <c r="P106" s="103">
        <v>0</v>
      </c>
      <c r="Q106" s="107">
        <f t="shared" si="1"/>
        <v>0</v>
      </c>
      <c r="R106" s="107"/>
      <c r="S106" s="107"/>
      <c r="T106" s="108">
        <v>0</v>
      </c>
      <c r="U106" s="119"/>
      <c r="V106" s="110">
        <f t="shared" si="14"/>
        <v>0</v>
      </c>
      <c r="W106" s="103"/>
      <c r="X106" s="112">
        <f t="shared" si="19"/>
        <v>0</v>
      </c>
      <c r="Y106" s="112">
        <f t="shared" si="20"/>
        <v>0</v>
      </c>
      <c r="Z106" s="113">
        <f t="shared" si="21"/>
        <v>0</v>
      </c>
      <c r="AA106" s="113">
        <v>0</v>
      </c>
      <c r="AB106" s="114">
        <v>0</v>
      </c>
      <c r="AC106" s="11">
        <f t="shared" si="22"/>
        <v>0</v>
      </c>
      <c r="AD106" s="115" t="e">
        <f t="shared" si="16"/>
        <v>#REF!</v>
      </c>
      <c r="AE106" s="115">
        <f t="shared" si="17"/>
        <v>0</v>
      </c>
      <c r="AF106" s="115">
        <f t="shared" si="18"/>
        <v>0</v>
      </c>
      <c r="AG106" s="11"/>
      <c r="AH106" s="115">
        <f t="shared" si="23"/>
        <v>0</v>
      </c>
      <c r="AI106" s="115">
        <f t="shared" si="24"/>
        <v>0</v>
      </c>
      <c r="AJ106" s="115">
        <f t="shared" si="25"/>
        <v>0</v>
      </c>
      <c r="AL106" s="11" t="e">
        <f t="shared" si="26"/>
        <v>#REF!</v>
      </c>
      <c r="AM106" s="97" t="s">
        <v>174</v>
      </c>
    </row>
    <row r="107" spans="1:39" s="124" customFormat="1" ht="12.75" customHeight="1">
      <c r="A107" s="123"/>
      <c r="B107" s="123" t="s">
        <v>49</v>
      </c>
      <c r="C107" s="122"/>
      <c r="D107" s="118" t="s">
        <v>175</v>
      </c>
      <c r="E107" s="98"/>
      <c r="F107" s="99" t="e">
        <f>VLOOKUP(D107,#REF!,19,FALSE)</f>
        <v>#REF!</v>
      </c>
      <c r="G107" s="100"/>
      <c r="H107" s="100"/>
      <c r="I107" s="125">
        <v>5738893.9540799987</v>
      </c>
      <c r="J107" s="102" t="e">
        <f t="shared" si="15"/>
        <v>#REF!</v>
      </c>
      <c r="K107" s="103"/>
      <c r="L107" s="104"/>
      <c r="M107" s="105"/>
      <c r="N107" s="103">
        <v>0</v>
      </c>
      <c r="O107" s="106"/>
      <c r="P107" s="103">
        <v>0</v>
      </c>
      <c r="Q107" s="107">
        <f t="shared" si="1"/>
        <v>0</v>
      </c>
      <c r="R107" s="107"/>
      <c r="S107" s="107"/>
      <c r="T107" s="108">
        <v>0</v>
      </c>
      <c r="U107" s="119"/>
      <c r="V107" s="110">
        <f t="shared" si="14"/>
        <v>0</v>
      </c>
      <c r="W107" s="103"/>
      <c r="X107" s="112">
        <f t="shared" si="19"/>
        <v>0</v>
      </c>
      <c r="Y107" s="112">
        <f t="shared" si="20"/>
        <v>0</v>
      </c>
      <c r="Z107" s="113">
        <f t="shared" si="21"/>
        <v>0</v>
      </c>
      <c r="AA107" s="113">
        <v>0</v>
      </c>
      <c r="AB107" s="114">
        <v>0</v>
      </c>
      <c r="AC107" s="11">
        <f t="shared" si="22"/>
        <v>0</v>
      </c>
      <c r="AD107" s="115" t="e">
        <f t="shared" si="16"/>
        <v>#REF!</v>
      </c>
      <c r="AE107" s="115">
        <f t="shared" si="17"/>
        <v>0</v>
      </c>
      <c r="AF107" s="115">
        <f t="shared" si="18"/>
        <v>0</v>
      </c>
      <c r="AG107" s="11"/>
      <c r="AH107" s="115">
        <f t="shared" si="23"/>
        <v>0</v>
      </c>
      <c r="AI107" s="115">
        <f t="shared" si="24"/>
        <v>0</v>
      </c>
      <c r="AJ107" s="115">
        <f t="shared" si="25"/>
        <v>0</v>
      </c>
      <c r="AL107" s="11" t="e">
        <f t="shared" si="26"/>
        <v>#REF!</v>
      </c>
      <c r="AM107" s="118" t="s">
        <v>175</v>
      </c>
    </row>
    <row r="108" spans="1:39" s="124" customFormat="1" ht="12.75" customHeight="1">
      <c r="A108" s="123"/>
      <c r="B108" s="123" t="s">
        <v>49</v>
      </c>
      <c r="C108" s="122"/>
      <c r="D108" s="118" t="s">
        <v>176</v>
      </c>
      <c r="E108" s="98"/>
      <c r="F108" s="99" t="e">
        <f>VLOOKUP(D108,#REF!,19,FALSE)</f>
        <v>#REF!</v>
      </c>
      <c r="G108" s="100"/>
      <c r="H108" s="100"/>
      <c r="I108" s="125">
        <v>3219480.8605559999</v>
      </c>
      <c r="J108" s="102" t="e">
        <f t="shared" si="15"/>
        <v>#REF!</v>
      </c>
      <c r="K108" s="103"/>
      <c r="L108" s="104"/>
      <c r="M108" s="105"/>
      <c r="N108" s="103">
        <v>0</v>
      </c>
      <c r="O108" s="106"/>
      <c r="P108" s="103">
        <v>0</v>
      </c>
      <c r="Q108" s="107">
        <f t="shared" si="1"/>
        <v>0</v>
      </c>
      <c r="R108" s="107"/>
      <c r="S108" s="107"/>
      <c r="T108" s="108">
        <v>0</v>
      </c>
      <c r="U108" s="119"/>
      <c r="V108" s="110">
        <f t="shared" si="14"/>
        <v>0</v>
      </c>
      <c r="W108" s="103"/>
      <c r="X108" s="112">
        <f t="shared" si="19"/>
        <v>0</v>
      </c>
      <c r="Y108" s="112">
        <f t="shared" si="20"/>
        <v>0</v>
      </c>
      <c r="Z108" s="113">
        <f t="shared" si="21"/>
        <v>0</v>
      </c>
      <c r="AA108" s="113">
        <v>0</v>
      </c>
      <c r="AB108" s="114">
        <v>0</v>
      </c>
      <c r="AC108" s="11">
        <f t="shared" si="22"/>
        <v>0</v>
      </c>
      <c r="AD108" s="115" t="e">
        <f t="shared" si="16"/>
        <v>#REF!</v>
      </c>
      <c r="AE108" s="115">
        <f t="shared" si="17"/>
        <v>0</v>
      </c>
      <c r="AF108" s="115">
        <f t="shared" si="18"/>
        <v>0</v>
      </c>
      <c r="AG108" s="11"/>
      <c r="AH108" s="115">
        <f t="shared" si="23"/>
        <v>0</v>
      </c>
      <c r="AI108" s="115">
        <f t="shared" si="24"/>
        <v>0</v>
      </c>
      <c r="AJ108" s="115">
        <f t="shared" si="25"/>
        <v>0</v>
      </c>
      <c r="AL108" s="11" t="e">
        <f t="shared" si="26"/>
        <v>#REF!</v>
      </c>
      <c r="AM108" s="118" t="s">
        <v>176</v>
      </c>
    </row>
    <row r="109" spans="1:39" s="124" customFormat="1" ht="12.75" customHeight="1">
      <c r="A109" s="123"/>
      <c r="B109" s="123" t="s">
        <v>49</v>
      </c>
      <c r="C109" s="122"/>
      <c r="D109" s="118" t="s">
        <v>177</v>
      </c>
      <c r="E109" s="98"/>
      <c r="F109" s="99" t="e">
        <f>VLOOKUP(D109,#REF!,19,FALSE)</f>
        <v>#REF!</v>
      </c>
      <c r="G109" s="100"/>
      <c r="H109" s="100"/>
      <c r="I109" s="125">
        <v>171813.95</v>
      </c>
      <c r="J109" s="102" t="e">
        <f t="shared" si="15"/>
        <v>#REF!</v>
      </c>
      <c r="K109" s="103"/>
      <c r="L109" s="104"/>
      <c r="M109" s="105"/>
      <c r="N109" s="103">
        <v>0</v>
      </c>
      <c r="O109" s="106"/>
      <c r="P109" s="103">
        <v>0</v>
      </c>
      <c r="Q109" s="107">
        <f t="shared" si="1"/>
        <v>0</v>
      </c>
      <c r="R109" s="107"/>
      <c r="S109" s="107"/>
      <c r="T109" s="108">
        <v>0</v>
      </c>
      <c r="U109" s="119"/>
      <c r="V109" s="110">
        <f t="shared" si="14"/>
        <v>0</v>
      </c>
      <c r="W109" s="103"/>
      <c r="X109" s="112">
        <f t="shared" si="19"/>
        <v>0</v>
      </c>
      <c r="Y109" s="112">
        <f t="shared" si="20"/>
        <v>0</v>
      </c>
      <c r="Z109" s="113">
        <f t="shared" si="21"/>
        <v>0</v>
      </c>
      <c r="AA109" s="113">
        <v>0</v>
      </c>
      <c r="AB109" s="114">
        <v>0</v>
      </c>
      <c r="AC109" s="11">
        <f t="shared" si="22"/>
        <v>0</v>
      </c>
      <c r="AD109" s="115" t="e">
        <f t="shared" si="16"/>
        <v>#REF!</v>
      </c>
      <c r="AE109" s="115">
        <f t="shared" si="17"/>
        <v>0</v>
      </c>
      <c r="AF109" s="115">
        <f t="shared" si="18"/>
        <v>0</v>
      </c>
      <c r="AG109" s="11"/>
      <c r="AH109" s="115">
        <f t="shared" si="23"/>
        <v>0</v>
      </c>
      <c r="AI109" s="115">
        <f t="shared" si="24"/>
        <v>0</v>
      </c>
      <c r="AJ109" s="115">
        <f t="shared" si="25"/>
        <v>0</v>
      </c>
      <c r="AL109" s="11" t="e">
        <f t="shared" si="26"/>
        <v>#REF!</v>
      </c>
      <c r="AM109" s="118" t="s">
        <v>177</v>
      </c>
    </row>
    <row r="110" spans="1:39" s="124" customFormat="1" ht="12.75" customHeight="1">
      <c r="A110" s="123"/>
      <c r="B110" s="123" t="s">
        <v>49</v>
      </c>
      <c r="C110" s="122"/>
      <c r="D110" s="118" t="s">
        <v>178</v>
      </c>
      <c r="E110" s="98"/>
      <c r="F110" s="99" t="e">
        <f>VLOOKUP(D110,#REF!,19,FALSE)</f>
        <v>#REF!</v>
      </c>
      <c r="G110" s="100"/>
      <c r="H110" s="100"/>
      <c r="I110" s="125">
        <v>15177.99</v>
      </c>
      <c r="J110" s="102" t="e">
        <f>SUM(E110:I110)</f>
        <v>#REF!</v>
      </c>
      <c r="K110" s="103"/>
      <c r="L110" s="104"/>
      <c r="M110" s="105"/>
      <c r="N110" s="103">
        <v>0</v>
      </c>
      <c r="O110" s="106"/>
      <c r="P110" s="103">
        <v>0</v>
      </c>
      <c r="Q110" s="107">
        <f>L110+M110</f>
        <v>0</v>
      </c>
      <c r="R110" s="107"/>
      <c r="S110" s="107"/>
      <c r="T110" s="108">
        <v>0</v>
      </c>
      <c r="U110" s="119"/>
      <c r="V110" s="110">
        <f t="shared" si="14"/>
        <v>0</v>
      </c>
      <c r="W110" s="103"/>
      <c r="X110" s="112">
        <f>IF(B110="D",Q110,0)</f>
        <v>0</v>
      </c>
      <c r="Y110" s="112">
        <f>IF(B110="M",Q110,0)</f>
        <v>0</v>
      </c>
      <c r="Z110" s="113">
        <f>IF(B110="V",Q110,0)</f>
        <v>0</v>
      </c>
      <c r="AA110" s="113">
        <v>0</v>
      </c>
      <c r="AB110" s="114">
        <v>0</v>
      </c>
      <c r="AC110" s="11">
        <f>(L110+M110)-(X110+Y110+Z110+AA110+AB110)</f>
        <v>0</v>
      </c>
      <c r="AD110" s="115" t="e">
        <f>IF(B110="D",J110,0)</f>
        <v>#REF!</v>
      </c>
      <c r="AE110" s="115">
        <f>IF(B110="M",J110,0)</f>
        <v>0</v>
      </c>
      <c r="AF110" s="115">
        <f>IF(B110="V",J110,0)</f>
        <v>0</v>
      </c>
      <c r="AG110" s="11"/>
      <c r="AH110" s="115">
        <f>IF(B110="D",Q110,0)</f>
        <v>0</v>
      </c>
      <c r="AI110" s="115">
        <f>IF(B110="M",Q110,0)</f>
        <v>0</v>
      </c>
      <c r="AJ110" s="115">
        <f>IF(B110="V",Q110,0)</f>
        <v>0</v>
      </c>
      <c r="AL110" s="11" t="e">
        <f>SUM(AD110:AJ110)</f>
        <v>#REF!</v>
      </c>
      <c r="AM110" s="118" t="s">
        <v>178</v>
      </c>
    </row>
    <row r="111" spans="1:39" s="124" customFormat="1" ht="12.75" customHeight="1">
      <c r="A111" s="123"/>
      <c r="B111" s="123" t="s">
        <v>49</v>
      </c>
      <c r="C111" s="122"/>
      <c r="D111" s="118" t="s">
        <v>179</v>
      </c>
      <c r="E111" s="98"/>
      <c r="F111" s="99" t="e">
        <f>VLOOKUP(D111,#REF!,19,FALSE)</f>
        <v>#REF!</v>
      </c>
      <c r="G111" s="100"/>
      <c r="H111" s="100"/>
      <c r="I111" s="125">
        <v>17001.599999999999</v>
      </c>
      <c r="J111" s="102" t="e">
        <f t="shared" si="15"/>
        <v>#REF!</v>
      </c>
      <c r="K111" s="103"/>
      <c r="L111" s="104"/>
      <c r="M111" s="105"/>
      <c r="N111" s="103">
        <v>0</v>
      </c>
      <c r="O111" s="106"/>
      <c r="P111" s="103">
        <v>0</v>
      </c>
      <c r="Q111" s="107">
        <f t="shared" si="1"/>
        <v>0</v>
      </c>
      <c r="R111" s="107"/>
      <c r="S111" s="107"/>
      <c r="T111" s="108">
        <v>0</v>
      </c>
      <c r="U111" s="119"/>
      <c r="V111" s="110">
        <f t="shared" si="14"/>
        <v>0</v>
      </c>
      <c r="W111" s="103"/>
      <c r="X111" s="112">
        <f t="shared" si="19"/>
        <v>0</v>
      </c>
      <c r="Y111" s="112">
        <f t="shared" si="20"/>
        <v>0</v>
      </c>
      <c r="Z111" s="113">
        <f t="shared" si="21"/>
        <v>0</v>
      </c>
      <c r="AA111" s="113">
        <v>0</v>
      </c>
      <c r="AB111" s="114">
        <v>0</v>
      </c>
      <c r="AC111" s="11">
        <f t="shared" si="22"/>
        <v>0</v>
      </c>
      <c r="AD111" s="115" t="e">
        <f t="shared" si="16"/>
        <v>#REF!</v>
      </c>
      <c r="AE111" s="115">
        <f t="shared" si="17"/>
        <v>0</v>
      </c>
      <c r="AF111" s="115">
        <f t="shared" si="18"/>
        <v>0</v>
      </c>
      <c r="AG111" s="11"/>
      <c r="AH111" s="115">
        <f t="shared" si="23"/>
        <v>0</v>
      </c>
      <c r="AI111" s="115">
        <f t="shared" si="24"/>
        <v>0</v>
      </c>
      <c r="AJ111" s="115">
        <f t="shared" si="25"/>
        <v>0</v>
      </c>
      <c r="AL111" s="11" t="e">
        <f t="shared" si="26"/>
        <v>#REF!</v>
      </c>
      <c r="AM111" s="118" t="s">
        <v>179</v>
      </c>
    </row>
    <row r="112" spans="1:39" s="124" customFormat="1" ht="12.75" customHeight="1">
      <c r="A112" s="123"/>
      <c r="B112" s="123" t="s">
        <v>49</v>
      </c>
      <c r="C112" s="122"/>
      <c r="D112" s="118" t="s">
        <v>180</v>
      </c>
      <c r="E112" s="98"/>
      <c r="F112" s="99" t="e">
        <f>VLOOKUP(D112,#REF!,19,FALSE)</f>
        <v>#REF!</v>
      </c>
      <c r="G112" s="100"/>
      <c r="H112" s="100"/>
      <c r="I112" s="125">
        <v>27843.97</v>
      </c>
      <c r="J112" s="102" t="e">
        <f t="shared" si="15"/>
        <v>#REF!</v>
      </c>
      <c r="K112" s="103"/>
      <c r="L112" s="104"/>
      <c r="M112" s="105"/>
      <c r="N112" s="103">
        <v>0</v>
      </c>
      <c r="O112" s="106"/>
      <c r="P112" s="103">
        <v>0</v>
      </c>
      <c r="Q112" s="107">
        <f t="shared" si="1"/>
        <v>0</v>
      </c>
      <c r="R112" s="107"/>
      <c r="S112" s="107"/>
      <c r="T112" s="108">
        <v>0</v>
      </c>
      <c r="U112" s="119"/>
      <c r="V112" s="110">
        <f t="shared" si="14"/>
        <v>0</v>
      </c>
      <c r="W112" s="103"/>
      <c r="X112" s="112">
        <f t="shared" si="19"/>
        <v>0</v>
      </c>
      <c r="Y112" s="112">
        <f t="shared" si="20"/>
        <v>0</v>
      </c>
      <c r="Z112" s="113">
        <f t="shared" si="21"/>
        <v>0</v>
      </c>
      <c r="AA112" s="113">
        <v>0</v>
      </c>
      <c r="AB112" s="114">
        <v>0</v>
      </c>
      <c r="AC112" s="11">
        <f t="shared" si="22"/>
        <v>0</v>
      </c>
      <c r="AD112" s="115" t="e">
        <f t="shared" si="16"/>
        <v>#REF!</v>
      </c>
      <c r="AE112" s="115">
        <f t="shared" si="17"/>
        <v>0</v>
      </c>
      <c r="AF112" s="115">
        <f t="shared" si="18"/>
        <v>0</v>
      </c>
      <c r="AG112" s="11"/>
      <c r="AH112" s="115">
        <f t="shared" si="23"/>
        <v>0</v>
      </c>
      <c r="AI112" s="115">
        <f t="shared" si="24"/>
        <v>0</v>
      </c>
      <c r="AJ112" s="115">
        <f t="shared" si="25"/>
        <v>0</v>
      </c>
      <c r="AL112" s="11" t="e">
        <f t="shared" si="26"/>
        <v>#REF!</v>
      </c>
      <c r="AM112" s="118" t="s">
        <v>180</v>
      </c>
    </row>
    <row r="113" spans="1:39" s="124" customFormat="1" ht="12" customHeight="1">
      <c r="A113" s="123"/>
      <c r="B113" s="123" t="s">
        <v>49</v>
      </c>
      <c r="C113" s="122"/>
      <c r="D113" s="118" t="s">
        <v>181</v>
      </c>
      <c r="E113" s="98"/>
      <c r="F113" s="99" t="e">
        <f>VLOOKUP(D113,#REF!,19,FALSE)</f>
        <v>#REF!</v>
      </c>
      <c r="G113" s="100"/>
      <c r="H113" s="100"/>
      <c r="I113" s="125">
        <v>11639.71</v>
      </c>
      <c r="J113" s="102" t="e">
        <f t="shared" si="15"/>
        <v>#REF!</v>
      </c>
      <c r="K113" s="103"/>
      <c r="L113" s="104"/>
      <c r="M113" s="105"/>
      <c r="N113" s="103">
        <v>0</v>
      </c>
      <c r="O113" s="106"/>
      <c r="P113" s="103">
        <v>0</v>
      </c>
      <c r="Q113" s="107">
        <f t="shared" si="1"/>
        <v>0</v>
      </c>
      <c r="R113" s="107"/>
      <c r="S113" s="107"/>
      <c r="T113" s="108">
        <v>0</v>
      </c>
      <c r="U113" s="119"/>
      <c r="V113" s="110">
        <f t="shared" si="14"/>
        <v>0</v>
      </c>
      <c r="W113" s="103"/>
      <c r="X113" s="112">
        <f t="shared" si="19"/>
        <v>0</v>
      </c>
      <c r="Y113" s="112">
        <f t="shared" si="20"/>
        <v>0</v>
      </c>
      <c r="Z113" s="113">
        <f t="shared" si="21"/>
        <v>0</v>
      </c>
      <c r="AA113" s="113">
        <v>0</v>
      </c>
      <c r="AB113" s="114">
        <v>0</v>
      </c>
      <c r="AC113" s="11">
        <f t="shared" si="22"/>
        <v>0</v>
      </c>
      <c r="AD113" s="115" t="e">
        <f t="shared" si="16"/>
        <v>#REF!</v>
      </c>
      <c r="AE113" s="115">
        <f t="shared" si="17"/>
        <v>0</v>
      </c>
      <c r="AF113" s="115">
        <f t="shared" si="18"/>
        <v>0</v>
      </c>
      <c r="AG113" s="11"/>
      <c r="AH113" s="115">
        <f t="shared" si="23"/>
        <v>0</v>
      </c>
      <c r="AI113" s="115">
        <f t="shared" si="24"/>
        <v>0</v>
      </c>
      <c r="AJ113" s="115">
        <f t="shared" si="25"/>
        <v>0</v>
      </c>
      <c r="AL113" s="11" t="e">
        <f t="shared" si="26"/>
        <v>#REF!</v>
      </c>
      <c r="AM113" s="118" t="s">
        <v>181</v>
      </c>
    </row>
    <row r="114" spans="1:39" s="124" customFormat="1" ht="12" customHeight="1">
      <c r="A114" s="123"/>
      <c r="B114" s="123" t="s">
        <v>49</v>
      </c>
      <c r="C114" s="122"/>
      <c r="D114" s="118" t="s">
        <v>182</v>
      </c>
      <c r="E114" s="98"/>
      <c r="F114" s="99" t="e">
        <f>VLOOKUP(D114,#REF!,19,FALSE)</f>
        <v>#REF!</v>
      </c>
      <c r="G114" s="100"/>
      <c r="H114" s="100"/>
      <c r="I114" s="125">
        <v>13776.79</v>
      </c>
      <c r="J114" s="102" t="e">
        <f t="shared" si="15"/>
        <v>#REF!</v>
      </c>
      <c r="K114" s="103"/>
      <c r="L114" s="104"/>
      <c r="M114" s="105"/>
      <c r="N114" s="103">
        <v>0</v>
      </c>
      <c r="O114" s="106"/>
      <c r="P114" s="103">
        <v>0</v>
      </c>
      <c r="Q114" s="107">
        <f t="shared" si="1"/>
        <v>0</v>
      </c>
      <c r="R114" s="107"/>
      <c r="S114" s="107"/>
      <c r="T114" s="108">
        <v>0</v>
      </c>
      <c r="U114" s="119"/>
      <c r="V114" s="110">
        <f t="shared" si="14"/>
        <v>0</v>
      </c>
      <c r="W114" s="103"/>
      <c r="X114" s="112">
        <f t="shared" si="19"/>
        <v>0</v>
      </c>
      <c r="Y114" s="112">
        <f t="shared" si="20"/>
        <v>0</v>
      </c>
      <c r="Z114" s="113">
        <f t="shared" si="21"/>
        <v>0</v>
      </c>
      <c r="AA114" s="113">
        <v>0</v>
      </c>
      <c r="AB114" s="114">
        <v>0</v>
      </c>
      <c r="AC114" s="11">
        <f t="shared" si="22"/>
        <v>0</v>
      </c>
      <c r="AD114" s="115" t="e">
        <f t="shared" si="16"/>
        <v>#REF!</v>
      </c>
      <c r="AE114" s="115">
        <f t="shared" si="17"/>
        <v>0</v>
      </c>
      <c r="AF114" s="115">
        <f t="shared" si="18"/>
        <v>0</v>
      </c>
      <c r="AG114" s="11"/>
      <c r="AH114" s="115">
        <f t="shared" si="23"/>
        <v>0</v>
      </c>
      <c r="AI114" s="115">
        <f t="shared" si="24"/>
        <v>0</v>
      </c>
      <c r="AJ114" s="115">
        <f t="shared" si="25"/>
        <v>0</v>
      </c>
      <c r="AL114" s="11" t="e">
        <f t="shared" si="26"/>
        <v>#REF!</v>
      </c>
      <c r="AM114" s="118" t="s">
        <v>182</v>
      </c>
    </row>
    <row r="115" spans="1:39" s="124" customFormat="1" ht="12" customHeight="1">
      <c r="A115" s="123"/>
      <c r="B115" s="123" t="s">
        <v>49</v>
      </c>
      <c r="C115" s="122"/>
      <c r="D115" s="118" t="s">
        <v>183</v>
      </c>
      <c r="E115" s="98"/>
      <c r="F115" s="99" t="e">
        <f>VLOOKUP(D115,#REF!,19,FALSE)</f>
        <v>#REF!</v>
      </c>
      <c r="G115" s="100"/>
      <c r="H115" s="100"/>
      <c r="I115" s="101"/>
      <c r="J115" s="102" t="e">
        <f t="shared" si="15"/>
        <v>#REF!</v>
      </c>
      <c r="K115" s="103"/>
      <c r="L115" s="104"/>
      <c r="M115" s="105"/>
      <c r="N115" s="103">
        <v>0</v>
      </c>
      <c r="O115" s="106"/>
      <c r="P115" s="103">
        <v>0</v>
      </c>
      <c r="Q115" s="107">
        <f t="shared" si="1"/>
        <v>0</v>
      </c>
      <c r="R115" s="107"/>
      <c r="S115" s="107"/>
      <c r="T115" s="108">
        <v>0</v>
      </c>
      <c r="U115" s="119"/>
      <c r="V115" s="110">
        <f t="shared" si="14"/>
        <v>0</v>
      </c>
      <c r="W115" s="103"/>
      <c r="X115" s="112">
        <f t="shared" si="19"/>
        <v>0</v>
      </c>
      <c r="Y115" s="112">
        <f t="shared" si="20"/>
        <v>0</v>
      </c>
      <c r="Z115" s="113">
        <f t="shared" si="21"/>
        <v>0</v>
      </c>
      <c r="AA115" s="113">
        <v>0</v>
      </c>
      <c r="AB115" s="114">
        <v>0</v>
      </c>
      <c r="AC115" s="11">
        <f t="shared" si="22"/>
        <v>0</v>
      </c>
      <c r="AD115" s="115" t="e">
        <f t="shared" si="16"/>
        <v>#REF!</v>
      </c>
      <c r="AE115" s="115">
        <f t="shared" si="17"/>
        <v>0</v>
      </c>
      <c r="AF115" s="115">
        <f t="shared" si="18"/>
        <v>0</v>
      </c>
      <c r="AG115" s="11"/>
      <c r="AH115" s="115">
        <f t="shared" si="23"/>
        <v>0</v>
      </c>
      <c r="AI115" s="115">
        <f t="shared" si="24"/>
        <v>0</v>
      </c>
      <c r="AJ115" s="115">
        <f t="shared" si="25"/>
        <v>0</v>
      </c>
      <c r="AL115" s="11" t="e">
        <f t="shared" si="26"/>
        <v>#REF!</v>
      </c>
      <c r="AM115" s="118" t="s">
        <v>183</v>
      </c>
    </row>
    <row r="116" spans="1:39" s="14" customFormat="1" ht="12" customHeight="1">
      <c r="A116" s="130"/>
      <c r="B116" s="130" t="s">
        <v>49</v>
      </c>
      <c r="C116" s="122"/>
      <c r="D116" s="120" t="s">
        <v>184</v>
      </c>
      <c r="E116" s="98"/>
      <c r="F116" s="99" t="e">
        <f>VLOOKUP(D116,#REF!,19,FALSE)</f>
        <v>#REF!</v>
      </c>
      <c r="G116" s="100"/>
      <c r="H116" s="100"/>
      <c r="I116" s="101"/>
      <c r="J116" s="102" t="e">
        <f t="shared" si="15"/>
        <v>#REF!</v>
      </c>
      <c r="K116" s="103"/>
      <c r="L116" s="104"/>
      <c r="M116" s="105"/>
      <c r="N116" s="133"/>
      <c r="O116" s="136"/>
      <c r="P116" s="133"/>
      <c r="Q116" s="107">
        <f t="shared" si="1"/>
        <v>0</v>
      </c>
      <c r="R116" s="107"/>
      <c r="S116" s="107"/>
      <c r="T116" s="108">
        <v>0</v>
      </c>
      <c r="U116" s="119"/>
      <c r="V116" s="110">
        <f t="shared" si="14"/>
        <v>0</v>
      </c>
      <c r="W116" s="103"/>
      <c r="X116" s="112">
        <f t="shared" si="19"/>
        <v>0</v>
      </c>
      <c r="Y116" s="112">
        <f t="shared" si="20"/>
        <v>0</v>
      </c>
      <c r="Z116" s="113">
        <f t="shared" si="21"/>
        <v>0</v>
      </c>
      <c r="AA116" s="113">
        <v>0</v>
      </c>
      <c r="AB116" s="114">
        <v>0</v>
      </c>
      <c r="AC116" s="11">
        <f t="shared" si="22"/>
        <v>0</v>
      </c>
      <c r="AD116" s="115" t="e">
        <f t="shared" si="16"/>
        <v>#REF!</v>
      </c>
      <c r="AE116" s="115">
        <f t="shared" si="17"/>
        <v>0</v>
      </c>
      <c r="AF116" s="115">
        <f t="shared" si="18"/>
        <v>0</v>
      </c>
      <c r="AG116" s="11"/>
      <c r="AH116" s="115">
        <f t="shared" si="23"/>
        <v>0</v>
      </c>
      <c r="AI116" s="115">
        <f t="shared" si="24"/>
        <v>0</v>
      </c>
      <c r="AJ116" s="115">
        <f t="shared" si="25"/>
        <v>0</v>
      </c>
      <c r="AL116" s="11" t="e">
        <f t="shared" si="26"/>
        <v>#REF!</v>
      </c>
      <c r="AM116" s="120" t="s">
        <v>184</v>
      </c>
    </row>
    <row r="117" spans="1:39" s="14" customFormat="1" ht="12" customHeight="1">
      <c r="A117" s="130"/>
      <c r="B117" s="130" t="s">
        <v>49</v>
      </c>
      <c r="C117" s="122"/>
      <c r="D117" s="120" t="s">
        <v>185</v>
      </c>
      <c r="E117" s="98"/>
      <c r="F117" s="99" t="e">
        <f>VLOOKUP(D117,#REF!,19,FALSE)</f>
        <v>#REF!</v>
      </c>
      <c r="G117" s="100"/>
      <c r="H117" s="100"/>
      <c r="I117" s="101"/>
      <c r="J117" s="102" t="e">
        <f t="shared" si="15"/>
        <v>#REF!</v>
      </c>
      <c r="K117" s="103"/>
      <c r="L117" s="104"/>
      <c r="M117" s="105">
        <v>5000</v>
      </c>
      <c r="N117" s="133"/>
      <c r="O117" s="136"/>
      <c r="P117" s="133"/>
      <c r="Q117" s="107">
        <f t="shared" si="1"/>
        <v>5000</v>
      </c>
      <c r="R117" s="107"/>
      <c r="S117" s="107"/>
      <c r="T117" s="108">
        <v>0</v>
      </c>
      <c r="U117" s="119"/>
      <c r="V117" s="110">
        <f t="shared" si="14"/>
        <v>-5000</v>
      </c>
      <c r="W117" s="103"/>
      <c r="X117" s="112">
        <f t="shared" si="19"/>
        <v>5000</v>
      </c>
      <c r="Y117" s="112">
        <f t="shared" si="20"/>
        <v>0</v>
      </c>
      <c r="Z117" s="113">
        <f t="shared" si="21"/>
        <v>0</v>
      </c>
      <c r="AA117" s="113">
        <v>0</v>
      </c>
      <c r="AB117" s="114">
        <v>0</v>
      </c>
      <c r="AC117" s="11">
        <f t="shared" si="22"/>
        <v>0</v>
      </c>
      <c r="AD117" s="115" t="e">
        <f t="shared" si="16"/>
        <v>#REF!</v>
      </c>
      <c r="AE117" s="115">
        <f t="shared" si="17"/>
        <v>0</v>
      </c>
      <c r="AF117" s="115">
        <f t="shared" si="18"/>
        <v>0</v>
      </c>
      <c r="AG117" s="11"/>
      <c r="AH117" s="115">
        <f t="shared" si="23"/>
        <v>5000</v>
      </c>
      <c r="AI117" s="115">
        <f t="shared" si="24"/>
        <v>0</v>
      </c>
      <c r="AJ117" s="115">
        <f t="shared" si="25"/>
        <v>0</v>
      </c>
      <c r="AL117" s="11" t="e">
        <f t="shared" si="26"/>
        <v>#REF!</v>
      </c>
      <c r="AM117" s="120" t="s">
        <v>185</v>
      </c>
    </row>
    <row r="118" spans="1:39" ht="12" customHeight="1">
      <c r="A118" s="129"/>
      <c r="B118" s="129" t="s">
        <v>46</v>
      </c>
      <c r="C118" s="96" t="s">
        <v>186</v>
      </c>
      <c r="D118" s="120" t="s">
        <v>187</v>
      </c>
      <c r="E118" s="98"/>
      <c r="F118" s="99" t="e">
        <f>VLOOKUP(D118,#REF!,19,FALSE)</f>
        <v>#REF!</v>
      </c>
      <c r="G118" s="100"/>
      <c r="H118" s="100"/>
      <c r="I118" s="101"/>
      <c r="J118" s="102" t="e">
        <f t="shared" si="15"/>
        <v>#REF!</v>
      </c>
      <c r="K118" s="103"/>
      <c r="L118" s="104"/>
      <c r="M118" s="105"/>
      <c r="N118" s="103">
        <v>0</v>
      </c>
      <c r="O118" s="106"/>
      <c r="P118" s="103">
        <v>0</v>
      </c>
      <c r="Q118" s="107">
        <f t="shared" si="1"/>
        <v>0</v>
      </c>
      <c r="R118" s="107"/>
      <c r="S118" s="107"/>
      <c r="T118" s="108">
        <v>347.87</v>
      </c>
      <c r="U118" s="119"/>
      <c r="V118" s="110">
        <f t="shared" si="14"/>
        <v>347.87</v>
      </c>
      <c r="W118" s="103"/>
      <c r="X118" s="112">
        <f t="shared" si="19"/>
        <v>0</v>
      </c>
      <c r="Y118" s="112">
        <f t="shared" si="20"/>
        <v>0</v>
      </c>
      <c r="Z118" s="113">
        <f t="shared" si="21"/>
        <v>0</v>
      </c>
      <c r="AA118" s="113">
        <v>0</v>
      </c>
      <c r="AB118" s="114">
        <v>0</v>
      </c>
      <c r="AC118" s="11">
        <f t="shared" si="22"/>
        <v>0</v>
      </c>
      <c r="AD118" s="115">
        <f t="shared" si="16"/>
        <v>0</v>
      </c>
      <c r="AE118" s="115" t="e">
        <f t="shared" si="17"/>
        <v>#REF!</v>
      </c>
      <c r="AF118" s="115">
        <f t="shared" si="18"/>
        <v>0</v>
      </c>
      <c r="AG118" s="11"/>
      <c r="AH118" s="115">
        <f t="shared" si="23"/>
        <v>0</v>
      </c>
      <c r="AI118" s="115">
        <f t="shared" si="24"/>
        <v>0</v>
      </c>
      <c r="AJ118" s="115">
        <f t="shared" si="25"/>
        <v>0</v>
      </c>
      <c r="AL118" s="11" t="e">
        <f t="shared" si="26"/>
        <v>#REF!</v>
      </c>
      <c r="AM118" s="120" t="s">
        <v>187</v>
      </c>
    </row>
    <row r="119" spans="1:39">
      <c r="A119" s="116"/>
      <c r="B119" s="116" t="s">
        <v>46</v>
      </c>
      <c r="C119" s="122" t="s">
        <v>188</v>
      </c>
      <c r="D119" s="120" t="s">
        <v>189</v>
      </c>
      <c r="E119" s="98"/>
      <c r="F119" s="99" t="e">
        <f>VLOOKUP(D119,#REF!,19,FALSE)</f>
        <v>#REF!</v>
      </c>
      <c r="G119" s="100"/>
      <c r="H119" s="100"/>
      <c r="I119" s="101"/>
      <c r="J119" s="102" t="e">
        <f t="shared" si="15"/>
        <v>#REF!</v>
      </c>
      <c r="K119" s="103"/>
      <c r="L119" s="104"/>
      <c r="M119" s="105"/>
      <c r="N119" s="103">
        <v>0</v>
      </c>
      <c r="O119" s="106"/>
      <c r="P119" s="103">
        <v>0</v>
      </c>
      <c r="Q119" s="107">
        <f t="shared" si="1"/>
        <v>0</v>
      </c>
      <c r="R119" s="107"/>
      <c r="S119" s="107"/>
      <c r="T119" s="108">
        <v>0</v>
      </c>
      <c r="U119" s="119"/>
      <c r="V119" s="110">
        <f t="shared" si="14"/>
        <v>0</v>
      </c>
      <c r="W119" s="103"/>
      <c r="X119" s="112">
        <f t="shared" si="19"/>
        <v>0</v>
      </c>
      <c r="Y119" s="112">
        <f t="shared" si="20"/>
        <v>0</v>
      </c>
      <c r="Z119" s="113">
        <f t="shared" si="21"/>
        <v>0</v>
      </c>
      <c r="AA119" s="113">
        <v>0</v>
      </c>
      <c r="AB119" s="114">
        <v>0</v>
      </c>
      <c r="AC119" s="11">
        <f t="shared" si="22"/>
        <v>0</v>
      </c>
      <c r="AD119" s="115">
        <f t="shared" si="16"/>
        <v>0</v>
      </c>
      <c r="AE119" s="115" t="e">
        <f t="shared" si="17"/>
        <v>#REF!</v>
      </c>
      <c r="AF119" s="115">
        <f t="shared" si="18"/>
        <v>0</v>
      </c>
      <c r="AG119" s="11"/>
      <c r="AH119" s="115">
        <f t="shared" si="23"/>
        <v>0</v>
      </c>
      <c r="AI119" s="115">
        <f t="shared" si="24"/>
        <v>0</v>
      </c>
      <c r="AJ119" s="115">
        <f t="shared" si="25"/>
        <v>0</v>
      </c>
      <c r="AL119" s="11" t="e">
        <f t="shared" si="26"/>
        <v>#REF!</v>
      </c>
      <c r="AM119" s="120" t="s">
        <v>189</v>
      </c>
    </row>
    <row r="120" spans="1:39">
      <c r="A120" s="116"/>
      <c r="B120" s="116" t="s">
        <v>49</v>
      </c>
      <c r="C120" s="122"/>
      <c r="D120" s="120" t="s">
        <v>190</v>
      </c>
      <c r="E120" s="98"/>
      <c r="F120" s="99" t="e">
        <f>VLOOKUP(D120,#REF!,19,FALSE)</f>
        <v>#REF!</v>
      </c>
      <c r="G120" s="100"/>
      <c r="H120" s="100"/>
      <c r="I120" s="101"/>
      <c r="J120" s="102" t="e">
        <f t="shared" si="15"/>
        <v>#REF!</v>
      </c>
      <c r="K120" s="103"/>
      <c r="L120" s="104"/>
      <c r="M120" s="105">
        <v>10000</v>
      </c>
      <c r="N120" s="103">
        <v>0</v>
      </c>
      <c r="O120" s="106"/>
      <c r="P120" s="103">
        <v>0</v>
      </c>
      <c r="Q120" s="107">
        <f t="shared" si="1"/>
        <v>10000</v>
      </c>
      <c r="R120" s="107"/>
      <c r="S120" s="107"/>
      <c r="T120" s="108">
        <v>9340.09</v>
      </c>
      <c r="U120" s="119"/>
      <c r="V120" s="110">
        <f t="shared" si="14"/>
        <v>-659.90999999999985</v>
      </c>
      <c r="W120" s="103"/>
      <c r="X120" s="112">
        <f t="shared" si="19"/>
        <v>10000</v>
      </c>
      <c r="Y120" s="112">
        <f t="shared" si="20"/>
        <v>0</v>
      </c>
      <c r="Z120" s="113">
        <f t="shared" si="21"/>
        <v>0</v>
      </c>
      <c r="AA120" s="113">
        <v>0</v>
      </c>
      <c r="AB120" s="114">
        <v>0</v>
      </c>
      <c r="AC120" s="11">
        <f t="shared" si="22"/>
        <v>0</v>
      </c>
      <c r="AD120" s="115" t="e">
        <f t="shared" si="16"/>
        <v>#REF!</v>
      </c>
      <c r="AE120" s="115">
        <f t="shared" si="17"/>
        <v>0</v>
      </c>
      <c r="AF120" s="115">
        <f t="shared" si="18"/>
        <v>0</v>
      </c>
      <c r="AG120" s="11"/>
      <c r="AH120" s="115">
        <f t="shared" si="23"/>
        <v>10000</v>
      </c>
      <c r="AI120" s="115">
        <f t="shared" si="24"/>
        <v>0</v>
      </c>
      <c r="AJ120" s="115">
        <f t="shared" si="25"/>
        <v>0</v>
      </c>
      <c r="AL120" s="11" t="e">
        <f t="shared" si="26"/>
        <v>#REF!</v>
      </c>
      <c r="AM120" s="120" t="s">
        <v>190</v>
      </c>
    </row>
    <row r="121" spans="1:39">
      <c r="A121" s="129"/>
      <c r="B121" s="129" t="s">
        <v>49</v>
      </c>
      <c r="C121" s="96"/>
      <c r="D121" s="120" t="s">
        <v>191</v>
      </c>
      <c r="E121" s="98"/>
      <c r="F121" s="99" t="e">
        <f>VLOOKUP(D121,#REF!,19,FALSE)</f>
        <v>#REF!</v>
      </c>
      <c r="G121" s="100"/>
      <c r="H121" s="100"/>
      <c r="I121" s="101"/>
      <c r="J121" s="102" t="e">
        <f t="shared" si="15"/>
        <v>#REF!</v>
      </c>
      <c r="K121" s="103"/>
      <c r="L121" s="104"/>
      <c r="M121" s="105"/>
      <c r="N121" s="103">
        <v>0</v>
      </c>
      <c r="O121" s="106"/>
      <c r="P121" s="103">
        <v>0</v>
      </c>
      <c r="Q121" s="107">
        <f t="shared" si="1"/>
        <v>0</v>
      </c>
      <c r="R121" s="107"/>
      <c r="S121" s="107"/>
      <c r="T121" s="108">
        <v>0</v>
      </c>
      <c r="U121" s="119"/>
      <c r="V121" s="110">
        <f t="shared" si="14"/>
        <v>0</v>
      </c>
      <c r="W121" s="103"/>
      <c r="X121" s="112">
        <f t="shared" si="19"/>
        <v>0</v>
      </c>
      <c r="Y121" s="112">
        <f t="shared" si="20"/>
        <v>0</v>
      </c>
      <c r="Z121" s="113">
        <f t="shared" si="21"/>
        <v>0</v>
      </c>
      <c r="AA121" s="113">
        <v>0</v>
      </c>
      <c r="AB121" s="114">
        <v>0</v>
      </c>
      <c r="AC121" s="11">
        <f t="shared" si="22"/>
        <v>0</v>
      </c>
      <c r="AD121" s="115" t="e">
        <f t="shared" si="16"/>
        <v>#REF!</v>
      </c>
      <c r="AE121" s="115">
        <f t="shared" si="17"/>
        <v>0</v>
      </c>
      <c r="AF121" s="115">
        <f t="shared" si="18"/>
        <v>0</v>
      </c>
      <c r="AG121" s="11"/>
      <c r="AH121" s="115">
        <f t="shared" si="23"/>
        <v>0</v>
      </c>
      <c r="AI121" s="115">
        <f t="shared" si="24"/>
        <v>0</v>
      </c>
      <c r="AJ121" s="115">
        <f t="shared" si="25"/>
        <v>0</v>
      </c>
      <c r="AL121" s="11" t="e">
        <f t="shared" si="26"/>
        <v>#REF!</v>
      </c>
      <c r="AM121" s="120" t="s">
        <v>191</v>
      </c>
    </row>
    <row r="122" spans="1:39">
      <c r="A122" s="129"/>
      <c r="B122" s="129" t="s">
        <v>49</v>
      </c>
      <c r="C122" s="96"/>
      <c r="D122" s="120" t="s">
        <v>192</v>
      </c>
      <c r="E122" s="98"/>
      <c r="F122" s="99" t="e">
        <f>VLOOKUP(D122,#REF!,19,FALSE)</f>
        <v>#REF!</v>
      </c>
      <c r="G122" s="100"/>
      <c r="H122" s="100"/>
      <c r="I122" s="101"/>
      <c r="J122" s="102" t="e">
        <f t="shared" si="15"/>
        <v>#REF!</v>
      </c>
      <c r="K122" s="103"/>
      <c r="L122" s="104"/>
      <c r="M122" s="105">
        <v>20000</v>
      </c>
      <c r="N122" s="103">
        <v>0</v>
      </c>
      <c r="O122" s="106"/>
      <c r="P122" s="103">
        <v>0</v>
      </c>
      <c r="Q122" s="107">
        <f t="shared" si="1"/>
        <v>20000</v>
      </c>
      <c r="R122" s="107"/>
      <c r="S122" s="107"/>
      <c r="T122" s="108">
        <v>0</v>
      </c>
      <c r="U122" s="119"/>
      <c r="V122" s="110">
        <f t="shared" si="14"/>
        <v>-20000</v>
      </c>
      <c r="W122" s="103"/>
      <c r="X122" s="112">
        <f t="shared" si="19"/>
        <v>20000</v>
      </c>
      <c r="Y122" s="112">
        <f t="shared" si="20"/>
        <v>0</v>
      </c>
      <c r="Z122" s="113">
        <f t="shared" si="21"/>
        <v>0</v>
      </c>
      <c r="AA122" s="113">
        <v>0</v>
      </c>
      <c r="AB122" s="114">
        <v>0</v>
      </c>
      <c r="AC122" s="11">
        <f t="shared" si="22"/>
        <v>0</v>
      </c>
      <c r="AD122" s="115" t="e">
        <f t="shared" si="16"/>
        <v>#REF!</v>
      </c>
      <c r="AE122" s="115">
        <f t="shared" si="17"/>
        <v>0</v>
      </c>
      <c r="AF122" s="115">
        <f t="shared" si="18"/>
        <v>0</v>
      </c>
      <c r="AG122" s="11"/>
      <c r="AH122" s="115">
        <f t="shared" si="23"/>
        <v>20000</v>
      </c>
      <c r="AI122" s="115">
        <f t="shared" si="24"/>
        <v>0</v>
      </c>
      <c r="AJ122" s="115">
        <f t="shared" si="25"/>
        <v>0</v>
      </c>
      <c r="AL122" s="11" t="e">
        <f t="shared" si="26"/>
        <v>#REF!</v>
      </c>
      <c r="AM122" s="120" t="s">
        <v>192</v>
      </c>
    </row>
    <row r="123" spans="1:39">
      <c r="A123" s="129"/>
      <c r="B123" s="129" t="s">
        <v>49</v>
      </c>
      <c r="C123" s="96"/>
      <c r="D123" s="120" t="s">
        <v>193</v>
      </c>
      <c r="E123" s="98"/>
      <c r="F123" s="99" t="e">
        <f>VLOOKUP(D123,#REF!,19,FALSE)</f>
        <v>#REF!</v>
      </c>
      <c r="G123" s="100"/>
      <c r="H123" s="100"/>
      <c r="I123" s="101"/>
      <c r="J123" s="102" t="e">
        <f t="shared" si="15"/>
        <v>#REF!</v>
      </c>
      <c r="K123" s="103"/>
      <c r="L123" s="104"/>
      <c r="M123" s="105">
        <v>140000</v>
      </c>
      <c r="N123" s="103">
        <v>0</v>
      </c>
      <c r="O123" s="106"/>
      <c r="P123" s="103">
        <v>0</v>
      </c>
      <c r="Q123" s="107">
        <f t="shared" si="1"/>
        <v>140000</v>
      </c>
      <c r="R123" s="107"/>
      <c r="S123" s="107"/>
      <c r="T123" s="108">
        <v>0</v>
      </c>
      <c r="U123" s="119"/>
      <c r="V123" s="110">
        <f t="shared" si="14"/>
        <v>-140000</v>
      </c>
      <c r="W123" s="103"/>
      <c r="X123" s="112">
        <f t="shared" si="19"/>
        <v>140000</v>
      </c>
      <c r="Y123" s="112">
        <f t="shared" si="20"/>
        <v>0</v>
      </c>
      <c r="Z123" s="113">
        <f t="shared" si="21"/>
        <v>0</v>
      </c>
      <c r="AA123" s="113">
        <v>0</v>
      </c>
      <c r="AB123" s="114">
        <v>0</v>
      </c>
      <c r="AC123" s="11">
        <f t="shared" si="22"/>
        <v>0</v>
      </c>
      <c r="AD123" s="115" t="e">
        <f t="shared" si="16"/>
        <v>#REF!</v>
      </c>
      <c r="AE123" s="115">
        <f t="shared" si="17"/>
        <v>0</v>
      </c>
      <c r="AF123" s="115">
        <f t="shared" si="18"/>
        <v>0</v>
      </c>
      <c r="AG123" s="11"/>
      <c r="AH123" s="115">
        <f t="shared" si="23"/>
        <v>140000</v>
      </c>
      <c r="AI123" s="115">
        <f t="shared" si="24"/>
        <v>0</v>
      </c>
      <c r="AJ123" s="115">
        <f t="shared" si="25"/>
        <v>0</v>
      </c>
      <c r="AL123" s="11" t="e">
        <f t="shared" si="26"/>
        <v>#REF!</v>
      </c>
      <c r="AM123" s="120" t="s">
        <v>193</v>
      </c>
    </row>
    <row r="124" spans="1:39">
      <c r="A124" s="129"/>
      <c r="B124" s="129" t="s">
        <v>49</v>
      </c>
      <c r="C124" s="96"/>
      <c r="D124" s="120" t="s">
        <v>194</v>
      </c>
      <c r="E124" s="98"/>
      <c r="F124" s="99" t="e">
        <f>VLOOKUP(D124,#REF!,19,FALSE)</f>
        <v>#REF!</v>
      </c>
      <c r="G124" s="100"/>
      <c r="H124" s="100"/>
      <c r="I124" s="101"/>
      <c r="J124" s="102" t="e">
        <f t="shared" si="15"/>
        <v>#REF!</v>
      </c>
      <c r="K124" s="103"/>
      <c r="L124" s="104"/>
      <c r="M124" s="105"/>
      <c r="N124" s="103">
        <v>0</v>
      </c>
      <c r="O124" s="106"/>
      <c r="P124" s="103">
        <v>0</v>
      </c>
      <c r="Q124" s="107">
        <f t="shared" si="1"/>
        <v>0</v>
      </c>
      <c r="R124" s="107"/>
      <c r="S124" s="107"/>
      <c r="T124" s="108">
        <v>0</v>
      </c>
      <c r="U124" s="119"/>
      <c r="V124" s="110">
        <f t="shared" si="14"/>
        <v>0</v>
      </c>
      <c r="W124" s="103"/>
      <c r="X124" s="112">
        <f t="shared" si="19"/>
        <v>0</v>
      </c>
      <c r="Y124" s="112">
        <f t="shared" si="20"/>
        <v>0</v>
      </c>
      <c r="Z124" s="113">
        <f t="shared" si="21"/>
        <v>0</v>
      </c>
      <c r="AA124" s="113">
        <v>0</v>
      </c>
      <c r="AB124" s="114">
        <v>0</v>
      </c>
      <c r="AC124" s="11">
        <f t="shared" si="22"/>
        <v>0</v>
      </c>
      <c r="AD124" s="115" t="e">
        <f t="shared" si="16"/>
        <v>#REF!</v>
      </c>
      <c r="AE124" s="115">
        <f t="shared" si="17"/>
        <v>0</v>
      </c>
      <c r="AF124" s="115">
        <f t="shared" si="18"/>
        <v>0</v>
      </c>
      <c r="AG124" s="11"/>
      <c r="AH124" s="115">
        <f t="shared" si="23"/>
        <v>0</v>
      </c>
      <c r="AI124" s="115">
        <f t="shared" si="24"/>
        <v>0</v>
      </c>
      <c r="AJ124" s="115">
        <f t="shared" si="25"/>
        <v>0</v>
      </c>
      <c r="AL124" s="11" t="e">
        <f t="shared" si="26"/>
        <v>#REF!</v>
      </c>
      <c r="AM124" s="120" t="s">
        <v>194</v>
      </c>
    </row>
    <row r="125" spans="1:39">
      <c r="A125" s="116"/>
      <c r="B125" s="116" t="s">
        <v>49</v>
      </c>
      <c r="C125" s="122"/>
      <c r="D125" s="120" t="s">
        <v>195</v>
      </c>
      <c r="E125" s="98"/>
      <c r="F125" s="99" t="e">
        <f>VLOOKUP(D125,#REF!,19,FALSE)</f>
        <v>#REF!</v>
      </c>
      <c r="G125" s="100"/>
      <c r="H125" s="100"/>
      <c r="I125" s="125">
        <v>267.93</v>
      </c>
      <c r="J125" s="102" t="e">
        <f t="shared" si="15"/>
        <v>#REF!</v>
      </c>
      <c r="K125" s="103"/>
      <c r="L125" s="104"/>
      <c r="M125" s="105"/>
      <c r="N125" s="103">
        <v>0</v>
      </c>
      <c r="O125" s="106"/>
      <c r="P125" s="103">
        <v>0</v>
      </c>
      <c r="Q125" s="107">
        <f t="shared" si="1"/>
        <v>0</v>
      </c>
      <c r="R125" s="107"/>
      <c r="S125" s="107"/>
      <c r="T125" s="108">
        <v>379.51</v>
      </c>
      <c r="U125" s="119"/>
      <c r="V125" s="110">
        <f t="shared" si="14"/>
        <v>379.51</v>
      </c>
      <c r="W125" s="103"/>
      <c r="X125" s="112">
        <f t="shared" si="19"/>
        <v>0</v>
      </c>
      <c r="Y125" s="112">
        <f t="shared" si="20"/>
        <v>0</v>
      </c>
      <c r="Z125" s="113">
        <f t="shared" si="21"/>
        <v>0</v>
      </c>
      <c r="AA125" s="113">
        <v>0</v>
      </c>
      <c r="AB125" s="114">
        <v>0</v>
      </c>
      <c r="AC125" s="11">
        <f t="shared" si="22"/>
        <v>0</v>
      </c>
      <c r="AD125" s="115" t="e">
        <f t="shared" si="16"/>
        <v>#REF!</v>
      </c>
      <c r="AE125" s="115">
        <f t="shared" si="17"/>
        <v>0</v>
      </c>
      <c r="AF125" s="115">
        <f t="shared" si="18"/>
        <v>0</v>
      </c>
      <c r="AG125" s="11"/>
      <c r="AH125" s="115">
        <f t="shared" si="23"/>
        <v>0</v>
      </c>
      <c r="AI125" s="115">
        <f t="shared" si="24"/>
        <v>0</v>
      </c>
      <c r="AJ125" s="115">
        <f t="shared" si="25"/>
        <v>0</v>
      </c>
      <c r="AL125" s="11" t="e">
        <f t="shared" si="26"/>
        <v>#REF!</v>
      </c>
      <c r="AM125" s="120" t="s">
        <v>195</v>
      </c>
    </row>
    <row r="126" spans="1:39">
      <c r="A126" s="129"/>
      <c r="B126" s="129" t="s">
        <v>49</v>
      </c>
      <c r="C126" s="96" t="s">
        <v>196</v>
      </c>
      <c r="D126" s="120" t="s">
        <v>197</v>
      </c>
      <c r="E126" s="98"/>
      <c r="F126" s="99" t="e">
        <f>VLOOKUP(D126,#REF!,19,FALSE)</f>
        <v>#REF!</v>
      </c>
      <c r="G126" s="100"/>
      <c r="H126" s="100"/>
      <c r="I126" s="101"/>
      <c r="J126" s="102" t="e">
        <f t="shared" si="15"/>
        <v>#REF!</v>
      </c>
      <c r="K126" s="103"/>
      <c r="L126" s="104"/>
      <c r="M126" s="105">
        <v>55000</v>
      </c>
      <c r="N126" s="103">
        <v>0</v>
      </c>
      <c r="O126" s="106"/>
      <c r="P126" s="103">
        <v>0</v>
      </c>
      <c r="Q126" s="107">
        <f t="shared" si="1"/>
        <v>55000</v>
      </c>
      <c r="R126" s="107"/>
      <c r="S126" s="107"/>
      <c r="T126" s="108">
        <v>0</v>
      </c>
      <c r="U126" s="119"/>
      <c r="V126" s="110">
        <f t="shared" si="14"/>
        <v>-55000</v>
      </c>
      <c r="W126" s="103"/>
      <c r="X126" s="112">
        <f t="shared" si="19"/>
        <v>55000</v>
      </c>
      <c r="Y126" s="112">
        <f t="shared" si="20"/>
        <v>0</v>
      </c>
      <c r="Z126" s="113">
        <f t="shared" si="21"/>
        <v>0</v>
      </c>
      <c r="AA126" s="113">
        <v>0</v>
      </c>
      <c r="AB126" s="114">
        <v>0</v>
      </c>
      <c r="AC126" s="11">
        <f t="shared" si="22"/>
        <v>0</v>
      </c>
      <c r="AD126" s="115" t="e">
        <f t="shared" si="16"/>
        <v>#REF!</v>
      </c>
      <c r="AE126" s="115">
        <f t="shared" si="17"/>
        <v>0</v>
      </c>
      <c r="AF126" s="115">
        <f t="shared" si="18"/>
        <v>0</v>
      </c>
      <c r="AG126" s="11"/>
      <c r="AH126" s="115">
        <f t="shared" si="23"/>
        <v>55000</v>
      </c>
      <c r="AI126" s="115">
        <f t="shared" si="24"/>
        <v>0</v>
      </c>
      <c r="AJ126" s="115">
        <f t="shared" si="25"/>
        <v>0</v>
      </c>
      <c r="AL126" s="11" t="e">
        <f t="shared" si="26"/>
        <v>#REF!</v>
      </c>
      <c r="AM126" s="120" t="s">
        <v>197</v>
      </c>
    </row>
    <row r="127" spans="1:39">
      <c r="A127" s="129"/>
      <c r="B127" s="129" t="s">
        <v>46</v>
      </c>
      <c r="C127" s="96" t="s">
        <v>198</v>
      </c>
      <c r="D127" s="120" t="s">
        <v>199</v>
      </c>
      <c r="E127" s="98"/>
      <c r="F127" s="99" t="e">
        <f>VLOOKUP(D127,#REF!,19,FALSE)</f>
        <v>#REF!</v>
      </c>
      <c r="G127" s="100"/>
      <c r="H127" s="100"/>
      <c r="I127" s="101"/>
      <c r="J127" s="102" t="e">
        <f t="shared" si="15"/>
        <v>#REF!</v>
      </c>
      <c r="K127" s="103"/>
      <c r="L127" s="104"/>
      <c r="M127" s="105"/>
      <c r="N127" s="103">
        <v>0</v>
      </c>
      <c r="O127" s="106"/>
      <c r="P127" s="103">
        <v>0</v>
      </c>
      <c r="Q127" s="107">
        <f t="shared" si="1"/>
        <v>0</v>
      </c>
      <c r="R127" s="107"/>
      <c r="S127" s="107"/>
      <c r="T127" s="108">
        <v>0</v>
      </c>
      <c r="U127" s="119"/>
      <c r="V127" s="110">
        <f t="shared" si="14"/>
        <v>0</v>
      </c>
      <c r="W127" s="103"/>
      <c r="X127" s="112">
        <f t="shared" si="19"/>
        <v>0</v>
      </c>
      <c r="Y127" s="112">
        <f t="shared" si="20"/>
        <v>0</v>
      </c>
      <c r="Z127" s="113">
        <f t="shared" si="21"/>
        <v>0</v>
      </c>
      <c r="AA127" s="113">
        <v>0</v>
      </c>
      <c r="AB127" s="114">
        <v>0</v>
      </c>
      <c r="AC127" s="11">
        <f t="shared" si="22"/>
        <v>0</v>
      </c>
      <c r="AD127" s="115">
        <f t="shared" si="16"/>
        <v>0</v>
      </c>
      <c r="AE127" s="115" t="e">
        <f t="shared" si="17"/>
        <v>#REF!</v>
      </c>
      <c r="AF127" s="115">
        <f t="shared" si="18"/>
        <v>0</v>
      </c>
      <c r="AG127" s="11"/>
      <c r="AH127" s="115">
        <f t="shared" si="23"/>
        <v>0</v>
      </c>
      <c r="AI127" s="115">
        <f t="shared" si="24"/>
        <v>0</v>
      </c>
      <c r="AJ127" s="115">
        <f t="shared" si="25"/>
        <v>0</v>
      </c>
      <c r="AL127" s="11" t="e">
        <f t="shared" si="26"/>
        <v>#REF!</v>
      </c>
      <c r="AM127" s="120" t="s">
        <v>199</v>
      </c>
    </row>
    <row r="128" spans="1:39">
      <c r="A128" s="129"/>
      <c r="B128" s="129" t="s">
        <v>49</v>
      </c>
      <c r="C128" s="96"/>
      <c r="D128" s="120" t="s">
        <v>200</v>
      </c>
      <c r="E128" s="98"/>
      <c r="F128" s="99" t="e">
        <f>VLOOKUP(D128,#REF!,19,FALSE)</f>
        <v>#REF!</v>
      </c>
      <c r="G128" s="100"/>
      <c r="H128" s="100"/>
      <c r="I128" s="101"/>
      <c r="J128" s="102" t="e">
        <f t="shared" si="15"/>
        <v>#REF!</v>
      </c>
      <c r="K128" s="103"/>
      <c r="L128" s="104"/>
      <c r="M128" s="105"/>
      <c r="N128" s="103">
        <v>0</v>
      </c>
      <c r="O128" s="106"/>
      <c r="P128" s="103">
        <v>0</v>
      </c>
      <c r="Q128" s="107">
        <f t="shared" si="1"/>
        <v>0</v>
      </c>
      <c r="R128" s="107"/>
      <c r="S128" s="107"/>
      <c r="T128" s="108">
        <v>0</v>
      </c>
      <c r="U128" s="119"/>
      <c r="V128" s="110">
        <f t="shared" si="14"/>
        <v>0</v>
      </c>
      <c r="W128" s="103"/>
      <c r="X128" s="112">
        <f t="shared" si="19"/>
        <v>0</v>
      </c>
      <c r="Y128" s="112">
        <f t="shared" si="20"/>
        <v>0</v>
      </c>
      <c r="Z128" s="113">
        <f t="shared" si="21"/>
        <v>0</v>
      </c>
      <c r="AA128" s="113">
        <v>0</v>
      </c>
      <c r="AB128" s="114">
        <v>0</v>
      </c>
      <c r="AC128" s="11">
        <f t="shared" si="22"/>
        <v>0</v>
      </c>
      <c r="AD128" s="115" t="e">
        <f t="shared" si="16"/>
        <v>#REF!</v>
      </c>
      <c r="AE128" s="115">
        <f t="shared" si="17"/>
        <v>0</v>
      </c>
      <c r="AF128" s="115">
        <f t="shared" si="18"/>
        <v>0</v>
      </c>
      <c r="AG128" s="11"/>
      <c r="AH128" s="115">
        <f t="shared" si="23"/>
        <v>0</v>
      </c>
      <c r="AI128" s="115">
        <f t="shared" si="24"/>
        <v>0</v>
      </c>
      <c r="AJ128" s="115">
        <f t="shared" si="25"/>
        <v>0</v>
      </c>
      <c r="AL128" s="11" t="e">
        <f t="shared" si="26"/>
        <v>#REF!</v>
      </c>
      <c r="AM128" s="120" t="s">
        <v>191</v>
      </c>
    </row>
    <row r="129" spans="1:39">
      <c r="A129" s="129"/>
      <c r="B129" s="129" t="s">
        <v>49</v>
      </c>
      <c r="C129" s="96"/>
      <c r="D129" s="120" t="s">
        <v>201</v>
      </c>
      <c r="E129" s="98"/>
      <c r="F129" s="99" t="e">
        <f>VLOOKUP(D129,#REF!,19,FALSE)</f>
        <v>#REF!</v>
      </c>
      <c r="G129" s="100"/>
      <c r="H129" s="100"/>
      <c r="I129" s="101"/>
      <c r="J129" s="102" t="e">
        <f t="shared" si="15"/>
        <v>#REF!</v>
      </c>
      <c r="K129" s="103"/>
      <c r="L129" s="104"/>
      <c r="M129" s="105"/>
      <c r="N129" s="103">
        <v>0</v>
      </c>
      <c r="O129" s="106"/>
      <c r="P129" s="103">
        <v>0</v>
      </c>
      <c r="Q129" s="107">
        <f t="shared" si="1"/>
        <v>0</v>
      </c>
      <c r="R129" s="107"/>
      <c r="S129" s="107"/>
      <c r="T129" s="108">
        <v>14881.3</v>
      </c>
      <c r="U129" s="119"/>
      <c r="V129" s="110">
        <f t="shared" si="14"/>
        <v>14881.3</v>
      </c>
      <c r="W129" s="103"/>
      <c r="X129" s="112">
        <f t="shared" si="19"/>
        <v>0</v>
      </c>
      <c r="Y129" s="112">
        <f t="shared" si="20"/>
        <v>0</v>
      </c>
      <c r="Z129" s="113">
        <f t="shared" si="21"/>
        <v>0</v>
      </c>
      <c r="AA129" s="113">
        <v>0</v>
      </c>
      <c r="AB129" s="114">
        <v>0</v>
      </c>
      <c r="AC129" s="11">
        <f t="shared" si="22"/>
        <v>0</v>
      </c>
      <c r="AD129" s="115" t="e">
        <f t="shared" si="16"/>
        <v>#REF!</v>
      </c>
      <c r="AE129" s="115">
        <f t="shared" si="17"/>
        <v>0</v>
      </c>
      <c r="AF129" s="115">
        <f t="shared" si="18"/>
        <v>0</v>
      </c>
      <c r="AG129" s="11"/>
      <c r="AH129" s="115">
        <f t="shared" si="23"/>
        <v>0</v>
      </c>
      <c r="AI129" s="115">
        <f t="shared" si="24"/>
        <v>0</v>
      </c>
      <c r="AJ129" s="115">
        <f t="shared" si="25"/>
        <v>0</v>
      </c>
      <c r="AL129" s="11" t="e">
        <f t="shared" si="26"/>
        <v>#REF!</v>
      </c>
      <c r="AM129" s="120" t="s">
        <v>201</v>
      </c>
    </row>
    <row r="130" spans="1:39">
      <c r="A130" s="129"/>
      <c r="B130" s="129" t="s">
        <v>81</v>
      </c>
      <c r="C130" s="96" t="s">
        <v>202</v>
      </c>
      <c r="D130" s="120" t="s">
        <v>203</v>
      </c>
      <c r="E130" s="98">
        <f>2651+2739.2</f>
        <v>5390.2</v>
      </c>
      <c r="F130" s="99" t="e">
        <f>VLOOKUP(D130,#REF!,19,FALSE)</f>
        <v>#REF!</v>
      </c>
      <c r="G130" s="100"/>
      <c r="H130" s="100"/>
      <c r="I130" s="101"/>
      <c r="J130" s="102" t="e">
        <f t="shared" si="15"/>
        <v>#REF!</v>
      </c>
      <c r="K130" s="103"/>
      <c r="L130" s="104"/>
      <c r="M130" s="105">
        <v>5000</v>
      </c>
      <c r="N130" s="103">
        <v>0</v>
      </c>
      <c r="O130" s="106"/>
      <c r="P130" s="103">
        <v>0</v>
      </c>
      <c r="Q130" s="107">
        <f>L130+M130</f>
        <v>5000</v>
      </c>
      <c r="R130" s="107"/>
      <c r="S130" s="107"/>
      <c r="T130" s="108">
        <v>0</v>
      </c>
      <c r="U130" s="119"/>
      <c r="V130" s="110">
        <f t="shared" si="14"/>
        <v>-5000</v>
      </c>
      <c r="W130" s="103"/>
      <c r="X130" s="112">
        <f t="shared" si="19"/>
        <v>0</v>
      </c>
      <c r="Y130" s="112">
        <f t="shared" si="20"/>
        <v>0</v>
      </c>
      <c r="Z130" s="113">
        <f t="shared" si="21"/>
        <v>5000</v>
      </c>
      <c r="AA130" s="113">
        <v>0</v>
      </c>
      <c r="AB130" s="114">
        <v>0</v>
      </c>
      <c r="AC130" s="11">
        <f t="shared" si="22"/>
        <v>0</v>
      </c>
      <c r="AD130" s="115">
        <f t="shared" si="16"/>
        <v>0</v>
      </c>
      <c r="AE130" s="115">
        <f t="shared" si="17"/>
        <v>0</v>
      </c>
      <c r="AF130" s="115" t="e">
        <f t="shared" si="18"/>
        <v>#REF!</v>
      </c>
      <c r="AG130" s="11"/>
      <c r="AH130" s="115">
        <f t="shared" si="23"/>
        <v>0</v>
      </c>
      <c r="AI130" s="115">
        <f t="shared" si="24"/>
        <v>0</v>
      </c>
      <c r="AJ130" s="115">
        <f t="shared" si="25"/>
        <v>5000</v>
      </c>
      <c r="AL130" s="11" t="e">
        <f t="shared" si="26"/>
        <v>#REF!</v>
      </c>
      <c r="AM130" s="120" t="s">
        <v>203</v>
      </c>
    </row>
    <row r="131" spans="1:39">
      <c r="A131" s="129"/>
      <c r="B131" s="129" t="s">
        <v>46</v>
      </c>
      <c r="C131" s="96" t="s">
        <v>204</v>
      </c>
      <c r="D131" s="120" t="s">
        <v>205</v>
      </c>
      <c r="E131" s="98"/>
      <c r="F131" s="99" t="e">
        <f>VLOOKUP(D131,#REF!,19,FALSE)</f>
        <v>#REF!</v>
      </c>
      <c r="G131" s="100"/>
      <c r="H131" s="100"/>
      <c r="I131" s="101"/>
      <c r="J131" s="102" t="e">
        <f t="shared" si="15"/>
        <v>#REF!</v>
      </c>
      <c r="K131" s="103"/>
      <c r="L131" s="104"/>
      <c r="M131" s="105"/>
      <c r="N131" s="103">
        <v>0</v>
      </c>
      <c r="O131" s="106"/>
      <c r="P131" s="103">
        <v>0</v>
      </c>
      <c r="Q131" s="107">
        <f t="shared" si="1"/>
        <v>0</v>
      </c>
      <c r="R131" s="107"/>
      <c r="S131" s="107"/>
      <c r="T131" s="108">
        <v>787.16</v>
      </c>
      <c r="U131" s="119"/>
      <c r="V131" s="110">
        <f t="shared" si="14"/>
        <v>787.16</v>
      </c>
      <c r="W131" s="103"/>
      <c r="X131" s="112">
        <f t="shared" si="19"/>
        <v>0</v>
      </c>
      <c r="Y131" s="112">
        <f t="shared" si="20"/>
        <v>0</v>
      </c>
      <c r="Z131" s="113">
        <f t="shared" si="21"/>
        <v>0</v>
      </c>
      <c r="AA131" s="113">
        <v>0</v>
      </c>
      <c r="AB131" s="114">
        <v>0</v>
      </c>
      <c r="AC131" s="11">
        <f t="shared" si="22"/>
        <v>0</v>
      </c>
      <c r="AD131" s="115">
        <f t="shared" si="16"/>
        <v>0</v>
      </c>
      <c r="AE131" s="115" t="e">
        <f t="shared" si="17"/>
        <v>#REF!</v>
      </c>
      <c r="AF131" s="115">
        <f t="shared" si="18"/>
        <v>0</v>
      </c>
      <c r="AG131" s="11"/>
      <c r="AH131" s="115">
        <f t="shared" si="23"/>
        <v>0</v>
      </c>
      <c r="AI131" s="115">
        <f t="shared" si="24"/>
        <v>0</v>
      </c>
      <c r="AJ131" s="115">
        <f t="shared" si="25"/>
        <v>0</v>
      </c>
      <c r="AL131" s="11" t="e">
        <f t="shared" si="26"/>
        <v>#REF!</v>
      </c>
      <c r="AM131" s="120" t="s">
        <v>205</v>
      </c>
    </row>
    <row r="132" spans="1:39" s="124" customFormat="1">
      <c r="A132" s="123" t="s">
        <v>60</v>
      </c>
      <c r="B132" s="123" t="s">
        <v>46</v>
      </c>
      <c r="C132" s="122" t="s">
        <v>206</v>
      </c>
      <c r="D132" s="118" t="s">
        <v>207</v>
      </c>
      <c r="E132" s="98"/>
      <c r="F132" s="99" t="e">
        <f>VLOOKUP(D132,#REF!,19,FALSE)</f>
        <v>#REF!</v>
      </c>
      <c r="G132" s="100"/>
      <c r="H132" s="100"/>
      <c r="I132" s="101"/>
      <c r="J132" s="102" t="e">
        <f t="shared" si="15"/>
        <v>#REF!</v>
      </c>
      <c r="K132" s="103"/>
      <c r="L132" s="104"/>
      <c r="M132" s="105"/>
      <c r="N132" s="103">
        <v>0</v>
      </c>
      <c r="O132" s="106"/>
      <c r="P132" s="103">
        <v>0</v>
      </c>
      <c r="Q132" s="107">
        <f t="shared" si="1"/>
        <v>0</v>
      </c>
      <c r="R132" s="107"/>
      <c r="S132" s="107"/>
      <c r="T132" s="108">
        <v>0</v>
      </c>
      <c r="U132" s="119"/>
      <c r="V132" s="110">
        <f t="shared" si="14"/>
        <v>0</v>
      </c>
      <c r="W132" s="103"/>
      <c r="X132" s="112">
        <f t="shared" si="19"/>
        <v>0</v>
      </c>
      <c r="Y132" s="112">
        <f t="shared" si="20"/>
        <v>0</v>
      </c>
      <c r="Z132" s="113">
        <f t="shared" si="21"/>
        <v>0</v>
      </c>
      <c r="AA132" s="113">
        <v>0</v>
      </c>
      <c r="AB132" s="114">
        <v>0</v>
      </c>
      <c r="AC132" s="11">
        <f t="shared" si="22"/>
        <v>0</v>
      </c>
      <c r="AD132" s="115">
        <f t="shared" si="16"/>
        <v>0</v>
      </c>
      <c r="AE132" s="115" t="e">
        <f t="shared" si="17"/>
        <v>#REF!</v>
      </c>
      <c r="AF132" s="115">
        <f t="shared" si="18"/>
        <v>0</v>
      </c>
      <c r="AG132" s="11"/>
      <c r="AH132" s="115">
        <f t="shared" si="23"/>
        <v>0</v>
      </c>
      <c r="AI132" s="115">
        <f t="shared" si="24"/>
        <v>0</v>
      </c>
      <c r="AJ132" s="115">
        <f t="shared" si="25"/>
        <v>0</v>
      </c>
      <c r="AL132" s="11" t="e">
        <f t="shared" si="26"/>
        <v>#REF!</v>
      </c>
      <c r="AM132" s="118" t="s">
        <v>207</v>
      </c>
    </row>
    <row r="133" spans="1:39" s="124" customFormat="1">
      <c r="A133" s="123"/>
      <c r="B133" s="123" t="s">
        <v>49</v>
      </c>
      <c r="C133" s="122"/>
      <c r="D133" s="118" t="s">
        <v>208</v>
      </c>
      <c r="E133" s="98"/>
      <c r="F133" s="99" t="e">
        <f>VLOOKUP(D133,#REF!,19,FALSE)</f>
        <v>#REF!</v>
      </c>
      <c r="G133" s="100"/>
      <c r="H133" s="100"/>
      <c r="I133" s="101"/>
      <c r="J133" s="102" t="e">
        <f t="shared" si="15"/>
        <v>#REF!</v>
      </c>
      <c r="K133" s="103"/>
      <c r="L133" s="104"/>
      <c r="M133" s="105">
        <v>5000</v>
      </c>
      <c r="N133" s="103">
        <v>0</v>
      </c>
      <c r="O133" s="106"/>
      <c r="P133" s="103">
        <v>0</v>
      </c>
      <c r="Q133" s="107">
        <f t="shared" si="1"/>
        <v>5000</v>
      </c>
      <c r="R133" s="107"/>
      <c r="S133" s="107"/>
      <c r="T133" s="108">
        <v>2338.7399999999998</v>
      </c>
      <c r="U133" s="119"/>
      <c r="V133" s="110">
        <f t="shared" si="14"/>
        <v>-2661.26</v>
      </c>
      <c r="W133" s="103"/>
      <c r="X133" s="112">
        <f t="shared" si="19"/>
        <v>5000</v>
      </c>
      <c r="Y133" s="112">
        <f t="shared" si="20"/>
        <v>0</v>
      </c>
      <c r="Z133" s="113">
        <f t="shared" si="21"/>
        <v>0</v>
      </c>
      <c r="AA133" s="113">
        <v>0</v>
      </c>
      <c r="AB133" s="114">
        <v>0</v>
      </c>
      <c r="AC133" s="11">
        <f t="shared" si="22"/>
        <v>0</v>
      </c>
      <c r="AD133" s="115" t="e">
        <f t="shared" si="16"/>
        <v>#REF!</v>
      </c>
      <c r="AE133" s="115">
        <f t="shared" si="17"/>
        <v>0</v>
      </c>
      <c r="AF133" s="115">
        <f t="shared" si="18"/>
        <v>0</v>
      </c>
      <c r="AG133" s="11"/>
      <c r="AH133" s="115">
        <f t="shared" si="23"/>
        <v>5000</v>
      </c>
      <c r="AI133" s="115">
        <f t="shared" si="24"/>
        <v>0</v>
      </c>
      <c r="AJ133" s="115">
        <f t="shared" si="25"/>
        <v>0</v>
      </c>
      <c r="AL133" s="11" t="e">
        <f t="shared" si="26"/>
        <v>#REF!</v>
      </c>
      <c r="AM133" s="118" t="s">
        <v>208</v>
      </c>
    </row>
    <row r="134" spans="1:39" s="124" customFormat="1">
      <c r="A134" s="123"/>
      <c r="B134" s="123" t="s">
        <v>46</v>
      </c>
      <c r="C134" s="122"/>
      <c r="D134" s="118" t="s">
        <v>209</v>
      </c>
      <c r="E134" s="98"/>
      <c r="F134" s="99" t="e">
        <f>VLOOKUP(D134,#REF!,19,FALSE)</f>
        <v>#REF!</v>
      </c>
      <c r="G134" s="100"/>
      <c r="H134" s="100"/>
      <c r="I134" s="101"/>
      <c r="J134" s="102" t="e">
        <f t="shared" si="15"/>
        <v>#REF!</v>
      </c>
      <c r="K134" s="103"/>
      <c r="L134" s="104"/>
      <c r="M134" s="105">
        <v>40000</v>
      </c>
      <c r="N134" s="103">
        <v>0</v>
      </c>
      <c r="O134" s="106"/>
      <c r="P134" s="103">
        <v>0</v>
      </c>
      <c r="Q134" s="107">
        <f t="shared" si="1"/>
        <v>40000</v>
      </c>
      <c r="R134" s="107"/>
      <c r="S134" s="107"/>
      <c r="T134" s="108">
        <f>10004.21+28897.68+466.45</f>
        <v>39368.339999999997</v>
      </c>
      <c r="U134" s="119"/>
      <c r="V134" s="110">
        <f t="shared" si="14"/>
        <v>-631.66000000000349</v>
      </c>
      <c r="W134" s="103"/>
      <c r="X134" s="112">
        <f t="shared" si="19"/>
        <v>0</v>
      </c>
      <c r="Y134" s="112">
        <f t="shared" si="20"/>
        <v>40000</v>
      </c>
      <c r="Z134" s="113">
        <f t="shared" si="21"/>
        <v>0</v>
      </c>
      <c r="AA134" s="113">
        <v>0</v>
      </c>
      <c r="AB134" s="114">
        <v>0</v>
      </c>
      <c r="AC134" s="11">
        <f t="shared" si="22"/>
        <v>0</v>
      </c>
      <c r="AD134" s="115">
        <f t="shared" si="16"/>
        <v>0</v>
      </c>
      <c r="AE134" s="115" t="e">
        <f t="shared" si="17"/>
        <v>#REF!</v>
      </c>
      <c r="AF134" s="115">
        <f t="shared" si="18"/>
        <v>0</v>
      </c>
      <c r="AG134" s="11"/>
      <c r="AH134" s="115">
        <f t="shared" si="23"/>
        <v>0</v>
      </c>
      <c r="AI134" s="115">
        <f t="shared" si="24"/>
        <v>40000</v>
      </c>
      <c r="AJ134" s="115">
        <f t="shared" si="25"/>
        <v>0</v>
      </c>
      <c r="AL134" s="11" t="e">
        <f t="shared" si="26"/>
        <v>#REF!</v>
      </c>
      <c r="AM134" s="118" t="s">
        <v>209</v>
      </c>
    </row>
    <row r="135" spans="1:39" s="124" customFormat="1">
      <c r="A135" s="127"/>
      <c r="B135" s="127" t="s">
        <v>49</v>
      </c>
      <c r="C135" s="96" t="s">
        <v>210</v>
      </c>
      <c r="D135" s="118" t="s">
        <v>211</v>
      </c>
      <c r="E135" s="98"/>
      <c r="F135" s="99" t="e">
        <f>VLOOKUP(D135,#REF!,19,FALSE)</f>
        <v>#REF!</v>
      </c>
      <c r="G135" s="100"/>
      <c r="H135" s="100"/>
      <c r="I135" s="125">
        <v>862.45</v>
      </c>
      <c r="J135" s="102" t="e">
        <f t="shared" si="15"/>
        <v>#REF!</v>
      </c>
      <c r="K135" s="103"/>
      <c r="L135" s="104"/>
      <c r="M135" s="105"/>
      <c r="N135" s="103">
        <v>0</v>
      </c>
      <c r="O135" s="106"/>
      <c r="P135" s="103">
        <v>0</v>
      </c>
      <c r="Q135" s="107">
        <f t="shared" si="1"/>
        <v>0</v>
      </c>
      <c r="R135" s="107"/>
      <c r="S135" s="107"/>
      <c r="T135" s="108">
        <v>0</v>
      </c>
      <c r="U135" s="119"/>
      <c r="V135" s="110">
        <f t="shared" si="14"/>
        <v>0</v>
      </c>
      <c r="W135" s="103"/>
      <c r="X135" s="112">
        <f t="shared" si="19"/>
        <v>0</v>
      </c>
      <c r="Y135" s="112">
        <f t="shared" si="20"/>
        <v>0</v>
      </c>
      <c r="Z135" s="113">
        <f t="shared" si="21"/>
        <v>0</v>
      </c>
      <c r="AA135" s="113">
        <v>0</v>
      </c>
      <c r="AB135" s="114">
        <v>0</v>
      </c>
      <c r="AC135" s="11">
        <f t="shared" si="22"/>
        <v>0</v>
      </c>
      <c r="AD135" s="115" t="e">
        <f t="shared" si="16"/>
        <v>#REF!</v>
      </c>
      <c r="AE135" s="115">
        <f t="shared" si="17"/>
        <v>0</v>
      </c>
      <c r="AF135" s="115">
        <f t="shared" si="18"/>
        <v>0</v>
      </c>
      <c r="AG135" s="11"/>
      <c r="AH135" s="115">
        <f t="shared" si="23"/>
        <v>0</v>
      </c>
      <c r="AI135" s="115">
        <f t="shared" si="24"/>
        <v>0</v>
      </c>
      <c r="AJ135" s="115">
        <f t="shared" si="25"/>
        <v>0</v>
      </c>
      <c r="AL135" s="11" t="e">
        <f t="shared" si="26"/>
        <v>#REF!</v>
      </c>
      <c r="AM135" s="118" t="s">
        <v>211</v>
      </c>
    </row>
    <row r="136" spans="1:39" s="124" customFormat="1">
      <c r="A136" s="123"/>
      <c r="B136" s="123" t="s">
        <v>49</v>
      </c>
      <c r="C136" s="122"/>
      <c r="D136" s="120" t="s">
        <v>212</v>
      </c>
      <c r="E136" s="98"/>
      <c r="F136" s="99" t="e">
        <f>VLOOKUP(D136,#REF!,19,FALSE)</f>
        <v>#REF!</v>
      </c>
      <c r="G136" s="100"/>
      <c r="H136" s="100"/>
      <c r="I136" s="101"/>
      <c r="J136" s="102" t="e">
        <f t="shared" si="15"/>
        <v>#REF!</v>
      </c>
      <c r="K136" s="103"/>
      <c r="L136" s="104"/>
      <c r="M136" s="105"/>
      <c r="N136" s="103">
        <v>0</v>
      </c>
      <c r="O136" s="106"/>
      <c r="P136" s="103">
        <v>0</v>
      </c>
      <c r="Q136" s="107">
        <f t="shared" si="1"/>
        <v>0</v>
      </c>
      <c r="R136" s="107"/>
      <c r="S136" s="107"/>
      <c r="T136" s="108">
        <v>0</v>
      </c>
      <c r="U136" s="119"/>
      <c r="V136" s="110">
        <f t="shared" si="14"/>
        <v>0</v>
      </c>
      <c r="W136" s="103"/>
      <c r="X136" s="112">
        <f t="shared" si="19"/>
        <v>0</v>
      </c>
      <c r="Y136" s="112">
        <f t="shared" si="20"/>
        <v>0</v>
      </c>
      <c r="Z136" s="113">
        <f t="shared" si="21"/>
        <v>0</v>
      </c>
      <c r="AA136" s="113">
        <v>0</v>
      </c>
      <c r="AB136" s="114">
        <v>0</v>
      </c>
      <c r="AC136" s="11">
        <f t="shared" si="22"/>
        <v>0</v>
      </c>
      <c r="AD136" s="115" t="e">
        <f t="shared" si="16"/>
        <v>#REF!</v>
      </c>
      <c r="AE136" s="115">
        <f t="shared" si="17"/>
        <v>0</v>
      </c>
      <c r="AF136" s="115">
        <f t="shared" si="18"/>
        <v>0</v>
      </c>
      <c r="AG136" s="11"/>
      <c r="AH136" s="115">
        <f t="shared" si="23"/>
        <v>0</v>
      </c>
      <c r="AI136" s="115">
        <f t="shared" si="24"/>
        <v>0</v>
      </c>
      <c r="AJ136" s="115">
        <f t="shared" si="25"/>
        <v>0</v>
      </c>
      <c r="AL136" s="11" t="e">
        <f t="shared" si="26"/>
        <v>#REF!</v>
      </c>
      <c r="AM136" s="120" t="s">
        <v>212</v>
      </c>
    </row>
    <row r="137" spans="1:39" s="124" customFormat="1">
      <c r="A137" s="123"/>
      <c r="B137" s="123" t="s">
        <v>49</v>
      </c>
      <c r="C137" s="122" t="s">
        <v>213</v>
      </c>
      <c r="D137" s="118" t="s">
        <v>214</v>
      </c>
      <c r="E137" s="98"/>
      <c r="F137" s="99" t="e">
        <f>VLOOKUP(D137,#REF!,19,FALSE)</f>
        <v>#REF!</v>
      </c>
      <c r="G137" s="100"/>
      <c r="H137" s="100"/>
      <c r="I137" s="101"/>
      <c r="J137" s="102" t="e">
        <f t="shared" si="15"/>
        <v>#REF!</v>
      </c>
      <c r="K137" s="103"/>
      <c r="L137" s="104"/>
      <c r="M137" s="105"/>
      <c r="N137" s="103">
        <v>0</v>
      </c>
      <c r="O137" s="106"/>
      <c r="P137" s="103">
        <v>0</v>
      </c>
      <c r="Q137" s="107">
        <f t="shared" si="1"/>
        <v>0</v>
      </c>
      <c r="R137" s="107"/>
      <c r="S137" s="107"/>
      <c r="T137" s="108">
        <v>0</v>
      </c>
      <c r="U137" s="119"/>
      <c r="V137" s="110">
        <f t="shared" si="14"/>
        <v>0</v>
      </c>
      <c r="W137" s="103"/>
      <c r="X137" s="112">
        <f t="shared" si="19"/>
        <v>0</v>
      </c>
      <c r="Y137" s="112">
        <f t="shared" si="20"/>
        <v>0</v>
      </c>
      <c r="Z137" s="113">
        <f t="shared" si="21"/>
        <v>0</v>
      </c>
      <c r="AA137" s="113">
        <v>0</v>
      </c>
      <c r="AB137" s="114">
        <v>0</v>
      </c>
      <c r="AC137" s="11">
        <f t="shared" si="22"/>
        <v>0</v>
      </c>
      <c r="AD137" s="115" t="e">
        <f t="shared" si="16"/>
        <v>#REF!</v>
      </c>
      <c r="AE137" s="115">
        <f t="shared" si="17"/>
        <v>0</v>
      </c>
      <c r="AF137" s="115">
        <f t="shared" si="18"/>
        <v>0</v>
      </c>
      <c r="AG137" s="11"/>
      <c r="AH137" s="115">
        <f t="shared" si="23"/>
        <v>0</v>
      </c>
      <c r="AI137" s="115">
        <f t="shared" si="24"/>
        <v>0</v>
      </c>
      <c r="AJ137" s="115">
        <f t="shared" si="25"/>
        <v>0</v>
      </c>
      <c r="AL137" s="11" t="e">
        <f t="shared" si="26"/>
        <v>#REF!</v>
      </c>
      <c r="AM137" s="118" t="s">
        <v>214</v>
      </c>
    </row>
    <row r="138" spans="1:39" s="124" customFormat="1" hidden="1">
      <c r="A138" s="123"/>
      <c r="B138" s="123" t="s">
        <v>49</v>
      </c>
      <c r="C138" s="122" t="s">
        <v>213</v>
      </c>
      <c r="D138" s="118" t="s">
        <v>215</v>
      </c>
      <c r="E138" s="98"/>
      <c r="F138" s="99" t="e">
        <f>VLOOKUP(D138,#REF!,19,FALSE)</f>
        <v>#REF!</v>
      </c>
      <c r="G138" s="100"/>
      <c r="H138" s="100"/>
      <c r="I138" s="101"/>
      <c r="J138" s="102" t="e">
        <f t="shared" si="15"/>
        <v>#REF!</v>
      </c>
      <c r="K138" s="103"/>
      <c r="L138" s="104"/>
      <c r="M138" s="105"/>
      <c r="N138" s="103">
        <v>0</v>
      </c>
      <c r="O138" s="106"/>
      <c r="P138" s="103">
        <v>0</v>
      </c>
      <c r="Q138" s="107">
        <f t="shared" si="1"/>
        <v>0</v>
      </c>
      <c r="R138" s="107"/>
      <c r="S138" s="107"/>
      <c r="T138" s="108">
        <v>0</v>
      </c>
      <c r="U138" s="119"/>
      <c r="V138" s="110">
        <f t="shared" si="14"/>
        <v>0</v>
      </c>
      <c r="W138" s="103"/>
      <c r="X138" s="112">
        <f t="shared" si="19"/>
        <v>0</v>
      </c>
      <c r="Y138" s="112">
        <f t="shared" si="20"/>
        <v>0</v>
      </c>
      <c r="Z138" s="113">
        <f t="shared" si="21"/>
        <v>0</v>
      </c>
      <c r="AA138" s="113">
        <v>0</v>
      </c>
      <c r="AB138" s="114">
        <v>0</v>
      </c>
      <c r="AC138" s="11">
        <f t="shared" si="22"/>
        <v>0</v>
      </c>
      <c r="AD138" s="115" t="e">
        <f t="shared" si="16"/>
        <v>#REF!</v>
      </c>
      <c r="AE138" s="115">
        <f t="shared" si="17"/>
        <v>0</v>
      </c>
      <c r="AF138" s="115">
        <f t="shared" si="18"/>
        <v>0</v>
      </c>
      <c r="AG138" s="11"/>
      <c r="AH138" s="115">
        <f t="shared" si="23"/>
        <v>0</v>
      </c>
      <c r="AI138" s="115">
        <f t="shared" si="24"/>
        <v>0</v>
      </c>
      <c r="AJ138" s="115">
        <f t="shared" si="25"/>
        <v>0</v>
      </c>
      <c r="AL138" s="11" t="e">
        <f t="shared" si="26"/>
        <v>#REF!</v>
      </c>
      <c r="AM138" s="118" t="s">
        <v>215</v>
      </c>
    </row>
    <row r="139" spans="1:39" s="124" customFormat="1" hidden="1">
      <c r="A139" s="123"/>
      <c r="B139" s="123" t="s">
        <v>49</v>
      </c>
      <c r="C139" s="122" t="s">
        <v>213</v>
      </c>
      <c r="D139" s="118" t="s">
        <v>216</v>
      </c>
      <c r="E139" s="98"/>
      <c r="F139" s="99" t="e">
        <f>VLOOKUP(D139,#REF!,19,FALSE)</f>
        <v>#REF!</v>
      </c>
      <c r="G139" s="100"/>
      <c r="H139" s="100"/>
      <c r="I139" s="101"/>
      <c r="J139" s="102" t="e">
        <f t="shared" si="15"/>
        <v>#REF!</v>
      </c>
      <c r="K139" s="103"/>
      <c r="L139" s="104"/>
      <c r="M139" s="105"/>
      <c r="N139" s="103">
        <v>0</v>
      </c>
      <c r="O139" s="106"/>
      <c r="P139" s="103">
        <v>0</v>
      </c>
      <c r="Q139" s="107">
        <f t="shared" si="1"/>
        <v>0</v>
      </c>
      <c r="R139" s="107"/>
      <c r="S139" s="107"/>
      <c r="T139" s="108">
        <v>0</v>
      </c>
      <c r="U139" s="119"/>
      <c r="V139" s="110">
        <f t="shared" si="14"/>
        <v>0</v>
      </c>
      <c r="W139" s="103"/>
      <c r="X139" s="112">
        <f t="shared" si="19"/>
        <v>0</v>
      </c>
      <c r="Y139" s="112">
        <f t="shared" si="20"/>
        <v>0</v>
      </c>
      <c r="Z139" s="113">
        <f t="shared" si="21"/>
        <v>0</v>
      </c>
      <c r="AA139" s="113">
        <v>0</v>
      </c>
      <c r="AB139" s="114">
        <v>0</v>
      </c>
      <c r="AC139" s="11">
        <f t="shared" si="22"/>
        <v>0</v>
      </c>
      <c r="AD139" s="115" t="e">
        <f t="shared" si="16"/>
        <v>#REF!</v>
      </c>
      <c r="AE139" s="115">
        <f t="shared" si="17"/>
        <v>0</v>
      </c>
      <c r="AF139" s="115">
        <f t="shared" si="18"/>
        <v>0</v>
      </c>
      <c r="AG139" s="11"/>
      <c r="AH139" s="115">
        <f t="shared" si="23"/>
        <v>0</v>
      </c>
      <c r="AI139" s="115">
        <f t="shared" si="24"/>
        <v>0</v>
      </c>
      <c r="AJ139" s="115">
        <f t="shared" si="25"/>
        <v>0</v>
      </c>
      <c r="AL139" s="11" t="e">
        <f t="shared" si="26"/>
        <v>#REF!</v>
      </c>
      <c r="AM139" s="118" t="s">
        <v>216</v>
      </c>
    </row>
    <row r="140" spans="1:39" s="124" customFormat="1" hidden="1">
      <c r="A140" s="123"/>
      <c r="B140" s="123" t="s">
        <v>49</v>
      </c>
      <c r="C140" s="122" t="s">
        <v>213</v>
      </c>
      <c r="D140" s="118" t="s">
        <v>217</v>
      </c>
      <c r="E140" s="98"/>
      <c r="F140" s="99" t="e">
        <f>VLOOKUP(D140,#REF!,19,FALSE)</f>
        <v>#REF!</v>
      </c>
      <c r="G140" s="100"/>
      <c r="H140" s="100"/>
      <c r="I140" s="101"/>
      <c r="J140" s="102" t="e">
        <f t="shared" si="15"/>
        <v>#REF!</v>
      </c>
      <c r="K140" s="103"/>
      <c r="L140" s="104"/>
      <c r="M140" s="105"/>
      <c r="N140" s="103">
        <v>0</v>
      </c>
      <c r="O140" s="106"/>
      <c r="P140" s="103">
        <v>0</v>
      </c>
      <c r="Q140" s="107">
        <f t="shared" si="1"/>
        <v>0</v>
      </c>
      <c r="R140" s="107"/>
      <c r="S140" s="107"/>
      <c r="T140" s="108">
        <v>0</v>
      </c>
      <c r="U140" s="119"/>
      <c r="V140" s="110">
        <f t="shared" si="14"/>
        <v>0</v>
      </c>
      <c r="W140" s="103"/>
      <c r="X140" s="112">
        <f t="shared" si="19"/>
        <v>0</v>
      </c>
      <c r="Y140" s="112">
        <f t="shared" si="20"/>
        <v>0</v>
      </c>
      <c r="Z140" s="113">
        <f t="shared" si="21"/>
        <v>0</v>
      </c>
      <c r="AA140" s="113">
        <v>0</v>
      </c>
      <c r="AB140" s="114">
        <v>0</v>
      </c>
      <c r="AC140" s="11">
        <f t="shared" si="22"/>
        <v>0</v>
      </c>
      <c r="AD140" s="115" t="e">
        <f t="shared" si="16"/>
        <v>#REF!</v>
      </c>
      <c r="AE140" s="115">
        <f t="shared" si="17"/>
        <v>0</v>
      </c>
      <c r="AF140" s="115">
        <f t="shared" si="18"/>
        <v>0</v>
      </c>
      <c r="AG140" s="11"/>
      <c r="AH140" s="115">
        <f t="shared" si="23"/>
        <v>0</v>
      </c>
      <c r="AI140" s="115">
        <f t="shared" si="24"/>
        <v>0</v>
      </c>
      <c r="AJ140" s="115">
        <f t="shared" si="25"/>
        <v>0</v>
      </c>
      <c r="AL140" s="11" t="e">
        <f t="shared" si="26"/>
        <v>#REF!</v>
      </c>
      <c r="AM140" s="118" t="s">
        <v>217</v>
      </c>
    </row>
    <row r="141" spans="1:39" s="124" customFormat="1" hidden="1">
      <c r="A141" s="123"/>
      <c r="B141" s="123" t="s">
        <v>49</v>
      </c>
      <c r="C141" s="122" t="s">
        <v>213</v>
      </c>
      <c r="D141" s="118" t="s">
        <v>218</v>
      </c>
      <c r="E141" s="98"/>
      <c r="F141" s="99" t="e">
        <f>VLOOKUP(D141,#REF!,19,FALSE)</f>
        <v>#REF!</v>
      </c>
      <c r="G141" s="100"/>
      <c r="H141" s="100"/>
      <c r="I141" s="101"/>
      <c r="J141" s="102" t="e">
        <f t="shared" si="15"/>
        <v>#REF!</v>
      </c>
      <c r="K141" s="103"/>
      <c r="L141" s="104"/>
      <c r="M141" s="105"/>
      <c r="N141" s="103">
        <v>0</v>
      </c>
      <c r="O141" s="106"/>
      <c r="P141" s="103">
        <v>0</v>
      </c>
      <c r="Q141" s="107">
        <f t="shared" si="1"/>
        <v>0</v>
      </c>
      <c r="R141" s="107"/>
      <c r="S141" s="107"/>
      <c r="T141" s="108">
        <v>0</v>
      </c>
      <c r="U141" s="119"/>
      <c r="V141" s="110">
        <f t="shared" si="14"/>
        <v>0</v>
      </c>
      <c r="W141" s="103"/>
      <c r="X141" s="112">
        <f t="shared" si="19"/>
        <v>0</v>
      </c>
      <c r="Y141" s="112">
        <f t="shared" si="20"/>
        <v>0</v>
      </c>
      <c r="Z141" s="113">
        <f t="shared" si="21"/>
        <v>0</v>
      </c>
      <c r="AA141" s="113">
        <v>0</v>
      </c>
      <c r="AB141" s="114">
        <v>0</v>
      </c>
      <c r="AC141" s="11">
        <f t="shared" si="22"/>
        <v>0</v>
      </c>
      <c r="AD141" s="115" t="e">
        <f t="shared" si="16"/>
        <v>#REF!</v>
      </c>
      <c r="AE141" s="115">
        <f t="shared" si="17"/>
        <v>0</v>
      </c>
      <c r="AF141" s="115">
        <f t="shared" si="18"/>
        <v>0</v>
      </c>
      <c r="AG141" s="11"/>
      <c r="AH141" s="115">
        <f t="shared" si="23"/>
        <v>0</v>
      </c>
      <c r="AI141" s="115">
        <f t="shared" si="24"/>
        <v>0</v>
      </c>
      <c r="AJ141" s="115">
        <f t="shared" si="25"/>
        <v>0</v>
      </c>
      <c r="AL141" s="11" t="e">
        <f t="shared" si="26"/>
        <v>#REF!</v>
      </c>
      <c r="AM141" s="118" t="s">
        <v>218</v>
      </c>
    </row>
    <row r="142" spans="1:39" s="124" customFormat="1" hidden="1">
      <c r="A142" s="123"/>
      <c r="B142" s="123" t="s">
        <v>49</v>
      </c>
      <c r="C142" s="122" t="s">
        <v>213</v>
      </c>
      <c r="D142" s="118" t="s">
        <v>219</v>
      </c>
      <c r="E142" s="98"/>
      <c r="F142" s="99" t="e">
        <f>VLOOKUP(D142,#REF!,19,FALSE)</f>
        <v>#REF!</v>
      </c>
      <c r="G142" s="100"/>
      <c r="H142" s="100"/>
      <c r="I142" s="101"/>
      <c r="J142" s="102" t="e">
        <f t="shared" si="15"/>
        <v>#REF!</v>
      </c>
      <c r="K142" s="103"/>
      <c r="L142" s="104"/>
      <c r="M142" s="105"/>
      <c r="N142" s="103">
        <v>0</v>
      </c>
      <c r="O142" s="106"/>
      <c r="P142" s="103">
        <v>0</v>
      </c>
      <c r="Q142" s="107">
        <f t="shared" si="1"/>
        <v>0</v>
      </c>
      <c r="R142" s="107"/>
      <c r="S142" s="107"/>
      <c r="T142" s="108">
        <v>0</v>
      </c>
      <c r="U142" s="119"/>
      <c r="V142" s="110">
        <f t="shared" si="14"/>
        <v>0</v>
      </c>
      <c r="W142" s="103"/>
      <c r="X142" s="112">
        <f t="shared" si="19"/>
        <v>0</v>
      </c>
      <c r="Y142" s="112">
        <f t="shared" si="20"/>
        <v>0</v>
      </c>
      <c r="Z142" s="113">
        <f t="shared" si="21"/>
        <v>0</v>
      </c>
      <c r="AA142" s="113">
        <v>0</v>
      </c>
      <c r="AB142" s="114">
        <v>0</v>
      </c>
      <c r="AC142" s="11">
        <f t="shared" si="22"/>
        <v>0</v>
      </c>
      <c r="AD142" s="115" t="e">
        <f t="shared" si="16"/>
        <v>#REF!</v>
      </c>
      <c r="AE142" s="115">
        <f t="shared" si="17"/>
        <v>0</v>
      </c>
      <c r="AF142" s="115">
        <f t="shared" si="18"/>
        <v>0</v>
      </c>
      <c r="AG142" s="11"/>
      <c r="AH142" s="115">
        <f t="shared" si="23"/>
        <v>0</v>
      </c>
      <c r="AI142" s="115">
        <f t="shared" si="24"/>
        <v>0</v>
      </c>
      <c r="AJ142" s="115">
        <f t="shared" si="25"/>
        <v>0</v>
      </c>
      <c r="AL142" s="11" t="e">
        <f t="shared" si="26"/>
        <v>#REF!</v>
      </c>
      <c r="AM142" s="118" t="s">
        <v>219</v>
      </c>
    </row>
    <row r="143" spans="1:39" s="124" customFormat="1" hidden="1">
      <c r="A143" s="123"/>
      <c r="B143" s="123" t="s">
        <v>49</v>
      </c>
      <c r="C143" s="122" t="s">
        <v>213</v>
      </c>
      <c r="D143" s="118" t="s">
        <v>220</v>
      </c>
      <c r="E143" s="98"/>
      <c r="F143" s="99" t="e">
        <f>VLOOKUP(D143,#REF!,19,FALSE)</f>
        <v>#REF!</v>
      </c>
      <c r="G143" s="100"/>
      <c r="H143" s="100"/>
      <c r="I143" s="101"/>
      <c r="J143" s="102" t="e">
        <f t="shared" si="15"/>
        <v>#REF!</v>
      </c>
      <c r="K143" s="103"/>
      <c r="L143" s="104"/>
      <c r="M143" s="105"/>
      <c r="N143" s="103">
        <v>0</v>
      </c>
      <c r="O143" s="106"/>
      <c r="P143" s="103">
        <v>0</v>
      </c>
      <c r="Q143" s="107">
        <f t="shared" si="1"/>
        <v>0</v>
      </c>
      <c r="R143" s="107"/>
      <c r="S143" s="107"/>
      <c r="T143" s="108">
        <v>0</v>
      </c>
      <c r="U143" s="119"/>
      <c r="V143" s="110">
        <f t="shared" si="14"/>
        <v>0</v>
      </c>
      <c r="W143" s="103"/>
      <c r="X143" s="112">
        <f t="shared" si="19"/>
        <v>0</v>
      </c>
      <c r="Y143" s="112">
        <f t="shared" si="20"/>
        <v>0</v>
      </c>
      <c r="Z143" s="113">
        <f t="shared" si="21"/>
        <v>0</v>
      </c>
      <c r="AA143" s="113">
        <v>0</v>
      </c>
      <c r="AB143" s="114">
        <v>0</v>
      </c>
      <c r="AC143" s="11">
        <f t="shared" si="22"/>
        <v>0</v>
      </c>
      <c r="AD143" s="115" t="e">
        <f t="shared" si="16"/>
        <v>#REF!</v>
      </c>
      <c r="AE143" s="115">
        <f t="shared" si="17"/>
        <v>0</v>
      </c>
      <c r="AF143" s="115">
        <f t="shared" si="18"/>
        <v>0</v>
      </c>
      <c r="AG143" s="11"/>
      <c r="AH143" s="115">
        <f t="shared" si="23"/>
        <v>0</v>
      </c>
      <c r="AI143" s="115">
        <f t="shared" si="24"/>
        <v>0</v>
      </c>
      <c r="AJ143" s="115">
        <f t="shared" si="25"/>
        <v>0</v>
      </c>
      <c r="AL143" s="11" t="e">
        <f t="shared" si="26"/>
        <v>#REF!</v>
      </c>
      <c r="AM143" s="118" t="s">
        <v>220</v>
      </c>
    </row>
    <row r="144" spans="1:39" s="124" customFormat="1">
      <c r="A144" s="123"/>
      <c r="B144" s="123" t="s">
        <v>49</v>
      </c>
      <c r="C144" s="122" t="s">
        <v>213</v>
      </c>
      <c r="D144" s="118" t="s">
        <v>221</v>
      </c>
      <c r="E144" s="98"/>
      <c r="F144" s="99" t="e">
        <f>VLOOKUP(D144,#REF!,19,FALSE)</f>
        <v>#REF!</v>
      </c>
      <c r="G144" s="100"/>
      <c r="H144" s="100"/>
      <c r="I144" s="101"/>
      <c r="J144" s="102" t="e">
        <f t="shared" si="15"/>
        <v>#REF!</v>
      </c>
      <c r="K144" s="103"/>
      <c r="L144" s="104"/>
      <c r="M144" s="105"/>
      <c r="N144" s="103">
        <v>0</v>
      </c>
      <c r="O144" s="106"/>
      <c r="P144" s="103">
        <v>0</v>
      </c>
      <c r="Q144" s="107">
        <f t="shared" si="1"/>
        <v>0</v>
      </c>
      <c r="R144" s="107"/>
      <c r="S144" s="107"/>
      <c r="T144" s="108">
        <v>0</v>
      </c>
      <c r="U144" s="119"/>
      <c r="V144" s="110">
        <f t="shared" ref="V144:V207" si="27">IF(T144="","",T144-Q144)</f>
        <v>0</v>
      </c>
      <c r="W144" s="103"/>
      <c r="X144" s="112">
        <f t="shared" si="19"/>
        <v>0</v>
      </c>
      <c r="Y144" s="112">
        <f t="shared" si="20"/>
        <v>0</v>
      </c>
      <c r="Z144" s="113">
        <f t="shared" si="21"/>
        <v>0</v>
      </c>
      <c r="AA144" s="113">
        <v>0</v>
      </c>
      <c r="AB144" s="114">
        <v>0</v>
      </c>
      <c r="AC144" s="11">
        <f t="shared" si="22"/>
        <v>0</v>
      </c>
      <c r="AD144" s="115" t="e">
        <f t="shared" si="16"/>
        <v>#REF!</v>
      </c>
      <c r="AE144" s="115">
        <f t="shared" si="17"/>
        <v>0</v>
      </c>
      <c r="AF144" s="115">
        <f t="shared" si="18"/>
        <v>0</v>
      </c>
      <c r="AG144" s="11"/>
      <c r="AH144" s="115">
        <f t="shared" si="23"/>
        <v>0</v>
      </c>
      <c r="AI144" s="115">
        <f t="shared" si="24"/>
        <v>0</v>
      </c>
      <c r="AJ144" s="115">
        <f t="shared" si="25"/>
        <v>0</v>
      </c>
      <c r="AL144" s="11" t="e">
        <f t="shared" si="26"/>
        <v>#REF!</v>
      </c>
      <c r="AM144" s="118" t="s">
        <v>221</v>
      </c>
    </row>
    <row r="145" spans="1:39" s="124" customFormat="1">
      <c r="A145" s="123"/>
      <c r="B145" s="123" t="s">
        <v>46</v>
      </c>
      <c r="C145" s="122" t="s">
        <v>213</v>
      </c>
      <c r="D145" s="118" t="s">
        <v>222</v>
      </c>
      <c r="E145" s="98"/>
      <c r="F145" s="99" t="e">
        <f>VLOOKUP(D145,#REF!,19,FALSE)</f>
        <v>#REF!</v>
      </c>
      <c r="G145" s="100"/>
      <c r="H145" s="100"/>
      <c r="I145" s="101"/>
      <c r="J145" s="102" t="e">
        <f>SUM(E145:I145)</f>
        <v>#REF!</v>
      </c>
      <c r="K145" s="103"/>
      <c r="L145" s="104"/>
      <c r="M145" s="105"/>
      <c r="N145" s="103">
        <v>0</v>
      </c>
      <c r="O145" s="106"/>
      <c r="P145" s="103">
        <v>0</v>
      </c>
      <c r="Q145" s="107">
        <f t="shared" si="1"/>
        <v>0</v>
      </c>
      <c r="R145" s="107"/>
      <c r="S145" s="107"/>
      <c r="T145" s="108">
        <v>0</v>
      </c>
      <c r="U145" s="119"/>
      <c r="V145" s="110">
        <f t="shared" si="27"/>
        <v>0</v>
      </c>
      <c r="W145" s="103"/>
      <c r="X145" s="112">
        <f t="shared" si="19"/>
        <v>0</v>
      </c>
      <c r="Y145" s="112">
        <f t="shared" si="20"/>
        <v>0</v>
      </c>
      <c r="Z145" s="113">
        <f t="shared" si="21"/>
        <v>0</v>
      </c>
      <c r="AA145" s="113">
        <v>0</v>
      </c>
      <c r="AB145" s="114">
        <v>0</v>
      </c>
      <c r="AC145" s="11">
        <f t="shared" si="22"/>
        <v>0</v>
      </c>
      <c r="AD145" s="115">
        <f t="shared" si="16"/>
        <v>0</v>
      </c>
      <c r="AE145" s="115" t="e">
        <f t="shared" si="17"/>
        <v>#REF!</v>
      </c>
      <c r="AF145" s="115">
        <f t="shared" si="18"/>
        <v>0</v>
      </c>
      <c r="AG145" s="11"/>
      <c r="AH145" s="115">
        <f t="shared" si="23"/>
        <v>0</v>
      </c>
      <c r="AI145" s="115">
        <f t="shared" si="24"/>
        <v>0</v>
      </c>
      <c r="AJ145" s="115">
        <f t="shared" si="25"/>
        <v>0</v>
      </c>
      <c r="AL145" s="11" t="e">
        <f t="shared" si="26"/>
        <v>#REF!</v>
      </c>
      <c r="AM145" s="118" t="s">
        <v>222</v>
      </c>
    </row>
    <row r="146" spans="1:39" s="124" customFormat="1">
      <c r="A146" s="123"/>
      <c r="B146" s="116" t="s">
        <v>46</v>
      </c>
      <c r="C146" s="122"/>
      <c r="D146" s="120" t="s">
        <v>223</v>
      </c>
      <c r="E146" s="98"/>
      <c r="F146" s="99" t="e">
        <f>VLOOKUP(D146,#REF!,19,FALSE)</f>
        <v>#REF!</v>
      </c>
      <c r="G146" s="100"/>
      <c r="H146" s="100"/>
      <c r="I146" s="101"/>
      <c r="J146" s="102" t="e">
        <f t="shared" si="15"/>
        <v>#REF!</v>
      </c>
      <c r="K146" s="103"/>
      <c r="L146" s="104"/>
      <c r="M146" s="105">
        <v>35000</v>
      </c>
      <c r="N146" s="103">
        <v>0</v>
      </c>
      <c r="O146" s="106"/>
      <c r="P146" s="103">
        <v>0</v>
      </c>
      <c r="Q146" s="107">
        <f t="shared" si="1"/>
        <v>35000</v>
      </c>
      <c r="R146" s="107"/>
      <c r="S146" s="107"/>
      <c r="T146" s="108">
        <v>0</v>
      </c>
      <c r="U146" s="119"/>
      <c r="V146" s="110">
        <f t="shared" si="27"/>
        <v>-35000</v>
      </c>
      <c r="W146" s="103"/>
      <c r="X146" s="112">
        <f t="shared" si="19"/>
        <v>0</v>
      </c>
      <c r="Y146" s="112">
        <f t="shared" si="20"/>
        <v>35000</v>
      </c>
      <c r="Z146" s="113">
        <f t="shared" si="21"/>
        <v>0</v>
      </c>
      <c r="AA146" s="113">
        <v>0</v>
      </c>
      <c r="AB146" s="114">
        <v>0</v>
      </c>
      <c r="AC146" s="11">
        <f t="shared" si="22"/>
        <v>0</v>
      </c>
      <c r="AD146" s="115">
        <f t="shared" si="16"/>
        <v>0</v>
      </c>
      <c r="AE146" s="115" t="e">
        <f t="shared" si="17"/>
        <v>#REF!</v>
      </c>
      <c r="AF146" s="115">
        <f t="shared" si="18"/>
        <v>0</v>
      </c>
      <c r="AG146" s="11"/>
      <c r="AH146" s="115">
        <f t="shared" si="23"/>
        <v>0</v>
      </c>
      <c r="AI146" s="115">
        <f t="shared" si="24"/>
        <v>35000</v>
      </c>
      <c r="AJ146" s="115">
        <f t="shared" si="25"/>
        <v>0</v>
      </c>
      <c r="AL146" s="11" t="e">
        <f t="shared" si="26"/>
        <v>#REF!</v>
      </c>
      <c r="AM146" s="120" t="s">
        <v>223</v>
      </c>
    </row>
    <row r="147" spans="1:39">
      <c r="A147" s="129"/>
      <c r="B147" s="129" t="s">
        <v>49</v>
      </c>
      <c r="C147" s="96" t="s">
        <v>224</v>
      </c>
      <c r="D147" s="120" t="s">
        <v>225</v>
      </c>
      <c r="E147" s="98"/>
      <c r="F147" s="99" t="e">
        <f>VLOOKUP(D147,#REF!,19,FALSE)</f>
        <v>#REF!</v>
      </c>
      <c r="G147" s="100"/>
      <c r="H147" s="100"/>
      <c r="I147" s="101"/>
      <c r="J147" s="102" t="e">
        <f t="shared" si="15"/>
        <v>#REF!</v>
      </c>
      <c r="K147" s="103"/>
      <c r="L147" s="104"/>
      <c r="M147" s="105">
        <v>315000</v>
      </c>
      <c r="N147" s="103">
        <v>0</v>
      </c>
      <c r="O147" s="106"/>
      <c r="P147" s="103">
        <v>0</v>
      </c>
      <c r="Q147" s="107">
        <f t="shared" si="1"/>
        <v>315000</v>
      </c>
      <c r="R147" s="107"/>
      <c r="S147" s="107"/>
      <c r="T147" s="108">
        <f>SUM(343988.52-T148)</f>
        <v>326892.43</v>
      </c>
      <c r="U147" s="119"/>
      <c r="V147" s="110">
        <f t="shared" si="27"/>
        <v>11892.429999999993</v>
      </c>
      <c r="W147" s="103"/>
      <c r="X147" s="112">
        <f t="shared" si="19"/>
        <v>315000</v>
      </c>
      <c r="Y147" s="112">
        <f t="shared" si="20"/>
        <v>0</v>
      </c>
      <c r="Z147" s="113">
        <f t="shared" si="21"/>
        <v>0</v>
      </c>
      <c r="AA147" s="113">
        <v>0</v>
      </c>
      <c r="AB147" s="114">
        <v>0</v>
      </c>
      <c r="AC147" s="11">
        <f t="shared" si="22"/>
        <v>0</v>
      </c>
      <c r="AD147" s="115" t="e">
        <f t="shared" si="16"/>
        <v>#REF!</v>
      </c>
      <c r="AE147" s="115">
        <f t="shared" si="17"/>
        <v>0</v>
      </c>
      <c r="AF147" s="115">
        <f t="shared" si="18"/>
        <v>0</v>
      </c>
      <c r="AG147" s="11"/>
      <c r="AH147" s="115">
        <f t="shared" si="23"/>
        <v>315000</v>
      </c>
      <c r="AI147" s="115">
        <f t="shared" si="24"/>
        <v>0</v>
      </c>
      <c r="AJ147" s="115">
        <f t="shared" si="25"/>
        <v>0</v>
      </c>
      <c r="AL147" s="11" t="e">
        <f t="shared" si="26"/>
        <v>#REF!</v>
      </c>
      <c r="AM147" s="120" t="s">
        <v>225</v>
      </c>
    </row>
    <row r="148" spans="1:39" s="141" customFormat="1">
      <c r="A148" s="129"/>
      <c r="B148" s="129" t="s">
        <v>49</v>
      </c>
      <c r="C148" s="96" t="s">
        <v>224</v>
      </c>
      <c r="D148" s="120" t="s">
        <v>226</v>
      </c>
      <c r="E148" s="98"/>
      <c r="F148" s="99" t="e">
        <f>VLOOKUP(D148,#REF!,19,FALSE)</f>
        <v>#REF!</v>
      </c>
      <c r="G148" s="100"/>
      <c r="H148" s="100"/>
      <c r="I148" s="101"/>
      <c r="J148" s="102" t="e">
        <f t="shared" si="15"/>
        <v>#REF!</v>
      </c>
      <c r="K148" s="103"/>
      <c r="L148" s="104"/>
      <c r="M148" s="105">
        <v>15000</v>
      </c>
      <c r="N148" s="103">
        <v>0</v>
      </c>
      <c r="O148" s="106"/>
      <c r="P148" s="103">
        <v>0</v>
      </c>
      <c r="Q148" s="107">
        <f t="shared" si="1"/>
        <v>15000</v>
      </c>
      <c r="R148" s="107"/>
      <c r="S148" s="107"/>
      <c r="T148" s="108">
        <v>17096.09</v>
      </c>
      <c r="U148" s="119"/>
      <c r="V148" s="110">
        <f t="shared" si="27"/>
        <v>2096.09</v>
      </c>
      <c r="W148" s="103"/>
      <c r="X148" s="112">
        <f t="shared" si="19"/>
        <v>15000</v>
      </c>
      <c r="Y148" s="112">
        <f t="shared" si="20"/>
        <v>0</v>
      </c>
      <c r="Z148" s="113">
        <f t="shared" si="21"/>
        <v>0</v>
      </c>
      <c r="AA148" s="113">
        <v>0</v>
      </c>
      <c r="AB148" s="114">
        <v>0</v>
      </c>
      <c r="AC148" s="11">
        <f t="shared" si="22"/>
        <v>0</v>
      </c>
      <c r="AD148" s="115" t="e">
        <f t="shared" si="16"/>
        <v>#REF!</v>
      </c>
      <c r="AE148" s="115">
        <f t="shared" si="17"/>
        <v>0</v>
      </c>
      <c r="AF148" s="115">
        <f t="shared" si="18"/>
        <v>0</v>
      </c>
      <c r="AG148" s="11"/>
      <c r="AH148" s="115">
        <f t="shared" si="23"/>
        <v>15000</v>
      </c>
      <c r="AI148" s="115">
        <f t="shared" si="24"/>
        <v>0</v>
      </c>
      <c r="AJ148" s="115">
        <f t="shared" si="25"/>
        <v>0</v>
      </c>
      <c r="AL148" s="11" t="e">
        <f t="shared" si="26"/>
        <v>#REF!</v>
      </c>
      <c r="AM148" s="120" t="s">
        <v>226</v>
      </c>
    </row>
    <row r="149" spans="1:39" s="141" customFormat="1">
      <c r="A149" s="129"/>
      <c r="B149" s="129" t="s">
        <v>81</v>
      </c>
      <c r="C149" s="128" t="s">
        <v>227</v>
      </c>
      <c r="D149" s="120" t="s">
        <v>228</v>
      </c>
      <c r="E149" s="98"/>
      <c r="F149" s="99" t="e">
        <f>VLOOKUP(D149,#REF!,19,FALSE)</f>
        <v>#REF!</v>
      </c>
      <c r="G149" s="100"/>
      <c r="H149" s="100"/>
      <c r="I149" s="101"/>
      <c r="J149" s="102" t="e">
        <f t="shared" si="15"/>
        <v>#REF!</v>
      </c>
      <c r="K149" s="103"/>
      <c r="L149" s="104"/>
      <c r="M149" s="105"/>
      <c r="N149" s="103">
        <v>0</v>
      </c>
      <c r="O149" s="106"/>
      <c r="P149" s="103">
        <v>0</v>
      </c>
      <c r="Q149" s="107">
        <f t="shared" ref="Q149:Q220" si="28">L149+M149</f>
        <v>0</v>
      </c>
      <c r="R149" s="107"/>
      <c r="S149" s="107"/>
      <c r="T149" s="108">
        <v>0</v>
      </c>
      <c r="U149" s="119"/>
      <c r="V149" s="110">
        <f t="shared" si="27"/>
        <v>0</v>
      </c>
      <c r="W149" s="103"/>
      <c r="X149" s="112">
        <f t="shared" si="19"/>
        <v>0</v>
      </c>
      <c r="Y149" s="112">
        <f t="shared" si="20"/>
        <v>0</v>
      </c>
      <c r="Z149" s="113">
        <f t="shared" si="21"/>
        <v>0</v>
      </c>
      <c r="AA149" s="113">
        <v>0</v>
      </c>
      <c r="AB149" s="114">
        <v>0</v>
      </c>
      <c r="AC149" s="11">
        <f t="shared" si="22"/>
        <v>0</v>
      </c>
      <c r="AD149" s="115">
        <f t="shared" si="16"/>
        <v>0</v>
      </c>
      <c r="AE149" s="115">
        <f t="shared" si="17"/>
        <v>0</v>
      </c>
      <c r="AF149" s="115" t="e">
        <f t="shared" si="18"/>
        <v>#REF!</v>
      </c>
      <c r="AG149" s="11"/>
      <c r="AH149" s="115">
        <f t="shared" si="23"/>
        <v>0</v>
      </c>
      <c r="AI149" s="115">
        <f t="shared" si="24"/>
        <v>0</v>
      </c>
      <c r="AJ149" s="115">
        <f t="shared" si="25"/>
        <v>0</v>
      </c>
      <c r="AL149" s="11" t="e">
        <f t="shared" si="26"/>
        <v>#REF!</v>
      </c>
      <c r="AM149" s="120" t="s">
        <v>228</v>
      </c>
    </row>
    <row r="150" spans="1:39">
      <c r="A150" s="129"/>
      <c r="B150" s="129" t="s">
        <v>46</v>
      </c>
      <c r="C150" s="96"/>
      <c r="D150" s="120" t="s">
        <v>229</v>
      </c>
      <c r="E150" s="98"/>
      <c r="F150" s="99" t="e">
        <f>VLOOKUP(D150,#REF!,19,FALSE)</f>
        <v>#REF!</v>
      </c>
      <c r="G150" s="100"/>
      <c r="H150" s="100"/>
      <c r="I150" s="101"/>
      <c r="J150" s="102" t="e">
        <f t="shared" si="15"/>
        <v>#REF!</v>
      </c>
      <c r="K150" s="103"/>
      <c r="L150" s="104"/>
      <c r="M150" s="105"/>
      <c r="N150" s="103">
        <v>0</v>
      </c>
      <c r="O150" s="106"/>
      <c r="P150" s="103">
        <v>0</v>
      </c>
      <c r="Q150" s="107">
        <f t="shared" si="28"/>
        <v>0</v>
      </c>
      <c r="R150" s="107"/>
      <c r="S150" s="107"/>
      <c r="T150" s="108">
        <v>0</v>
      </c>
      <c r="U150" s="119"/>
      <c r="V150" s="110">
        <f t="shared" si="27"/>
        <v>0</v>
      </c>
      <c r="W150" s="103"/>
      <c r="X150" s="112">
        <f t="shared" si="19"/>
        <v>0</v>
      </c>
      <c r="Y150" s="112">
        <f t="shared" si="20"/>
        <v>0</v>
      </c>
      <c r="Z150" s="113">
        <f t="shared" si="21"/>
        <v>0</v>
      </c>
      <c r="AA150" s="113">
        <v>0</v>
      </c>
      <c r="AB150" s="114">
        <v>0</v>
      </c>
      <c r="AC150" s="11">
        <f t="shared" si="22"/>
        <v>0</v>
      </c>
      <c r="AD150" s="115">
        <f t="shared" si="16"/>
        <v>0</v>
      </c>
      <c r="AE150" s="115" t="e">
        <f t="shared" si="17"/>
        <v>#REF!</v>
      </c>
      <c r="AF150" s="115">
        <f t="shared" si="18"/>
        <v>0</v>
      </c>
      <c r="AG150" s="11"/>
      <c r="AH150" s="115">
        <f t="shared" si="23"/>
        <v>0</v>
      </c>
      <c r="AI150" s="115">
        <f t="shared" si="24"/>
        <v>0</v>
      </c>
      <c r="AJ150" s="115">
        <f t="shared" si="25"/>
        <v>0</v>
      </c>
      <c r="AL150" s="11" t="e">
        <f t="shared" si="26"/>
        <v>#REF!</v>
      </c>
      <c r="AM150" s="120" t="s">
        <v>229</v>
      </c>
    </row>
    <row r="151" spans="1:39">
      <c r="A151" s="116"/>
      <c r="B151" s="116" t="s">
        <v>46</v>
      </c>
      <c r="C151" s="122" t="s">
        <v>230</v>
      </c>
      <c r="D151" s="120" t="s">
        <v>231</v>
      </c>
      <c r="E151" s="98"/>
      <c r="F151" s="99" t="e">
        <f>VLOOKUP(D151,#REF!,19,FALSE)</f>
        <v>#REF!</v>
      </c>
      <c r="G151" s="100"/>
      <c r="H151" s="100"/>
      <c r="I151" s="101"/>
      <c r="J151" s="102" t="e">
        <f t="shared" si="15"/>
        <v>#REF!</v>
      </c>
      <c r="K151" s="103"/>
      <c r="L151" s="104"/>
      <c r="M151" s="105"/>
      <c r="N151" s="103">
        <v>0</v>
      </c>
      <c r="O151" s="106"/>
      <c r="P151" s="103">
        <v>0</v>
      </c>
      <c r="Q151" s="107">
        <f t="shared" si="28"/>
        <v>0</v>
      </c>
      <c r="R151" s="107"/>
      <c r="S151" s="107"/>
      <c r="T151" s="108">
        <f>1.56+12.42</f>
        <v>13.98</v>
      </c>
      <c r="U151" s="119"/>
      <c r="V151" s="110">
        <f t="shared" si="27"/>
        <v>13.98</v>
      </c>
      <c r="W151" s="103"/>
      <c r="X151" s="112">
        <f t="shared" si="19"/>
        <v>0</v>
      </c>
      <c r="Y151" s="112">
        <f t="shared" si="20"/>
        <v>0</v>
      </c>
      <c r="Z151" s="113">
        <f t="shared" si="21"/>
        <v>0</v>
      </c>
      <c r="AA151" s="113">
        <v>0</v>
      </c>
      <c r="AB151" s="114">
        <v>0</v>
      </c>
      <c r="AC151" s="11">
        <f t="shared" si="22"/>
        <v>0</v>
      </c>
      <c r="AD151" s="115">
        <f t="shared" si="16"/>
        <v>0</v>
      </c>
      <c r="AE151" s="115" t="e">
        <f t="shared" si="17"/>
        <v>#REF!</v>
      </c>
      <c r="AF151" s="115">
        <f t="shared" si="18"/>
        <v>0</v>
      </c>
      <c r="AG151" s="11"/>
      <c r="AH151" s="115">
        <f t="shared" si="23"/>
        <v>0</v>
      </c>
      <c r="AI151" s="115">
        <f t="shared" si="24"/>
        <v>0</v>
      </c>
      <c r="AJ151" s="115">
        <f t="shared" si="25"/>
        <v>0</v>
      </c>
      <c r="AL151" s="11" t="e">
        <f t="shared" si="26"/>
        <v>#REF!</v>
      </c>
      <c r="AM151" s="120" t="s">
        <v>231</v>
      </c>
    </row>
    <row r="152" spans="1:39">
      <c r="A152" s="129"/>
      <c r="B152" s="129" t="s">
        <v>49</v>
      </c>
      <c r="C152" s="96"/>
      <c r="D152" s="120" t="s">
        <v>232</v>
      </c>
      <c r="E152" s="98"/>
      <c r="F152" s="99" t="e">
        <f>VLOOKUP(D152,#REF!,19,FALSE)</f>
        <v>#REF!</v>
      </c>
      <c r="G152" s="100"/>
      <c r="H152" s="100"/>
      <c r="I152" s="101"/>
      <c r="J152" s="102" t="e">
        <f t="shared" si="15"/>
        <v>#REF!</v>
      </c>
      <c r="K152" s="103"/>
      <c r="L152" s="104"/>
      <c r="M152" s="105"/>
      <c r="N152" s="103">
        <v>0</v>
      </c>
      <c r="O152" s="106"/>
      <c r="P152" s="103">
        <v>0</v>
      </c>
      <c r="Q152" s="107">
        <f t="shared" si="28"/>
        <v>0</v>
      </c>
      <c r="R152" s="107"/>
      <c r="S152" s="107"/>
      <c r="T152" s="108">
        <v>0</v>
      </c>
      <c r="U152" s="119"/>
      <c r="V152" s="110">
        <f t="shared" si="27"/>
        <v>0</v>
      </c>
      <c r="W152" s="103"/>
      <c r="X152" s="112">
        <f t="shared" si="19"/>
        <v>0</v>
      </c>
      <c r="Y152" s="112">
        <f t="shared" si="20"/>
        <v>0</v>
      </c>
      <c r="Z152" s="113">
        <f t="shared" si="21"/>
        <v>0</v>
      </c>
      <c r="AA152" s="113">
        <v>0</v>
      </c>
      <c r="AB152" s="114">
        <v>0</v>
      </c>
      <c r="AC152" s="11">
        <f t="shared" si="22"/>
        <v>0</v>
      </c>
      <c r="AD152" s="115" t="e">
        <f t="shared" si="16"/>
        <v>#REF!</v>
      </c>
      <c r="AE152" s="115">
        <f t="shared" si="17"/>
        <v>0</v>
      </c>
      <c r="AF152" s="115">
        <f t="shared" si="18"/>
        <v>0</v>
      </c>
      <c r="AG152" s="11"/>
      <c r="AH152" s="115">
        <f t="shared" si="23"/>
        <v>0</v>
      </c>
      <c r="AI152" s="115">
        <f t="shared" si="24"/>
        <v>0</v>
      </c>
      <c r="AJ152" s="115">
        <f t="shared" si="25"/>
        <v>0</v>
      </c>
      <c r="AL152" s="11" t="e">
        <f t="shared" si="26"/>
        <v>#REF!</v>
      </c>
      <c r="AM152" s="120" t="s">
        <v>232</v>
      </c>
    </row>
    <row r="153" spans="1:39">
      <c r="A153" s="129"/>
      <c r="B153" s="129" t="s">
        <v>81</v>
      </c>
      <c r="C153" s="96"/>
      <c r="D153" s="120" t="s">
        <v>233</v>
      </c>
      <c r="E153" s="98"/>
      <c r="F153" s="99" t="e">
        <f>VLOOKUP(D153,#REF!,19,FALSE)</f>
        <v>#REF!</v>
      </c>
      <c r="G153" s="100"/>
      <c r="H153" s="100"/>
      <c r="I153" s="101"/>
      <c r="J153" s="102" t="e">
        <f t="shared" si="15"/>
        <v>#REF!</v>
      </c>
      <c r="K153" s="103"/>
      <c r="L153" s="104"/>
      <c r="M153" s="105"/>
      <c r="N153" s="103">
        <v>0</v>
      </c>
      <c r="O153" s="106"/>
      <c r="P153" s="103">
        <v>0</v>
      </c>
      <c r="Q153" s="107">
        <f t="shared" si="28"/>
        <v>0</v>
      </c>
      <c r="R153" s="107"/>
      <c r="S153" s="107"/>
      <c r="T153" s="108">
        <v>2180.75</v>
      </c>
      <c r="U153" s="119"/>
      <c r="V153" s="110">
        <f t="shared" si="27"/>
        <v>2180.75</v>
      </c>
      <c r="W153" s="103"/>
      <c r="X153" s="112">
        <f t="shared" si="19"/>
        <v>0</v>
      </c>
      <c r="Y153" s="112">
        <f t="shared" si="20"/>
        <v>0</v>
      </c>
      <c r="Z153" s="113">
        <f t="shared" si="21"/>
        <v>0</v>
      </c>
      <c r="AA153" s="113">
        <v>0</v>
      </c>
      <c r="AB153" s="114">
        <v>0</v>
      </c>
      <c r="AC153" s="11">
        <f t="shared" si="22"/>
        <v>0</v>
      </c>
      <c r="AD153" s="115">
        <f t="shared" si="16"/>
        <v>0</v>
      </c>
      <c r="AE153" s="115">
        <f t="shared" si="17"/>
        <v>0</v>
      </c>
      <c r="AF153" s="115" t="e">
        <f t="shared" si="18"/>
        <v>#REF!</v>
      </c>
      <c r="AG153" s="11"/>
      <c r="AH153" s="115">
        <f t="shared" si="23"/>
        <v>0</v>
      </c>
      <c r="AI153" s="115">
        <f t="shared" si="24"/>
        <v>0</v>
      </c>
      <c r="AJ153" s="115">
        <f t="shared" si="25"/>
        <v>0</v>
      </c>
      <c r="AL153" s="11" t="e">
        <f t="shared" si="26"/>
        <v>#REF!</v>
      </c>
      <c r="AM153" s="120" t="s">
        <v>233</v>
      </c>
    </row>
    <row r="154" spans="1:39">
      <c r="A154" s="129"/>
      <c r="B154" s="129" t="s">
        <v>49</v>
      </c>
      <c r="C154" s="96"/>
      <c r="D154" s="120" t="s">
        <v>234</v>
      </c>
      <c r="E154" s="98"/>
      <c r="F154" s="99" t="e">
        <f>VLOOKUP(D154,#REF!,19,FALSE)</f>
        <v>#REF!</v>
      </c>
      <c r="G154" s="100"/>
      <c r="H154" s="100"/>
      <c r="I154" s="101"/>
      <c r="J154" s="102" t="e">
        <f t="shared" si="15"/>
        <v>#REF!</v>
      </c>
      <c r="K154" s="103"/>
      <c r="L154" s="104"/>
      <c r="M154" s="105"/>
      <c r="N154" s="103">
        <v>0</v>
      </c>
      <c r="O154" s="106"/>
      <c r="P154" s="103">
        <v>0</v>
      </c>
      <c r="Q154" s="107">
        <f t="shared" si="28"/>
        <v>0</v>
      </c>
      <c r="R154" s="107"/>
      <c r="S154" s="107"/>
      <c r="T154" s="108">
        <v>0</v>
      </c>
      <c r="U154" s="119"/>
      <c r="V154" s="110">
        <f t="shared" si="27"/>
        <v>0</v>
      </c>
      <c r="W154" s="103"/>
      <c r="X154" s="112">
        <f t="shared" si="19"/>
        <v>0</v>
      </c>
      <c r="Y154" s="112">
        <f t="shared" si="20"/>
        <v>0</v>
      </c>
      <c r="Z154" s="113">
        <f t="shared" si="21"/>
        <v>0</v>
      </c>
      <c r="AA154" s="113">
        <v>0</v>
      </c>
      <c r="AB154" s="114">
        <v>0</v>
      </c>
      <c r="AC154" s="11">
        <f t="shared" si="22"/>
        <v>0</v>
      </c>
      <c r="AD154" s="115" t="e">
        <f t="shared" si="16"/>
        <v>#REF!</v>
      </c>
      <c r="AE154" s="115">
        <f t="shared" si="17"/>
        <v>0</v>
      </c>
      <c r="AF154" s="115">
        <f t="shared" si="18"/>
        <v>0</v>
      </c>
      <c r="AG154" s="11"/>
      <c r="AH154" s="115">
        <f t="shared" si="23"/>
        <v>0</v>
      </c>
      <c r="AI154" s="115">
        <f t="shared" si="24"/>
        <v>0</v>
      </c>
      <c r="AJ154" s="115">
        <f t="shared" si="25"/>
        <v>0</v>
      </c>
      <c r="AL154" s="11" t="e">
        <f t="shared" si="26"/>
        <v>#REF!</v>
      </c>
      <c r="AM154" s="120" t="s">
        <v>234</v>
      </c>
    </row>
    <row r="155" spans="1:39">
      <c r="A155" s="129"/>
      <c r="B155" s="129" t="s">
        <v>49</v>
      </c>
      <c r="C155" s="96" t="s">
        <v>235</v>
      </c>
      <c r="D155" s="120" t="s">
        <v>236</v>
      </c>
      <c r="E155" s="98"/>
      <c r="F155" s="99" t="e">
        <f>VLOOKUP(D155,#REF!,19,FALSE)</f>
        <v>#REF!</v>
      </c>
      <c r="G155" s="100"/>
      <c r="H155" s="100"/>
      <c r="I155" s="101"/>
      <c r="J155" s="102" t="e">
        <f t="shared" si="15"/>
        <v>#REF!</v>
      </c>
      <c r="K155" s="103"/>
      <c r="L155" s="104"/>
      <c r="M155" s="105"/>
      <c r="N155" s="103">
        <v>0</v>
      </c>
      <c r="O155" s="106"/>
      <c r="P155" s="103">
        <v>0</v>
      </c>
      <c r="Q155" s="107">
        <f t="shared" si="28"/>
        <v>0</v>
      </c>
      <c r="R155" s="107"/>
      <c r="S155" s="107"/>
      <c r="T155" s="108">
        <v>0</v>
      </c>
      <c r="U155" s="119"/>
      <c r="V155" s="110">
        <f t="shared" si="27"/>
        <v>0</v>
      </c>
      <c r="W155" s="103"/>
      <c r="X155" s="112">
        <f t="shared" si="19"/>
        <v>0</v>
      </c>
      <c r="Y155" s="112">
        <f t="shared" si="20"/>
        <v>0</v>
      </c>
      <c r="Z155" s="113">
        <f t="shared" si="21"/>
        <v>0</v>
      </c>
      <c r="AA155" s="113">
        <v>0</v>
      </c>
      <c r="AB155" s="114">
        <v>0</v>
      </c>
      <c r="AC155" s="11">
        <f t="shared" si="22"/>
        <v>0</v>
      </c>
      <c r="AD155" s="115" t="e">
        <f t="shared" si="16"/>
        <v>#REF!</v>
      </c>
      <c r="AE155" s="115">
        <f t="shared" si="17"/>
        <v>0</v>
      </c>
      <c r="AF155" s="115">
        <f t="shared" si="18"/>
        <v>0</v>
      </c>
      <c r="AG155" s="11"/>
      <c r="AH155" s="115">
        <f t="shared" si="23"/>
        <v>0</v>
      </c>
      <c r="AI155" s="115">
        <f t="shared" si="24"/>
        <v>0</v>
      </c>
      <c r="AJ155" s="115">
        <f t="shared" si="25"/>
        <v>0</v>
      </c>
      <c r="AL155" s="11" t="e">
        <f t="shared" si="26"/>
        <v>#REF!</v>
      </c>
      <c r="AM155" s="120" t="s">
        <v>236</v>
      </c>
    </row>
    <row r="156" spans="1:39">
      <c r="A156" s="129"/>
      <c r="B156" s="129" t="s">
        <v>81</v>
      </c>
      <c r="C156" s="96" t="s">
        <v>235</v>
      </c>
      <c r="D156" s="120" t="s">
        <v>237</v>
      </c>
      <c r="E156" s="98"/>
      <c r="F156" s="99" t="e">
        <f>VLOOKUP(D156,#REF!,19,FALSE)</f>
        <v>#REF!</v>
      </c>
      <c r="G156" s="100"/>
      <c r="H156" s="100"/>
      <c r="I156" s="101"/>
      <c r="J156" s="102" t="e">
        <f t="shared" ref="J156:J224" si="29">SUM(E156:I156)</f>
        <v>#REF!</v>
      </c>
      <c r="K156" s="103"/>
      <c r="L156" s="104"/>
      <c r="M156" s="105"/>
      <c r="N156" s="103">
        <v>0</v>
      </c>
      <c r="O156" s="106"/>
      <c r="P156" s="103">
        <v>0</v>
      </c>
      <c r="Q156" s="107">
        <f t="shared" si="28"/>
        <v>0</v>
      </c>
      <c r="R156" s="107"/>
      <c r="S156" s="107"/>
      <c r="T156" s="108">
        <v>0</v>
      </c>
      <c r="U156" s="119"/>
      <c r="V156" s="110">
        <f t="shared" si="27"/>
        <v>0</v>
      </c>
      <c r="W156" s="103"/>
      <c r="X156" s="112">
        <f t="shared" si="19"/>
        <v>0</v>
      </c>
      <c r="Y156" s="112">
        <f t="shared" si="20"/>
        <v>0</v>
      </c>
      <c r="Z156" s="113">
        <f t="shared" si="21"/>
        <v>0</v>
      </c>
      <c r="AA156" s="113">
        <v>0</v>
      </c>
      <c r="AB156" s="114">
        <v>0</v>
      </c>
      <c r="AC156" s="11">
        <f t="shared" si="22"/>
        <v>0</v>
      </c>
      <c r="AD156" s="115">
        <f t="shared" ref="AD156:AD224" si="30">IF(B156="D",J156,0)</f>
        <v>0</v>
      </c>
      <c r="AE156" s="115">
        <f t="shared" ref="AE156:AE224" si="31">IF(B156="M",J156,0)</f>
        <v>0</v>
      </c>
      <c r="AF156" s="115" t="e">
        <f t="shared" ref="AF156:AF224" si="32">IF(B156="V",J156,0)</f>
        <v>#REF!</v>
      </c>
      <c r="AG156" s="11"/>
      <c r="AH156" s="115">
        <f t="shared" si="23"/>
        <v>0</v>
      </c>
      <c r="AI156" s="115">
        <f t="shared" si="24"/>
        <v>0</v>
      </c>
      <c r="AJ156" s="115">
        <f t="shared" si="25"/>
        <v>0</v>
      </c>
      <c r="AL156" s="11" t="e">
        <f t="shared" ref="AL156:AL224" si="33">SUM(AD156:AJ156)</f>
        <v>#REF!</v>
      </c>
      <c r="AM156" s="120" t="s">
        <v>237</v>
      </c>
    </row>
    <row r="157" spans="1:39">
      <c r="A157" s="129"/>
      <c r="B157" s="129" t="s">
        <v>46</v>
      </c>
      <c r="C157" s="96" t="s">
        <v>238</v>
      </c>
      <c r="D157" s="120" t="s">
        <v>239</v>
      </c>
      <c r="E157" s="98"/>
      <c r="F157" s="99" t="e">
        <f>VLOOKUP(D157,#REF!,19,FALSE)</f>
        <v>#REF!</v>
      </c>
      <c r="G157" s="100"/>
      <c r="H157" s="100"/>
      <c r="I157" s="101"/>
      <c r="J157" s="102" t="e">
        <f t="shared" si="29"/>
        <v>#REF!</v>
      </c>
      <c r="K157" s="103"/>
      <c r="L157" s="104"/>
      <c r="M157" s="105"/>
      <c r="N157" s="103">
        <v>0</v>
      </c>
      <c r="O157" s="106"/>
      <c r="P157" s="103">
        <v>0</v>
      </c>
      <c r="Q157" s="107">
        <f t="shared" si="28"/>
        <v>0</v>
      </c>
      <c r="R157" s="107"/>
      <c r="S157" s="107"/>
      <c r="T157" s="108">
        <v>0</v>
      </c>
      <c r="U157" s="119"/>
      <c r="V157" s="110">
        <f t="shared" si="27"/>
        <v>0</v>
      </c>
      <c r="W157" s="103"/>
      <c r="X157" s="112">
        <f t="shared" si="19"/>
        <v>0</v>
      </c>
      <c r="Y157" s="112">
        <f t="shared" si="20"/>
        <v>0</v>
      </c>
      <c r="Z157" s="113">
        <f t="shared" si="21"/>
        <v>0</v>
      </c>
      <c r="AA157" s="113">
        <v>0</v>
      </c>
      <c r="AB157" s="114">
        <v>0</v>
      </c>
      <c r="AC157" s="11">
        <f t="shared" si="22"/>
        <v>0</v>
      </c>
      <c r="AD157" s="115">
        <f t="shared" si="30"/>
        <v>0</v>
      </c>
      <c r="AE157" s="115" t="e">
        <f t="shared" si="31"/>
        <v>#REF!</v>
      </c>
      <c r="AF157" s="115">
        <f t="shared" si="32"/>
        <v>0</v>
      </c>
      <c r="AG157" s="11"/>
      <c r="AH157" s="115">
        <f t="shared" ref="AH157:AH225" si="34">IF(B157="D",Q157,0)</f>
        <v>0</v>
      </c>
      <c r="AI157" s="115">
        <f t="shared" ref="AI157:AI225" si="35">IF(B157="M",Q157,0)</f>
        <v>0</v>
      </c>
      <c r="AJ157" s="115">
        <f t="shared" ref="AJ157:AJ225" si="36">IF(B157="V",Q157,0)</f>
        <v>0</v>
      </c>
      <c r="AL157" s="11" t="e">
        <f t="shared" si="33"/>
        <v>#REF!</v>
      </c>
      <c r="AM157" s="120" t="s">
        <v>239</v>
      </c>
    </row>
    <row r="158" spans="1:39">
      <c r="A158" s="129"/>
      <c r="B158" s="129" t="s">
        <v>46</v>
      </c>
      <c r="C158" s="96" t="s">
        <v>240</v>
      </c>
      <c r="D158" s="120" t="s">
        <v>241</v>
      </c>
      <c r="E158" s="98"/>
      <c r="F158" s="99" t="e">
        <f>VLOOKUP(D158,#REF!,19,FALSE)</f>
        <v>#REF!</v>
      </c>
      <c r="G158" s="100"/>
      <c r="H158" s="100"/>
      <c r="I158" s="101"/>
      <c r="J158" s="102" t="e">
        <f t="shared" si="29"/>
        <v>#REF!</v>
      </c>
      <c r="K158" s="103"/>
      <c r="L158" s="104"/>
      <c r="M158" s="105"/>
      <c r="N158" s="103">
        <v>0</v>
      </c>
      <c r="O158" s="106"/>
      <c r="P158" s="103">
        <v>0</v>
      </c>
      <c r="Q158" s="107">
        <f t="shared" si="28"/>
        <v>0</v>
      </c>
      <c r="R158" s="107"/>
      <c r="S158" s="107"/>
      <c r="T158" s="108">
        <v>85.76</v>
      </c>
      <c r="U158" s="119"/>
      <c r="V158" s="110">
        <f t="shared" si="27"/>
        <v>85.76</v>
      </c>
      <c r="W158" s="103"/>
      <c r="X158" s="112">
        <f t="shared" ref="X158:X226" si="37">IF(B158="D",Q158,0)</f>
        <v>0</v>
      </c>
      <c r="Y158" s="112">
        <f t="shared" ref="Y158:Y226" si="38">IF(B158="M",Q158,0)</f>
        <v>0</v>
      </c>
      <c r="Z158" s="113">
        <f t="shared" ref="Z158:Z226" si="39">IF(B158="V",Q158,0)</f>
        <v>0</v>
      </c>
      <c r="AA158" s="113">
        <v>0</v>
      </c>
      <c r="AB158" s="114">
        <v>0</v>
      </c>
      <c r="AC158" s="11">
        <f t="shared" ref="AC158:AC226" si="40">(L158+M158)-(X158+Y158+Z158+AA158+AB158)</f>
        <v>0</v>
      </c>
      <c r="AD158" s="115">
        <f t="shared" si="30"/>
        <v>0</v>
      </c>
      <c r="AE158" s="115" t="e">
        <f t="shared" si="31"/>
        <v>#REF!</v>
      </c>
      <c r="AF158" s="115">
        <f t="shared" si="32"/>
        <v>0</v>
      </c>
      <c r="AG158" s="11"/>
      <c r="AH158" s="115">
        <f t="shared" si="34"/>
        <v>0</v>
      </c>
      <c r="AI158" s="115">
        <f t="shared" si="35"/>
        <v>0</v>
      </c>
      <c r="AJ158" s="115">
        <f t="shared" si="36"/>
        <v>0</v>
      </c>
      <c r="AL158" s="11" t="e">
        <f t="shared" si="33"/>
        <v>#REF!</v>
      </c>
      <c r="AM158" s="120" t="s">
        <v>241</v>
      </c>
    </row>
    <row r="159" spans="1:39" s="124" customFormat="1">
      <c r="A159" s="123"/>
      <c r="B159" s="123" t="s">
        <v>81</v>
      </c>
      <c r="C159" s="122"/>
      <c r="D159" s="142" t="s">
        <v>242</v>
      </c>
      <c r="E159" s="98"/>
      <c r="F159" s="99" t="e">
        <f>VLOOKUP(D159,#REF!,19,FALSE)</f>
        <v>#REF!</v>
      </c>
      <c r="G159" s="100"/>
      <c r="H159" s="100"/>
      <c r="I159" s="125">
        <v>17400</v>
      </c>
      <c r="J159" s="102" t="e">
        <f t="shared" si="29"/>
        <v>#REF!</v>
      </c>
      <c r="K159" s="103"/>
      <c r="L159" s="104"/>
      <c r="M159" s="105"/>
      <c r="N159" s="103">
        <v>0</v>
      </c>
      <c r="O159" s="106"/>
      <c r="P159" s="103">
        <v>0</v>
      </c>
      <c r="Q159" s="107">
        <f t="shared" si="28"/>
        <v>0</v>
      </c>
      <c r="R159" s="107"/>
      <c r="S159" s="107"/>
      <c r="T159" s="108">
        <v>0</v>
      </c>
      <c r="U159" s="119"/>
      <c r="V159" s="110">
        <f t="shared" si="27"/>
        <v>0</v>
      </c>
      <c r="W159" s="103"/>
      <c r="X159" s="112">
        <f t="shared" si="37"/>
        <v>0</v>
      </c>
      <c r="Y159" s="112">
        <f t="shared" si="38"/>
        <v>0</v>
      </c>
      <c r="Z159" s="113">
        <f t="shared" si="39"/>
        <v>0</v>
      </c>
      <c r="AA159" s="113">
        <v>0</v>
      </c>
      <c r="AB159" s="114">
        <v>0</v>
      </c>
      <c r="AC159" s="11">
        <f t="shared" si="40"/>
        <v>0</v>
      </c>
      <c r="AD159" s="115">
        <f t="shared" si="30"/>
        <v>0</v>
      </c>
      <c r="AE159" s="115">
        <f t="shared" si="31"/>
        <v>0</v>
      </c>
      <c r="AF159" s="115" t="e">
        <f t="shared" si="32"/>
        <v>#REF!</v>
      </c>
      <c r="AG159" s="11"/>
      <c r="AH159" s="115">
        <f t="shared" si="34"/>
        <v>0</v>
      </c>
      <c r="AI159" s="115">
        <f t="shared" si="35"/>
        <v>0</v>
      </c>
      <c r="AJ159" s="115">
        <f t="shared" si="36"/>
        <v>0</v>
      </c>
      <c r="AL159" s="11" t="e">
        <f t="shared" si="33"/>
        <v>#REF!</v>
      </c>
      <c r="AM159" s="142" t="s">
        <v>242</v>
      </c>
    </row>
    <row r="160" spans="1:39" s="124" customFormat="1">
      <c r="A160" s="123"/>
      <c r="B160" s="123" t="s">
        <v>49</v>
      </c>
      <c r="C160" s="122"/>
      <c r="D160" s="142" t="s">
        <v>243</v>
      </c>
      <c r="E160" s="98"/>
      <c r="F160" s="99" t="e">
        <f>VLOOKUP(D160,#REF!,19,FALSE)</f>
        <v>#REF!</v>
      </c>
      <c r="G160" s="100"/>
      <c r="H160" s="100"/>
      <c r="I160" s="101"/>
      <c r="J160" s="102" t="e">
        <f t="shared" si="29"/>
        <v>#REF!</v>
      </c>
      <c r="K160" s="103"/>
      <c r="L160" s="104"/>
      <c r="M160" s="105">
        <v>30000</v>
      </c>
      <c r="N160" s="103">
        <v>0</v>
      </c>
      <c r="O160" s="106"/>
      <c r="P160" s="103">
        <v>0</v>
      </c>
      <c r="Q160" s="107">
        <f t="shared" si="28"/>
        <v>30000</v>
      </c>
      <c r="R160" s="107"/>
      <c r="S160" s="107"/>
      <c r="T160" s="108">
        <v>36633.1</v>
      </c>
      <c r="U160" s="119"/>
      <c r="V160" s="110">
        <f t="shared" si="27"/>
        <v>6633.0999999999985</v>
      </c>
      <c r="W160" s="103"/>
      <c r="X160" s="112">
        <f t="shared" si="37"/>
        <v>30000</v>
      </c>
      <c r="Y160" s="112">
        <f t="shared" si="38"/>
        <v>0</v>
      </c>
      <c r="Z160" s="113">
        <f t="shared" si="39"/>
        <v>0</v>
      </c>
      <c r="AA160" s="113">
        <v>0</v>
      </c>
      <c r="AB160" s="114">
        <v>0</v>
      </c>
      <c r="AC160" s="11">
        <f t="shared" si="40"/>
        <v>0</v>
      </c>
      <c r="AD160" s="115" t="e">
        <f t="shared" si="30"/>
        <v>#REF!</v>
      </c>
      <c r="AE160" s="115">
        <f t="shared" si="31"/>
        <v>0</v>
      </c>
      <c r="AF160" s="115">
        <f t="shared" si="32"/>
        <v>0</v>
      </c>
      <c r="AG160" s="11"/>
      <c r="AH160" s="115">
        <f t="shared" si="34"/>
        <v>30000</v>
      </c>
      <c r="AI160" s="115">
        <f t="shared" si="35"/>
        <v>0</v>
      </c>
      <c r="AJ160" s="115">
        <f t="shared" si="36"/>
        <v>0</v>
      </c>
      <c r="AL160" s="11" t="e">
        <f t="shared" si="33"/>
        <v>#REF!</v>
      </c>
      <c r="AM160" s="142" t="s">
        <v>244</v>
      </c>
    </row>
    <row r="161" spans="1:39" s="124" customFormat="1">
      <c r="A161" s="123"/>
      <c r="B161" s="123" t="s">
        <v>46</v>
      </c>
      <c r="C161" s="122" t="s">
        <v>245</v>
      </c>
      <c r="D161" s="142" t="s">
        <v>246</v>
      </c>
      <c r="E161" s="98"/>
      <c r="F161" s="99" t="e">
        <f>VLOOKUP(D161,#REF!,19,FALSE)</f>
        <v>#REF!</v>
      </c>
      <c r="G161" s="100"/>
      <c r="H161" s="100"/>
      <c r="I161" s="125">
        <v>11487.73</v>
      </c>
      <c r="J161" s="102" t="e">
        <f t="shared" si="29"/>
        <v>#REF!</v>
      </c>
      <c r="K161" s="103"/>
      <c r="L161" s="104"/>
      <c r="M161" s="105"/>
      <c r="N161" s="103">
        <v>0</v>
      </c>
      <c r="O161" s="106"/>
      <c r="P161" s="103">
        <v>0</v>
      </c>
      <c r="Q161" s="107">
        <f t="shared" si="28"/>
        <v>0</v>
      </c>
      <c r="R161" s="107"/>
      <c r="S161" s="107"/>
      <c r="T161" s="108">
        <v>0</v>
      </c>
      <c r="U161" s="119"/>
      <c r="V161" s="110">
        <f t="shared" si="27"/>
        <v>0</v>
      </c>
      <c r="W161" s="103"/>
      <c r="X161" s="112">
        <f t="shared" si="37"/>
        <v>0</v>
      </c>
      <c r="Y161" s="112">
        <f t="shared" si="38"/>
        <v>0</v>
      </c>
      <c r="Z161" s="113">
        <f t="shared" si="39"/>
        <v>0</v>
      </c>
      <c r="AA161" s="113">
        <v>0</v>
      </c>
      <c r="AB161" s="114">
        <v>0</v>
      </c>
      <c r="AC161" s="11">
        <f t="shared" si="40"/>
        <v>0</v>
      </c>
      <c r="AD161" s="115">
        <f t="shared" si="30"/>
        <v>0</v>
      </c>
      <c r="AE161" s="115" t="e">
        <f t="shared" si="31"/>
        <v>#REF!</v>
      </c>
      <c r="AF161" s="115">
        <f t="shared" si="32"/>
        <v>0</v>
      </c>
      <c r="AG161" s="11"/>
      <c r="AH161" s="115">
        <f t="shared" si="34"/>
        <v>0</v>
      </c>
      <c r="AI161" s="115">
        <f t="shared" si="35"/>
        <v>0</v>
      </c>
      <c r="AJ161" s="115">
        <f t="shared" si="36"/>
        <v>0</v>
      </c>
      <c r="AL161" s="11" t="e">
        <f t="shared" si="33"/>
        <v>#REF!</v>
      </c>
      <c r="AM161" s="142" t="s">
        <v>246</v>
      </c>
    </row>
    <row r="162" spans="1:39" s="124" customFormat="1">
      <c r="A162" s="127"/>
      <c r="B162" s="127" t="s">
        <v>46</v>
      </c>
      <c r="C162" s="96" t="s">
        <v>210</v>
      </c>
      <c r="D162" s="143" t="s">
        <v>247</v>
      </c>
      <c r="E162" s="98"/>
      <c r="F162" s="99" t="e">
        <f>VLOOKUP(D162,#REF!,19,FALSE)</f>
        <v>#REF!</v>
      </c>
      <c r="G162" s="100"/>
      <c r="H162" s="100"/>
      <c r="I162" s="101"/>
      <c r="J162" s="102" t="e">
        <f t="shared" si="29"/>
        <v>#REF!</v>
      </c>
      <c r="K162" s="103"/>
      <c r="L162" s="104"/>
      <c r="M162" s="105">
        <v>90000</v>
      </c>
      <c r="N162" s="103">
        <v>0</v>
      </c>
      <c r="O162" s="106"/>
      <c r="P162" s="103">
        <v>0</v>
      </c>
      <c r="Q162" s="107">
        <f t="shared" si="28"/>
        <v>90000</v>
      </c>
      <c r="R162" s="107"/>
      <c r="S162" s="107"/>
      <c r="T162" s="108">
        <v>37604.9</v>
      </c>
      <c r="U162" s="119"/>
      <c r="V162" s="110">
        <f t="shared" si="27"/>
        <v>-52395.1</v>
      </c>
      <c r="W162" s="103"/>
      <c r="X162" s="112">
        <f t="shared" si="37"/>
        <v>0</v>
      </c>
      <c r="Y162" s="112">
        <f t="shared" si="38"/>
        <v>90000</v>
      </c>
      <c r="Z162" s="113">
        <f t="shared" si="39"/>
        <v>0</v>
      </c>
      <c r="AA162" s="113">
        <v>0</v>
      </c>
      <c r="AB162" s="114">
        <v>0</v>
      </c>
      <c r="AC162" s="11">
        <f t="shared" si="40"/>
        <v>0</v>
      </c>
      <c r="AD162" s="115">
        <f t="shared" si="30"/>
        <v>0</v>
      </c>
      <c r="AE162" s="115" t="e">
        <f t="shared" si="31"/>
        <v>#REF!</v>
      </c>
      <c r="AF162" s="115">
        <f t="shared" si="32"/>
        <v>0</v>
      </c>
      <c r="AG162" s="11"/>
      <c r="AH162" s="115">
        <f t="shared" si="34"/>
        <v>0</v>
      </c>
      <c r="AI162" s="115">
        <f t="shared" si="35"/>
        <v>90000</v>
      </c>
      <c r="AJ162" s="115">
        <f t="shared" si="36"/>
        <v>0</v>
      </c>
      <c r="AL162" s="11" t="e">
        <f t="shared" si="33"/>
        <v>#REF!</v>
      </c>
      <c r="AM162" s="143" t="s">
        <v>247</v>
      </c>
    </row>
    <row r="163" spans="1:39" s="124" customFormat="1">
      <c r="A163" s="127"/>
      <c r="B163" s="127" t="s">
        <v>49</v>
      </c>
      <c r="C163" s="96" t="s">
        <v>210</v>
      </c>
      <c r="D163" s="118" t="s">
        <v>248</v>
      </c>
      <c r="E163" s="98"/>
      <c r="F163" s="99" t="e">
        <f>VLOOKUP(D163,#REF!,19,FALSE)</f>
        <v>#REF!</v>
      </c>
      <c r="G163" s="100"/>
      <c r="H163" s="100"/>
      <c r="I163" s="101"/>
      <c r="J163" s="102" t="e">
        <f t="shared" si="29"/>
        <v>#REF!</v>
      </c>
      <c r="K163" s="103"/>
      <c r="L163" s="104"/>
      <c r="M163" s="105"/>
      <c r="N163" s="103">
        <v>0</v>
      </c>
      <c r="O163" s="106"/>
      <c r="P163" s="103">
        <v>0</v>
      </c>
      <c r="Q163" s="107">
        <f t="shared" si="28"/>
        <v>0</v>
      </c>
      <c r="R163" s="107"/>
      <c r="S163" s="107"/>
      <c r="T163" s="108">
        <v>0</v>
      </c>
      <c r="U163" s="119"/>
      <c r="V163" s="110">
        <f t="shared" si="27"/>
        <v>0</v>
      </c>
      <c r="W163" s="103"/>
      <c r="X163" s="112">
        <f t="shared" si="37"/>
        <v>0</v>
      </c>
      <c r="Y163" s="112">
        <f t="shared" si="38"/>
        <v>0</v>
      </c>
      <c r="Z163" s="113">
        <f t="shared" si="39"/>
        <v>0</v>
      </c>
      <c r="AA163" s="113">
        <v>0</v>
      </c>
      <c r="AB163" s="114">
        <v>0</v>
      </c>
      <c r="AC163" s="11">
        <f t="shared" si="40"/>
        <v>0</v>
      </c>
      <c r="AD163" s="115" t="e">
        <f t="shared" si="30"/>
        <v>#REF!</v>
      </c>
      <c r="AE163" s="115">
        <f t="shared" si="31"/>
        <v>0</v>
      </c>
      <c r="AF163" s="115">
        <f t="shared" si="32"/>
        <v>0</v>
      </c>
      <c r="AG163" s="11"/>
      <c r="AH163" s="115">
        <f t="shared" si="34"/>
        <v>0</v>
      </c>
      <c r="AI163" s="115">
        <f t="shared" si="35"/>
        <v>0</v>
      </c>
      <c r="AJ163" s="115">
        <f t="shared" si="36"/>
        <v>0</v>
      </c>
      <c r="AL163" s="11" t="e">
        <f t="shared" si="33"/>
        <v>#REF!</v>
      </c>
      <c r="AM163" s="118" t="s">
        <v>248</v>
      </c>
    </row>
    <row r="164" spans="1:39">
      <c r="A164" s="287" t="s">
        <v>249</v>
      </c>
      <c r="B164" s="129" t="s">
        <v>49</v>
      </c>
      <c r="C164" s="96"/>
      <c r="D164" s="120" t="s">
        <v>250</v>
      </c>
      <c r="E164" s="98"/>
      <c r="F164" s="99" t="e">
        <f>VLOOKUP(D164,#REF!,19,FALSE)</f>
        <v>#REF!</v>
      </c>
      <c r="G164" s="100"/>
      <c r="H164" s="100"/>
      <c r="I164" s="101"/>
      <c r="J164" s="102" t="e">
        <f t="shared" si="29"/>
        <v>#REF!</v>
      </c>
      <c r="K164" s="103"/>
      <c r="L164" s="104"/>
      <c r="M164" s="105">
        <v>30000</v>
      </c>
      <c r="N164" s="103">
        <v>0</v>
      </c>
      <c r="O164" s="106"/>
      <c r="P164" s="103">
        <v>0</v>
      </c>
      <c r="Q164" s="107">
        <f t="shared" si="28"/>
        <v>30000</v>
      </c>
      <c r="R164" s="107"/>
      <c r="S164" s="107"/>
      <c r="T164" s="108">
        <v>0</v>
      </c>
      <c r="U164" s="119"/>
      <c r="V164" s="110">
        <f t="shared" si="27"/>
        <v>-30000</v>
      </c>
      <c r="W164" s="103"/>
      <c r="X164" s="112">
        <f t="shared" si="37"/>
        <v>30000</v>
      </c>
      <c r="Y164" s="112">
        <f t="shared" si="38"/>
        <v>0</v>
      </c>
      <c r="Z164" s="113">
        <f t="shared" si="39"/>
        <v>0</v>
      </c>
      <c r="AA164" s="113">
        <v>0</v>
      </c>
      <c r="AB164" s="114">
        <v>0</v>
      </c>
      <c r="AC164" s="11">
        <f t="shared" si="40"/>
        <v>0</v>
      </c>
      <c r="AD164" s="115" t="e">
        <f t="shared" si="30"/>
        <v>#REF!</v>
      </c>
      <c r="AE164" s="115">
        <f t="shared" si="31"/>
        <v>0</v>
      </c>
      <c r="AF164" s="115">
        <f t="shared" si="32"/>
        <v>0</v>
      </c>
      <c r="AG164" s="11"/>
      <c r="AH164" s="115">
        <f t="shared" si="34"/>
        <v>30000</v>
      </c>
      <c r="AI164" s="115">
        <f t="shared" si="35"/>
        <v>0</v>
      </c>
      <c r="AJ164" s="115">
        <f t="shared" si="36"/>
        <v>0</v>
      </c>
      <c r="AL164" s="11" t="e">
        <f t="shared" si="33"/>
        <v>#REF!</v>
      </c>
      <c r="AM164" s="120" t="s">
        <v>250</v>
      </c>
    </row>
    <row r="165" spans="1:39" hidden="1">
      <c r="A165" s="129"/>
      <c r="B165" s="129" t="s">
        <v>46</v>
      </c>
      <c r="C165" s="96" t="s">
        <v>251</v>
      </c>
      <c r="D165" s="120" t="s">
        <v>252</v>
      </c>
      <c r="E165" s="98"/>
      <c r="F165" s="99" t="e">
        <f>VLOOKUP(D165,#REF!,19,FALSE)</f>
        <v>#REF!</v>
      </c>
      <c r="G165" s="100"/>
      <c r="H165" s="100"/>
      <c r="I165" s="101"/>
      <c r="J165" s="102" t="e">
        <f t="shared" si="29"/>
        <v>#REF!</v>
      </c>
      <c r="K165" s="103"/>
      <c r="L165" s="104"/>
      <c r="M165" s="105">
        <v>100000</v>
      </c>
      <c r="N165" s="103">
        <v>0</v>
      </c>
      <c r="O165" s="106"/>
      <c r="P165" s="103">
        <v>0</v>
      </c>
      <c r="Q165" s="107">
        <f t="shared" si="28"/>
        <v>100000</v>
      </c>
      <c r="R165" s="107"/>
      <c r="S165" s="107"/>
      <c r="T165" s="108">
        <v>0</v>
      </c>
      <c r="U165" s="119"/>
      <c r="V165" s="110">
        <f t="shared" si="27"/>
        <v>-100000</v>
      </c>
      <c r="W165" s="103"/>
      <c r="X165" s="112">
        <f t="shared" si="37"/>
        <v>0</v>
      </c>
      <c r="Y165" s="112">
        <f t="shared" si="38"/>
        <v>100000</v>
      </c>
      <c r="Z165" s="113">
        <f t="shared" si="39"/>
        <v>0</v>
      </c>
      <c r="AA165" s="113">
        <v>0</v>
      </c>
      <c r="AB165" s="114">
        <v>0</v>
      </c>
      <c r="AC165" s="11">
        <f t="shared" si="40"/>
        <v>0</v>
      </c>
      <c r="AD165" s="115">
        <f t="shared" si="30"/>
        <v>0</v>
      </c>
      <c r="AE165" s="115" t="e">
        <f t="shared" si="31"/>
        <v>#REF!</v>
      </c>
      <c r="AF165" s="115">
        <f t="shared" si="32"/>
        <v>0</v>
      </c>
      <c r="AG165" s="11"/>
      <c r="AH165" s="115">
        <f t="shared" si="34"/>
        <v>0</v>
      </c>
      <c r="AI165" s="115">
        <f t="shared" si="35"/>
        <v>100000</v>
      </c>
      <c r="AJ165" s="115">
        <f t="shared" si="36"/>
        <v>0</v>
      </c>
      <c r="AL165" s="11" t="e">
        <f t="shared" si="33"/>
        <v>#REF!</v>
      </c>
      <c r="AM165" s="120" t="s">
        <v>252</v>
      </c>
    </row>
    <row r="166" spans="1:39" hidden="1">
      <c r="A166" s="129"/>
      <c r="B166" s="129" t="s">
        <v>46</v>
      </c>
      <c r="C166" s="96" t="s">
        <v>251</v>
      </c>
      <c r="D166" s="120" t="s">
        <v>253</v>
      </c>
      <c r="E166" s="98"/>
      <c r="F166" s="99" t="e">
        <f>VLOOKUP(D166,#REF!,19,FALSE)</f>
        <v>#REF!</v>
      </c>
      <c r="G166" s="100"/>
      <c r="H166" s="100"/>
      <c r="I166" s="101"/>
      <c r="J166" s="102" t="e">
        <f t="shared" si="29"/>
        <v>#REF!</v>
      </c>
      <c r="K166" s="103"/>
      <c r="L166" s="104"/>
      <c r="M166" s="105"/>
      <c r="N166" s="103">
        <v>0</v>
      </c>
      <c r="O166" s="106"/>
      <c r="P166" s="103">
        <v>0</v>
      </c>
      <c r="Q166" s="107">
        <f t="shared" si="28"/>
        <v>0</v>
      </c>
      <c r="R166" s="107"/>
      <c r="S166" s="107"/>
      <c r="T166" s="108">
        <v>0</v>
      </c>
      <c r="U166" s="119"/>
      <c r="V166" s="110">
        <f t="shared" si="27"/>
        <v>0</v>
      </c>
      <c r="W166" s="103"/>
      <c r="X166" s="112">
        <f t="shared" si="37"/>
        <v>0</v>
      </c>
      <c r="Y166" s="112">
        <f t="shared" si="38"/>
        <v>0</v>
      </c>
      <c r="Z166" s="113">
        <f t="shared" si="39"/>
        <v>0</v>
      </c>
      <c r="AA166" s="113">
        <v>0</v>
      </c>
      <c r="AB166" s="114">
        <v>0</v>
      </c>
      <c r="AC166" s="11">
        <f t="shared" si="40"/>
        <v>0</v>
      </c>
      <c r="AD166" s="115">
        <f t="shared" si="30"/>
        <v>0</v>
      </c>
      <c r="AE166" s="115" t="e">
        <f t="shared" si="31"/>
        <v>#REF!</v>
      </c>
      <c r="AF166" s="115">
        <f t="shared" si="32"/>
        <v>0</v>
      </c>
      <c r="AG166" s="11"/>
      <c r="AH166" s="115">
        <f t="shared" si="34"/>
        <v>0</v>
      </c>
      <c r="AI166" s="115">
        <f t="shared" si="35"/>
        <v>0</v>
      </c>
      <c r="AJ166" s="115">
        <f t="shared" si="36"/>
        <v>0</v>
      </c>
      <c r="AL166" s="11" t="e">
        <f t="shared" si="33"/>
        <v>#REF!</v>
      </c>
      <c r="AM166" s="120" t="s">
        <v>253</v>
      </c>
    </row>
    <row r="167" spans="1:39">
      <c r="A167" s="129"/>
      <c r="B167" s="129" t="s">
        <v>46</v>
      </c>
      <c r="C167" s="96" t="s">
        <v>254</v>
      </c>
      <c r="D167" s="120" t="s">
        <v>255</v>
      </c>
      <c r="E167" s="98"/>
      <c r="F167" s="99" t="e">
        <f>VLOOKUP(D167,#REF!,19,FALSE)</f>
        <v>#REF!</v>
      </c>
      <c r="G167" s="100"/>
      <c r="H167" s="100"/>
      <c r="I167" s="101"/>
      <c r="J167" s="102" t="e">
        <f t="shared" si="29"/>
        <v>#REF!</v>
      </c>
      <c r="K167" s="103"/>
      <c r="L167" s="104"/>
      <c r="M167" s="105">
        <v>80000</v>
      </c>
      <c r="N167" s="103"/>
      <c r="O167" s="106"/>
      <c r="P167" s="103"/>
      <c r="Q167" s="107">
        <f t="shared" si="28"/>
        <v>80000</v>
      </c>
      <c r="R167" s="107"/>
      <c r="S167" s="107"/>
      <c r="T167" s="108">
        <f>3376.93+2096.51+7618.94+1824.13+12832.21+11166.04+10119.44+1078.73+472.13+1316.07+62276.73</f>
        <v>114177.86000000002</v>
      </c>
      <c r="U167" s="119"/>
      <c r="V167" s="110">
        <f t="shared" si="27"/>
        <v>34177.860000000015</v>
      </c>
      <c r="W167" s="103"/>
      <c r="X167" s="112">
        <f t="shared" si="37"/>
        <v>0</v>
      </c>
      <c r="Y167" s="112">
        <f t="shared" si="38"/>
        <v>80000</v>
      </c>
      <c r="Z167" s="113">
        <f t="shared" si="39"/>
        <v>0</v>
      </c>
      <c r="AA167" s="113">
        <v>0</v>
      </c>
      <c r="AB167" s="114">
        <v>0</v>
      </c>
      <c r="AC167" s="11">
        <f t="shared" si="40"/>
        <v>0</v>
      </c>
      <c r="AD167" s="115">
        <f t="shared" si="30"/>
        <v>0</v>
      </c>
      <c r="AE167" s="115" t="e">
        <f t="shared" si="31"/>
        <v>#REF!</v>
      </c>
      <c r="AF167" s="115">
        <f t="shared" si="32"/>
        <v>0</v>
      </c>
      <c r="AG167" s="11"/>
      <c r="AH167" s="115">
        <f t="shared" si="34"/>
        <v>0</v>
      </c>
      <c r="AI167" s="115">
        <f t="shared" si="35"/>
        <v>80000</v>
      </c>
      <c r="AJ167" s="115">
        <f t="shared" si="36"/>
        <v>0</v>
      </c>
      <c r="AL167" s="11" t="e">
        <f t="shared" si="33"/>
        <v>#REF!</v>
      </c>
      <c r="AM167" s="120" t="s">
        <v>255</v>
      </c>
    </row>
    <row r="168" spans="1:39" s="124" customFormat="1">
      <c r="A168" s="127"/>
      <c r="B168" s="127" t="s">
        <v>46</v>
      </c>
      <c r="C168" s="96"/>
      <c r="D168" s="118" t="s">
        <v>256</v>
      </c>
      <c r="E168" s="98"/>
      <c r="F168" s="99" t="e">
        <f>VLOOKUP(D168,#REF!,19,FALSE)</f>
        <v>#REF!</v>
      </c>
      <c r="G168" s="100"/>
      <c r="H168" s="100"/>
      <c r="I168" s="101"/>
      <c r="J168" s="102" t="e">
        <f t="shared" si="29"/>
        <v>#REF!</v>
      </c>
      <c r="K168" s="103"/>
      <c r="L168" s="104"/>
      <c r="M168" s="105"/>
      <c r="N168" s="103">
        <v>0</v>
      </c>
      <c r="O168" s="106"/>
      <c r="P168" s="103">
        <v>0</v>
      </c>
      <c r="Q168" s="107">
        <f t="shared" si="28"/>
        <v>0</v>
      </c>
      <c r="R168" s="107"/>
      <c r="S168" s="107"/>
      <c r="T168" s="108">
        <v>0</v>
      </c>
      <c r="U168" s="119"/>
      <c r="V168" s="110">
        <f t="shared" si="27"/>
        <v>0</v>
      </c>
      <c r="W168" s="103"/>
      <c r="X168" s="112">
        <f t="shared" si="37"/>
        <v>0</v>
      </c>
      <c r="Y168" s="112">
        <f t="shared" si="38"/>
        <v>0</v>
      </c>
      <c r="Z168" s="113">
        <f t="shared" si="39"/>
        <v>0</v>
      </c>
      <c r="AA168" s="113">
        <v>0</v>
      </c>
      <c r="AB168" s="114">
        <v>0</v>
      </c>
      <c r="AC168" s="11">
        <f t="shared" si="40"/>
        <v>0</v>
      </c>
      <c r="AD168" s="115">
        <f t="shared" si="30"/>
        <v>0</v>
      </c>
      <c r="AE168" s="115" t="e">
        <f t="shared" si="31"/>
        <v>#REF!</v>
      </c>
      <c r="AF168" s="115">
        <f t="shared" si="32"/>
        <v>0</v>
      </c>
      <c r="AG168" s="11"/>
      <c r="AH168" s="115">
        <f t="shared" si="34"/>
        <v>0</v>
      </c>
      <c r="AI168" s="115">
        <f t="shared" si="35"/>
        <v>0</v>
      </c>
      <c r="AJ168" s="115">
        <f t="shared" si="36"/>
        <v>0</v>
      </c>
      <c r="AL168" s="11" t="e">
        <f t="shared" si="33"/>
        <v>#REF!</v>
      </c>
      <c r="AM168" s="118" t="s">
        <v>256</v>
      </c>
    </row>
    <row r="169" spans="1:39" s="14" customFormat="1">
      <c r="A169" s="95"/>
      <c r="B169" s="129" t="s">
        <v>49</v>
      </c>
      <c r="C169" s="96"/>
      <c r="D169" s="120" t="s">
        <v>257</v>
      </c>
      <c r="E169" s="98"/>
      <c r="F169" s="99" t="e">
        <f>VLOOKUP(D169,#REF!,19,FALSE)</f>
        <v>#REF!</v>
      </c>
      <c r="G169" s="100"/>
      <c r="H169" s="100"/>
      <c r="I169" s="101"/>
      <c r="J169" s="102" t="e">
        <f t="shared" si="29"/>
        <v>#REF!</v>
      </c>
      <c r="K169" s="133"/>
      <c r="L169" s="104"/>
      <c r="M169" s="105"/>
      <c r="N169" s="133">
        <v>0</v>
      </c>
      <c r="O169" s="106"/>
      <c r="P169" s="133">
        <v>0</v>
      </c>
      <c r="Q169" s="137">
        <f t="shared" si="28"/>
        <v>0</v>
      </c>
      <c r="R169" s="137"/>
      <c r="S169" s="137"/>
      <c r="T169" s="108">
        <v>0</v>
      </c>
      <c r="U169" s="138"/>
      <c r="V169" s="139">
        <f t="shared" si="27"/>
        <v>0</v>
      </c>
      <c r="W169" s="133"/>
      <c r="X169" s="112">
        <f t="shared" si="37"/>
        <v>0</v>
      </c>
      <c r="Y169" s="112">
        <f t="shared" si="38"/>
        <v>0</v>
      </c>
      <c r="Z169" s="113">
        <f t="shared" si="39"/>
        <v>0</v>
      </c>
      <c r="AA169" s="113">
        <v>0</v>
      </c>
      <c r="AB169" s="114">
        <v>0</v>
      </c>
      <c r="AC169" s="11">
        <f t="shared" si="40"/>
        <v>0</v>
      </c>
      <c r="AD169" s="115" t="e">
        <f t="shared" si="30"/>
        <v>#REF!</v>
      </c>
      <c r="AE169" s="115">
        <f t="shared" si="31"/>
        <v>0</v>
      </c>
      <c r="AF169" s="115">
        <f t="shared" si="32"/>
        <v>0</v>
      </c>
      <c r="AG169" s="11"/>
      <c r="AH169" s="115">
        <f t="shared" si="34"/>
        <v>0</v>
      </c>
      <c r="AI169" s="115">
        <f t="shared" si="35"/>
        <v>0</v>
      </c>
      <c r="AJ169" s="115">
        <f t="shared" si="36"/>
        <v>0</v>
      </c>
      <c r="AL169" s="11" t="e">
        <f t="shared" si="33"/>
        <v>#REF!</v>
      </c>
      <c r="AM169" s="120" t="s">
        <v>258</v>
      </c>
    </row>
    <row r="170" spans="1:39">
      <c r="A170" s="129"/>
      <c r="B170" s="129" t="s">
        <v>49</v>
      </c>
      <c r="C170" s="96"/>
      <c r="D170" s="120" t="s">
        <v>259</v>
      </c>
      <c r="E170" s="98"/>
      <c r="F170" s="99" t="e">
        <f>VLOOKUP(D170,#REF!,19,FALSE)</f>
        <v>#REF!</v>
      </c>
      <c r="G170" s="100"/>
      <c r="H170" s="100"/>
      <c r="I170" s="101"/>
      <c r="J170" s="102" t="e">
        <f t="shared" si="29"/>
        <v>#REF!</v>
      </c>
      <c r="K170" s="103"/>
      <c r="L170" s="104"/>
      <c r="M170" s="105"/>
      <c r="N170" s="103">
        <v>0</v>
      </c>
      <c r="O170" s="106"/>
      <c r="P170" s="103">
        <v>0</v>
      </c>
      <c r="Q170" s="107">
        <f t="shared" si="28"/>
        <v>0</v>
      </c>
      <c r="R170" s="107"/>
      <c r="S170" s="107"/>
      <c r="T170" s="108">
        <v>0</v>
      </c>
      <c r="U170" s="119"/>
      <c r="V170" s="110">
        <f t="shared" si="27"/>
        <v>0</v>
      </c>
      <c r="W170" s="103"/>
      <c r="X170" s="112">
        <f t="shared" si="37"/>
        <v>0</v>
      </c>
      <c r="Y170" s="112">
        <f t="shared" si="38"/>
        <v>0</v>
      </c>
      <c r="Z170" s="113">
        <f t="shared" si="39"/>
        <v>0</v>
      </c>
      <c r="AA170" s="113">
        <v>0</v>
      </c>
      <c r="AB170" s="114">
        <v>0</v>
      </c>
      <c r="AC170" s="11">
        <f t="shared" si="40"/>
        <v>0</v>
      </c>
      <c r="AD170" s="115" t="e">
        <f t="shared" si="30"/>
        <v>#REF!</v>
      </c>
      <c r="AE170" s="115">
        <f t="shared" si="31"/>
        <v>0</v>
      </c>
      <c r="AF170" s="115">
        <f t="shared" si="32"/>
        <v>0</v>
      </c>
      <c r="AG170" s="11"/>
      <c r="AH170" s="115">
        <f t="shared" si="34"/>
        <v>0</v>
      </c>
      <c r="AI170" s="115">
        <f t="shared" si="35"/>
        <v>0</v>
      </c>
      <c r="AJ170" s="115">
        <f t="shared" si="36"/>
        <v>0</v>
      </c>
      <c r="AL170" s="11" t="e">
        <f t="shared" si="33"/>
        <v>#REF!</v>
      </c>
      <c r="AM170" s="120" t="s">
        <v>259</v>
      </c>
    </row>
    <row r="171" spans="1:39">
      <c r="A171" s="129"/>
      <c r="B171" s="129" t="s">
        <v>49</v>
      </c>
      <c r="C171" s="129"/>
      <c r="D171" s="120" t="s">
        <v>260</v>
      </c>
      <c r="E171" s="98"/>
      <c r="F171" s="99" t="e">
        <f>VLOOKUP(D171,#REF!,19,FALSE)</f>
        <v>#REF!</v>
      </c>
      <c r="G171" s="100"/>
      <c r="H171" s="100"/>
      <c r="I171" s="101"/>
      <c r="J171" s="102" t="e">
        <f t="shared" si="29"/>
        <v>#REF!</v>
      </c>
      <c r="K171" s="103"/>
      <c r="L171" s="104"/>
      <c r="M171" s="105"/>
      <c r="N171" s="103">
        <v>0</v>
      </c>
      <c r="O171" s="106"/>
      <c r="P171" s="103">
        <v>0</v>
      </c>
      <c r="Q171" s="107">
        <f t="shared" si="28"/>
        <v>0</v>
      </c>
      <c r="R171" s="107"/>
      <c r="S171" s="107"/>
      <c r="T171" s="108">
        <v>0</v>
      </c>
      <c r="U171" s="119"/>
      <c r="V171" s="110">
        <f t="shared" si="27"/>
        <v>0</v>
      </c>
      <c r="W171" s="103"/>
      <c r="X171" s="112">
        <f t="shared" si="37"/>
        <v>0</v>
      </c>
      <c r="Y171" s="112">
        <f t="shared" si="38"/>
        <v>0</v>
      </c>
      <c r="Z171" s="113">
        <f t="shared" si="39"/>
        <v>0</v>
      </c>
      <c r="AA171" s="113">
        <v>0</v>
      </c>
      <c r="AB171" s="114">
        <v>0</v>
      </c>
      <c r="AC171" s="11">
        <f t="shared" si="40"/>
        <v>0</v>
      </c>
      <c r="AD171" s="115" t="e">
        <f t="shared" si="30"/>
        <v>#REF!</v>
      </c>
      <c r="AE171" s="115">
        <f t="shared" si="31"/>
        <v>0</v>
      </c>
      <c r="AF171" s="115">
        <f t="shared" si="32"/>
        <v>0</v>
      </c>
      <c r="AG171" s="11"/>
      <c r="AH171" s="115">
        <f t="shared" si="34"/>
        <v>0</v>
      </c>
      <c r="AI171" s="115">
        <f t="shared" si="35"/>
        <v>0</v>
      </c>
      <c r="AJ171" s="115">
        <f t="shared" si="36"/>
        <v>0</v>
      </c>
      <c r="AL171" s="11" t="e">
        <f t="shared" si="33"/>
        <v>#REF!</v>
      </c>
      <c r="AM171" s="120" t="s">
        <v>260</v>
      </c>
    </row>
    <row r="172" spans="1:39">
      <c r="A172" s="129"/>
      <c r="B172" s="129" t="s">
        <v>49</v>
      </c>
      <c r="C172" s="96"/>
      <c r="D172" s="120" t="s">
        <v>261</v>
      </c>
      <c r="E172" s="98"/>
      <c r="F172" s="99" t="e">
        <f>VLOOKUP(D172,#REF!,19,FALSE)</f>
        <v>#REF!</v>
      </c>
      <c r="G172" s="100"/>
      <c r="H172" s="100"/>
      <c r="I172" s="101"/>
      <c r="J172" s="102" t="e">
        <f t="shared" si="29"/>
        <v>#REF!</v>
      </c>
      <c r="K172" s="103"/>
      <c r="L172" s="104"/>
      <c r="M172" s="105"/>
      <c r="N172" s="103">
        <v>0</v>
      </c>
      <c r="O172" s="106"/>
      <c r="P172" s="103">
        <v>0</v>
      </c>
      <c r="Q172" s="107">
        <f t="shared" si="28"/>
        <v>0</v>
      </c>
      <c r="R172" s="107"/>
      <c r="S172" s="107"/>
      <c r="T172" s="108">
        <v>0</v>
      </c>
      <c r="U172" s="119"/>
      <c r="V172" s="110">
        <f t="shared" si="27"/>
        <v>0</v>
      </c>
      <c r="W172" s="103"/>
      <c r="X172" s="112">
        <f t="shared" si="37"/>
        <v>0</v>
      </c>
      <c r="Y172" s="112">
        <f t="shared" si="38"/>
        <v>0</v>
      </c>
      <c r="Z172" s="113">
        <f t="shared" si="39"/>
        <v>0</v>
      </c>
      <c r="AA172" s="113">
        <v>0</v>
      </c>
      <c r="AB172" s="114">
        <v>0</v>
      </c>
      <c r="AC172" s="11">
        <f t="shared" si="40"/>
        <v>0</v>
      </c>
      <c r="AD172" s="115" t="e">
        <f t="shared" si="30"/>
        <v>#REF!</v>
      </c>
      <c r="AE172" s="115">
        <f t="shared" si="31"/>
        <v>0</v>
      </c>
      <c r="AF172" s="115">
        <f t="shared" si="32"/>
        <v>0</v>
      </c>
      <c r="AG172" s="11"/>
      <c r="AH172" s="115">
        <f t="shared" si="34"/>
        <v>0</v>
      </c>
      <c r="AI172" s="115">
        <f t="shared" si="35"/>
        <v>0</v>
      </c>
      <c r="AJ172" s="115">
        <f t="shared" si="36"/>
        <v>0</v>
      </c>
      <c r="AL172" s="11" t="e">
        <f t="shared" si="33"/>
        <v>#REF!</v>
      </c>
      <c r="AM172" s="120" t="s">
        <v>261</v>
      </c>
    </row>
    <row r="173" spans="1:39">
      <c r="A173" s="129"/>
      <c r="B173" s="129" t="s">
        <v>49</v>
      </c>
      <c r="C173" s="96" t="s">
        <v>262</v>
      </c>
      <c r="D173" s="120" t="s">
        <v>263</v>
      </c>
      <c r="E173" s="98"/>
      <c r="F173" s="99" t="e">
        <f>VLOOKUP(D173,#REF!,19,FALSE)</f>
        <v>#REF!</v>
      </c>
      <c r="G173" s="100"/>
      <c r="H173" s="100"/>
      <c r="I173" s="101"/>
      <c r="J173" s="102" t="e">
        <f t="shared" si="29"/>
        <v>#REF!</v>
      </c>
      <c r="K173" s="103"/>
      <c r="L173" s="104"/>
      <c r="M173" s="105">
        <v>8000</v>
      </c>
      <c r="N173" s="103">
        <v>0</v>
      </c>
      <c r="O173" s="106"/>
      <c r="P173" s="103">
        <v>0</v>
      </c>
      <c r="Q173" s="107">
        <f t="shared" si="28"/>
        <v>8000</v>
      </c>
      <c r="R173" s="107"/>
      <c r="S173" s="107"/>
      <c r="T173" s="108">
        <v>7795.28</v>
      </c>
      <c r="U173" s="119"/>
      <c r="V173" s="110">
        <f t="shared" si="27"/>
        <v>-204.72000000000025</v>
      </c>
      <c r="W173" s="103"/>
      <c r="X173" s="112">
        <f t="shared" si="37"/>
        <v>8000</v>
      </c>
      <c r="Y173" s="112">
        <f t="shared" si="38"/>
        <v>0</v>
      </c>
      <c r="Z173" s="113">
        <f t="shared" si="39"/>
        <v>0</v>
      </c>
      <c r="AA173" s="113">
        <v>0</v>
      </c>
      <c r="AB173" s="114">
        <v>0</v>
      </c>
      <c r="AC173" s="11">
        <f t="shared" si="40"/>
        <v>0</v>
      </c>
      <c r="AD173" s="115" t="e">
        <f t="shared" si="30"/>
        <v>#REF!</v>
      </c>
      <c r="AE173" s="115">
        <f t="shared" si="31"/>
        <v>0</v>
      </c>
      <c r="AF173" s="115">
        <f t="shared" si="32"/>
        <v>0</v>
      </c>
      <c r="AG173" s="11"/>
      <c r="AH173" s="115">
        <f t="shared" si="34"/>
        <v>8000</v>
      </c>
      <c r="AI173" s="115">
        <f t="shared" si="35"/>
        <v>0</v>
      </c>
      <c r="AJ173" s="115">
        <f t="shared" si="36"/>
        <v>0</v>
      </c>
      <c r="AL173" s="11" t="e">
        <f t="shared" si="33"/>
        <v>#REF!</v>
      </c>
      <c r="AM173" s="120" t="s">
        <v>263</v>
      </c>
    </row>
    <row r="174" spans="1:39" s="124" customFormat="1">
      <c r="A174" s="127"/>
      <c r="B174" s="127" t="s">
        <v>46</v>
      </c>
      <c r="C174" s="96"/>
      <c r="D174" s="120" t="s">
        <v>264</v>
      </c>
      <c r="E174" s="98"/>
      <c r="F174" s="99" t="e">
        <f>VLOOKUP(D174,#REF!,19,FALSE)</f>
        <v>#REF!</v>
      </c>
      <c r="G174" s="100"/>
      <c r="H174" s="100"/>
      <c r="I174" s="101"/>
      <c r="J174" s="102" t="e">
        <f t="shared" si="29"/>
        <v>#REF!</v>
      </c>
      <c r="K174" s="103"/>
      <c r="L174" s="104"/>
      <c r="M174" s="105"/>
      <c r="N174" s="103">
        <v>0</v>
      </c>
      <c r="O174" s="106"/>
      <c r="P174" s="103">
        <v>0</v>
      </c>
      <c r="Q174" s="107">
        <f t="shared" si="28"/>
        <v>0</v>
      </c>
      <c r="R174" s="107"/>
      <c r="S174" s="107"/>
      <c r="T174" s="108">
        <v>0</v>
      </c>
      <c r="U174" s="119"/>
      <c r="V174" s="110">
        <f t="shared" si="27"/>
        <v>0</v>
      </c>
      <c r="W174" s="103"/>
      <c r="X174" s="112">
        <f t="shared" si="37"/>
        <v>0</v>
      </c>
      <c r="Y174" s="112">
        <f t="shared" si="38"/>
        <v>0</v>
      </c>
      <c r="Z174" s="113">
        <f t="shared" si="39"/>
        <v>0</v>
      </c>
      <c r="AA174" s="113">
        <v>0</v>
      </c>
      <c r="AB174" s="114">
        <v>0</v>
      </c>
      <c r="AC174" s="11">
        <f t="shared" si="40"/>
        <v>0</v>
      </c>
      <c r="AD174" s="115">
        <f t="shared" si="30"/>
        <v>0</v>
      </c>
      <c r="AE174" s="115" t="e">
        <f t="shared" si="31"/>
        <v>#REF!</v>
      </c>
      <c r="AF174" s="115">
        <f t="shared" si="32"/>
        <v>0</v>
      </c>
      <c r="AG174" s="11"/>
      <c r="AH174" s="115">
        <f t="shared" si="34"/>
        <v>0</v>
      </c>
      <c r="AI174" s="115">
        <f t="shared" si="35"/>
        <v>0</v>
      </c>
      <c r="AJ174" s="115">
        <f t="shared" si="36"/>
        <v>0</v>
      </c>
      <c r="AL174" s="11" t="e">
        <f t="shared" si="33"/>
        <v>#REF!</v>
      </c>
      <c r="AM174" s="118" t="s">
        <v>256</v>
      </c>
    </row>
    <row r="175" spans="1:39">
      <c r="A175" s="129"/>
      <c r="B175" s="129" t="s">
        <v>49</v>
      </c>
      <c r="C175" s="96" t="s">
        <v>265</v>
      </c>
      <c r="D175" s="120" t="s">
        <v>266</v>
      </c>
      <c r="E175" s="98"/>
      <c r="F175" s="99" t="e">
        <f>VLOOKUP(D175,#REF!,19,FALSE)</f>
        <v>#REF!</v>
      </c>
      <c r="G175" s="100"/>
      <c r="H175" s="100"/>
      <c r="I175" s="101"/>
      <c r="J175" s="102" t="e">
        <f t="shared" si="29"/>
        <v>#REF!</v>
      </c>
      <c r="K175" s="103"/>
      <c r="L175" s="104"/>
      <c r="M175" s="105">
        <v>120000</v>
      </c>
      <c r="N175" s="103">
        <v>0</v>
      </c>
      <c r="O175" s="106"/>
      <c r="P175" s="103">
        <v>0</v>
      </c>
      <c r="Q175" s="107">
        <f t="shared" si="28"/>
        <v>120000</v>
      </c>
      <c r="R175" s="107"/>
      <c r="S175" s="107"/>
      <c r="T175" s="108">
        <v>0</v>
      </c>
      <c r="U175" s="119"/>
      <c r="V175" s="110">
        <f t="shared" si="27"/>
        <v>-120000</v>
      </c>
      <c r="W175" s="103"/>
      <c r="X175" s="112">
        <f t="shared" si="37"/>
        <v>120000</v>
      </c>
      <c r="Y175" s="112">
        <f t="shared" si="38"/>
        <v>0</v>
      </c>
      <c r="Z175" s="113">
        <f t="shared" si="39"/>
        <v>0</v>
      </c>
      <c r="AA175" s="113">
        <v>0</v>
      </c>
      <c r="AB175" s="114">
        <v>0</v>
      </c>
      <c r="AC175" s="11">
        <f t="shared" si="40"/>
        <v>0</v>
      </c>
      <c r="AD175" s="115" t="e">
        <f t="shared" si="30"/>
        <v>#REF!</v>
      </c>
      <c r="AE175" s="115">
        <f t="shared" si="31"/>
        <v>0</v>
      </c>
      <c r="AF175" s="115">
        <f t="shared" si="32"/>
        <v>0</v>
      </c>
      <c r="AG175" s="11"/>
      <c r="AH175" s="115">
        <f t="shared" si="34"/>
        <v>120000</v>
      </c>
      <c r="AI175" s="115">
        <f t="shared" si="35"/>
        <v>0</v>
      </c>
      <c r="AJ175" s="115">
        <f t="shared" si="36"/>
        <v>0</v>
      </c>
      <c r="AL175" s="11" t="e">
        <f t="shared" si="33"/>
        <v>#REF!</v>
      </c>
      <c r="AM175" s="120" t="s">
        <v>266</v>
      </c>
    </row>
    <row r="176" spans="1:39">
      <c r="A176" s="129"/>
      <c r="B176" s="129" t="s">
        <v>49</v>
      </c>
      <c r="C176" s="128" t="s">
        <v>267</v>
      </c>
      <c r="D176" s="144" t="s">
        <v>268</v>
      </c>
      <c r="E176" s="98"/>
      <c r="F176" s="99" t="e">
        <f>VLOOKUP(D176,#REF!,19,FALSE)</f>
        <v>#REF!</v>
      </c>
      <c r="G176" s="100"/>
      <c r="H176" s="100"/>
      <c r="I176" s="101"/>
      <c r="J176" s="102" t="e">
        <f t="shared" si="29"/>
        <v>#REF!</v>
      </c>
      <c r="K176" s="103"/>
      <c r="L176" s="104"/>
      <c r="M176" s="105">
        <v>20000</v>
      </c>
      <c r="N176" s="103">
        <v>0</v>
      </c>
      <c r="O176" s="106"/>
      <c r="P176" s="103">
        <v>0</v>
      </c>
      <c r="Q176" s="107">
        <f t="shared" si="28"/>
        <v>20000</v>
      </c>
      <c r="R176" s="107"/>
      <c r="S176" s="107"/>
      <c r="T176" s="108">
        <v>7698.45</v>
      </c>
      <c r="U176" s="119"/>
      <c r="V176" s="110">
        <f t="shared" si="27"/>
        <v>-12301.55</v>
      </c>
      <c r="W176" s="103"/>
      <c r="X176" s="112">
        <f t="shared" si="37"/>
        <v>20000</v>
      </c>
      <c r="Y176" s="112">
        <f t="shared" si="38"/>
        <v>0</v>
      </c>
      <c r="Z176" s="113">
        <f t="shared" si="39"/>
        <v>0</v>
      </c>
      <c r="AA176" s="113">
        <v>0</v>
      </c>
      <c r="AB176" s="114">
        <v>0</v>
      </c>
      <c r="AC176" s="11">
        <f t="shared" si="40"/>
        <v>0</v>
      </c>
      <c r="AD176" s="115" t="e">
        <f t="shared" si="30"/>
        <v>#REF!</v>
      </c>
      <c r="AE176" s="115">
        <f>IF(B176="M",J176,0)</f>
        <v>0</v>
      </c>
      <c r="AF176" s="115">
        <f t="shared" si="32"/>
        <v>0</v>
      </c>
      <c r="AG176" s="11"/>
      <c r="AH176" s="115">
        <f t="shared" si="34"/>
        <v>20000</v>
      </c>
      <c r="AI176" s="115">
        <f t="shared" si="35"/>
        <v>0</v>
      </c>
      <c r="AJ176" s="115">
        <f t="shared" si="36"/>
        <v>0</v>
      </c>
      <c r="AL176" s="11" t="e">
        <f t="shared" si="33"/>
        <v>#REF!</v>
      </c>
      <c r="AM176" s="144" t="s">
        <v>268</v>
      </c>
    </row>
    <row r="177" spans="1:39" s="124" customFormat="1">
      <c r="A177" s="127"/>
      <c r="B177" s="127" t="s">
        <v>49</v>
      </c>
      <c r="C177" s="96"/>
      <c r="D177" s="145" t="s">
        <v>269</v>
      </c>
      <c r="E177" s="98"/>
      <c r="F177" s="99" t="e">
        <f>VLOOKUP(D177,#REF!,19,FALSE)</f>
        <v>#REF!</v>
      </c>
      <c r="G177" s="100"/>
      <c r="H177" s="100"/>
      <c r="I177" s="101"/>
      <c r="J177" s="102" t="e">
        <f t="shared" si="29"/>
        <v>#REF!</v>
      </c>
      <c r="K177" s="103"/>
      <c r="L177" s="104"/>
      <c r="M177" s="105"/>
      <c r="N177" s="103">
        <v>0</v>
      </c>
      <c r="O177" s="106"/>
      <c r="P177" s="103">
        <v>0</v>
      </c>
      <c r="Q177" s="107">
        <f t="shared" si="28"/>
        <v>0</v>
      </c>
      <c r="R177" s="107"/>
      <c r="S177" s="107"/>
      <c r="T177" s="108">
        <v>0</v>
      </c>
      <c r="U177" s="119"/>
      <c r="V177" s="110">
        <f t="shared" si="27"/>
        <v>0</v>
      </c>
      <c r="W177" s="103"/>
      <c r="X177" s="112">
        <f t="shared" si="37"/>
        <v>0</v>
      </c>
      <c r="Y177" s="112">
        <f t="shared" si="38"/>
        <v>0</v>
      </c>
      <c r="Z177" s="113">
        <f t="shared" si="39"/>
        <v>0</v>
      </c>
      <c r="AA177" s="113">
        <v>0</v>
      </c>
      <c r="AB177" s="114">
        <v>0</v>
      </c>
      <c r="AC177" s="11">
        <f t="shared" si="40"/>
        <v>0</v>
      </c>
      <c r="AD177" s="115" t="e">
        <f t="shared" si="30"/>
        <v>#REF!</v>
      </c>
      <c r="AE177" s="115">
        <f t="shared" si="31"/>
        <v>0</v>
      </c>
      <c r="AF177" s="115">
        <f t="shared" si="32"/>
        <v>0</v>
      </c>
      <c r="AG177" s="11"/>
      <c r="AH177" s="115">
        <f t="shared" si="34"/>
        <v>0</v>
      </c>
      <c r="AI177" s="115">
        <f t="shared" si="35"/>
        <v>0</v>
      </c>
      <c r="AJ177" s="115">
        <f t="shared" si="36"/>
        <v>0</v>
      </c>
      <c r="AL177" s="11" t="e">
        <f t="shared" si="33"/>
        <v>#REF!</v>
      </c>
      <c r="AM177" s="146" t="s">
        <v>269</v>
      </c>
    </row>
    <row r="178" spans="1:39" s="124" customFormat="1">
      <c r="A178" s="127"/>
      <c r="B178" s="127" t="s">
        <v>49</v>
      </c>
      <c r="C178" s="96" t="s">
        <v>270</v>
      </c>
      <c r="D178" s="143" t="s">
        <v>271</v>
      </c>
      <c r="E178" s="98"/>
      <c r="F178" s="99" t="e">
        <f>VLOOKUP(D178,#REF!,19,FALSE)</f>
        <v>#REF!</v>
      </c>
      <c r="G178" s="100"/>
      <c r="H178" s="100"/>
      <c r="I178" s="101"/>
      <c r="J178" s="102" t="e">
        <f t="shared" si="29"/>
        <v>#REF!</v>
      </c>
      <c r="K178" s="103"/>
      <c r="L178" s="104"/>
      <c r="M178" s="147">
        <v>100000</v>
      </c>
      <c r="N178" s="103">
        <v>0</v>
      </c>
      <c r="O178" s="106"/>
      <c r="P178" s="103">
        <v>0</v>
      </c>
      <c r="Q178" s="107">
        <f t="shared" si="28"/>
        <v>100000</v>
      </c>
      <c r="R178" s="107"/>
      <c r="S178" s="107"/>
      <c r="T178" s="108">
        <v>0</v>
      </c>
      <c r="U178" s="119"/>
      <c r="V178" s="110">
        <f t="shared" si="27"/>
        <v>-100000</v>
      </c>
      <c r="W178" s="103"/>
      <c r="X178" s="112">
        <f t="shared" si="37"/>
        <v>100000</v>
      </c>
      <c r="Y178" s="112">
        <f t="shared" si="38"/>
        <v>0</v>
      </c>
      <c r="Z178" s="113">
        <f t="shared" si="39"/>
        <v>0</v>
      </c>
      <c r="AA178" s="113">
        <v>0</v>
      </c>
      <c r="AB178" s="114">
        <v>0</v>
      </c>
      <c r="AC178" s="11">
        <f t="shared" si="40"/>
        <v>0</v>
      </c>
      <c r="AD178" s="115" t="e">
        <f t="shared" si="30"/>
        <v>#REF!</v>
      </c>
      <c r="AE178" s="115">
        <f t="shared" si="31"/>
        <v>0</v>
      </c>
      <c r="AF178" s="115">
        <f t="shared" si="32"/>
        <v>0</v>
      </c>
      <c r="AG178" s="11"/>
      <c r="AH178" s="115">
        <f t="shared" si="34"/>
        <v>100000</v>
      </c>
      <c r="AI178" s="115">
        <f t="shared" si="35"/>
        <v>0</v>
      </c>
      <c r="AJ178" s="115">
        <f t="shared" si="36"/>
        <v>0</v>
      </c>
      <c r="AL178" s="11" t="e">
        <f t="shared" si="33"/>
        <v>#REF!</v>
      </c>
      <c r="AM178" s="143" t="s">
        <v>271</v>
      </c>
    </row>
    <row r="179" spans="1:39" s="124" customFormat="1">
      <c r="A179" s="127"/>
      <c r="B179" s="127" t="s">
        <v>49</v>
      </c>
      <c r="C179" s="96"/>
      <c r="D179" s="143" t="s">
        <v>272</v>
      </c>
      <c r="E179" s="98"/>
      <c r="F179" s="99" t="e">
        <f>VLOOKUP(D179,#REF!,19,FALSE)</f>
        <v>#REF!</v>
      </c>
      <c r="G179" s="100"/>
      <c r="H179" s="100"/>
      <c r="I179" s="101"/>
      <c r="J179" s="102" t="e">
        <f t="shared" si="29"/>
        <v>#REF!</v>
      </c>
      <c r="K179" s="103"/>
      <c r="L179" s="104"/>
      <c r="M179" s="105"/>
      <c r="N179" s="103">
        <v>0</v>
      </c>
      <c r="O179" s="106"/>
      <c r="P179" s="103">
        <v>0</v>
      </c>
      <c r="Q179" s="107">
        <f t="shared" si="28"/>
        <v>0</v>
      </c>
      <c r="R179" s="107"/>
      <c r="S179" s="107"/>
      <c r="T179" s="108">
        <v>0</v>
      </c>
      <c r="U179" s="119"/>
      <c r="V179" s="110">
        <f t="shared" si="27"/>
        <v>0</v>
      </c>
      <c r="W179" s="103"/>
      <c r="X179" s="112">
        <f t="shared" si="37"/>
        <v>0</v>
      </c>
      <c r="Y179" s="112">
        <f t="shared" si="38"/>
        <v>0</v>
      </c>
      <c r="Z179" s="113">
        <f t="shared" si="39"/>
        <v>0</v>
      </c>
      <c r="AA179" s="113">
        <v>0</v>
      </c>
      <c r="AB179" s="114">
        <v>0</v>
      </c>
      <c r="AC179" s="11">
        <f t="shared" si="40"/>
        <v>0</v>
      </c>
      <c r="AD179" s="115" t="e">
        <f t="shared" si="30"/>
        <v>#REF!</v>
      </c>
      <c r="AE179" s="115">
        <f t="shared" si="31"/>
        <v>0</v>
      </c>
      <c r="AF179" s="115">
        <f t="shared" si="32"/>
        <v>0</v>
      </c>
      <c r="AG179" s="11"/>
      <c r="AH179" s="115">
        <f t="shared" si="34"/>
        <v>0</v>
      </c>
      <c r="AI179" s="115">
        <f t="shared" si="35"/>
        <v>0</v>
      </c>
      <c r="AJ179" s="115">
        <f t="shared" si="36"/>
        <v>0</v>
      </c>
      <c r="AL179" s="11" t="e">
        <f t="shared" si="33"/>
        <v>#REF!</v>
      </c>
      <c r="AM179" s="143" t="s">
        <v>272</v>
      </c>
    </row>
    <row r="180" spans="1:39" s="124" customFormat="1">
      <c r="A180" s="127"/>
      <c r="B180" s="127" t="s">
        <v>46</v>
      </c>
      <c r="C180" s="96" t="s">
        <v>273</v>
      </c>
      <c r="D180" s="118" t="s">
        <v>274</v>
      </c>
      <c r="E180" s="98"/>
      <c r="F180" s="99" t="e">
        <f>VLOOKUP(D180,#REF!,19,FALSE)</f>
        <v>#REF!</v>
      </c>
      <c r="G180" s="100"/>
      <c r="H180" s="100"/>
      <c r="I180" s="101"/>
      <c r="J180" s="102" t="e">
        <f t="shared" si="29"/>
        <v>#REF!</v>
      </c>
      <c r="K180" s="103"/>
      <c r="L180" s="104"/>
      <c r="M180" s="105"/>
      <c r="N180" s="103">
        <v>0</v>
      </c>
      <c r="O180" s="106"/>
      <c r="P180" s="103">
        <v>0</v>
      </c>
      <c r="Q180" s="107">
        <f t="shared" si="28"/>
        <v>0</v>
      </c>
      <c r="R180" s="107"/>
      <c r="S180" s="107"/>
      <c r="T180" s="108">
        <v>0</v>
      </c>
      <c r="U180" s="119"/>
      <c r="V180" s="110">
        <f t="shared" si="27"/>
        <v>0</v>
      </c>
      <c r="W180" s="103"/>
      <c r="X180" s="112">
        <f t="shared" si="37"/>
        <v>0</v>
      </c>
      <c r="Y180" s="112">
        <f t="shared" si="38"/>
        <v>0</v>
      </c>
      <c r="Z180" s="113">
        <f t="shared" si="39"/>
        <v>0</v>
      </c>
      <c r="AA180" s="113">
        <v>0</v>
      </c>
      <c r="AB180" s="114">
        <v>0</v>
      </c>
      <c r="AC180" s="11">
        <f t="shared" si="40"/>
        <v>0</v>
      </c>
      <c r="AD180" s="115">
        <f t="shared" si="30"/>
        <v>0</v>
      </c>
      <c r="AE180" s="115" t="e">
        <f t="shared" si="31"/>
        <v>#REF!</v>
      </c>
      <c r="AF180" s="115">
        <f t="shared" si="32"/>
        <v>0</v>
      </c>
      <c r="AG180" s="11"/>
      <c r="AH180" s="115">
        <f t="shared" si="34"/>
        <v>0</v>
      </c>
      <c r="AI180" s="115">
        <f t="shared" si="35"/>
        <v>0</v>
      </c>
      <c r="AJ180" s="115">
        <f t="shared" si="36"/>
        <v>0</v>
      </c>
      <c r="AL180" s="11" t="e">
        <f t="shared" si="33"/>
        <v>#REF!</v>
      </c>
      <c r="AM180" s="118" t="s">
        <v>274</v>
      </c>
    </row>
    <row r="181" spans="1:39">
      <c r="A181" s="116"/>
      <c r="B181" s="116" t="s">
        <v>49</v>
      </c>
      <c r="C181" s="126" t="s">
        <v>275</v>
      </c>
      <c r="D181" s="120" t="s">
        <v>276</v>
      </c>
      <c r="E181" s="98">
        <v>1118.6300000000001</v>
      </c>
      <c r="F181" s="99" t="e">
        <f>VLOOKUP(D181,#REF!,19,FALSE)</f>
        <v>#REF!</v>
      </c>
      <c r="G181" s="100"/>
      <c r="H181" s="100"/>
      <c r="I181" s="101"/>
      <c r="J181" s="102" t="e">
        <f t="shared" si="29"/>
        <v>#REF!</v>
      </c>
      <c r="K181" s="103"/>
      <c r="L181" s="104"/>
      <c r="M181" s="105"/>
      <c r="N181" s="103">
        <v>0</v>
      </c>
      <c r="O181" s="106"/>
      <c r="P181" s="103">
        <v>0</v>
      </c>
      <c r="Q181" s="107">
        <f t="shared" si="28"/>
        <v>0</v>
      </c>
      <c r="R181" s="107"/>
      <c r="S181" s="107"/>
      <c r="T181" s="108">
        <v>0</v>
      </c>
      <c r="U181" s="119"/>
      <c r="V181" s="110">
        <f t="shared" si="27"/>
        <v>0</v>
      </c>
      <c r="W181" s="103"/>
      <c r="X181" s="112">
        <f t="shared" si="37"/>
        <v>0</v>
      </c>
      <c r="Y181" s="112">
        <f t="shared" si="38"/>
        <v>0</v>
      </c>
      <c r="Z181" s="113">
        <f t="shared" si="39"/>
        <v>0</v>
      </c>
      <c r="AA181" s="113">
        <v>0</v>
      </c>
      <c r="AB181" s="114">
        <v>0</v>
      </c>
      <c r="AC181" s="11">
        <f t="shared" si="40"/>
        <v>0</v>
      </c>
      <c r="AD181" s="115" t="e">
        <f t="shared" si="30"/>
        <v>#REF!</v>
      </c>
      <c r="AE181" s="115">
        <f t="shared" si="31"/>
        <v>0</v>
      </c>
      <c r="AF181" s="115">
        <f t="shared" si="32"/>
        <v>0</v>
      </c>
      <c r="AG181" s="11"/>
      <c r="AH181" s="115">
        <f t="shared" si="34"/>
        <v>0</v>
      </c>
      <c r="AI181" s="115">
        <f t="shared" si="35"/>
        <v>0</v>
      </c>
      <c r="AJ181" s="115">
        <f t="shared" si="36"/>
        <v>0</v>
      </c>
      <c r="AL181" s="11" t="e">
        <f t="shared" si="33"/>
        <v>#REF!</v>
      </c>
      <c r="AM181" s="120" t="s">
        <v>276</v>
      </c>
    </row>
    <row r="182" spans="1:39">
      <c r="A182" s="116"/>
      <c r="B182" s="116" t="s">
        <v>49</v>
      </c>
      <c r="C182" s="126" t="s">
        <v>277</v>
      </c>
      <c r="D182" s="120" t="s">
        <v>278</v>
      </c>
      <c r="E182" s="98"/>
      <c r="F182" s="99" t="e">
        <f>VLOOKUP(D182,#REF!,19,FALSE)</f>
        <v>#REF!</v>
      </c>
      <c r="G182" s="100"/>
      <c r="H182" s="100"/>
      <c r="I182" s="101"/>
      <c r="J182" s="102" t="e">
        <f t="shared" si="29"/>
        <v>#REF!</v>
      </c>
      <c r="K182" s="103"/>
      <c r="L182" s="104"/>
      <c r="M182" s="105">
        <v>10000</v>
      </c>
      <c r="N182" s="103">
        <v>0</v>
      </c>
      <c r="O182" s="106"/>
      <c r="P182" s="103">
        <v>0</v>
      </c>
      <c r="Q182" s="107">
        <f t="shared" si="28"/>
        <v>10000</v>
      </c>
      <c r="R182" s="107"/>
      <c r="S182" s="107"/>
      <c r="T182" s="108">
        <v>2619.36</v>
      </c>
      <c r="U182" s="119"/>
      <c r="V182" s="110">
        <f t="shared" si="27"/>
        <v>-7380.6399999999994</v>
      </c>
      <c r="W182" s="103"/>
      <c r="X182" s="112">
        <f t="shared" si="37"/>
        <v>10000</v>
      </c>
      <c r="Y182" s="112">
        <f t="shared" si="38"/>
        <v>0</v>
      </c>
      <c r="Z182" s="113">
        <f t="shared" si="39"/>
        <v>0</v>
      </c>
      <c r="AA182" s="113">
        <v>0</v>
      </c>
      <c r="AB182" s="114">
        <v>0</v>
      </c>
      <c r="AC182" s="11">
        <f t="shared" si="40"/>
        <v>0</v>
      </c>
      <c r="AD182" s="115" t="e">
        <f t="shared" si="30"/>
        <v>#REF!</v>
      </c>
      <c r="AE182" s="115">
        <f t="shared" si="31"/>
        <v>0</v>
      </c>
      <c r="AF182" s="115">
        <f t="shared" si="32"/>
        <v>0</v>
      </c>
      <c r="AG182" s="11"/>
      <c r="AH182" s="115">
        <f t="shared" si="34"/>
        <v>10000</v>
      </c>
      <c r="AI182" s="115">
        <f t="shared" si="35"/>
        <v>0</v>
      </c>
      <c r="AJ182" s="115">
        <f t="shared" si="36"/>
        <v>0</v>
      </c>
      <c r="AL182" s="11" t="e">
        <f t="shared" si="33"/>
        <v>#REF!</v>
      </c>
      <c r="AM182" s="120" t="s">
        <v>278</v>
      </c>
    </row>
    <row r="183" spans="1:39">
      <c r="A183" s="116"/>
      <c r="B183" s="116" t="s">
        <v>46</v>
      </c>
      <c r="C183" s="122" t="s">
        <v>279</v>
      </c>
      <c r="D183" s="120" t="s">
        <v>280</v>
      </c>
      <c r="E183" s="98"/>
      <c r="F183" s="99" t="e">
        <f>VLOOKUP(D183,#REF!,19,FALSE)</f>
        <v>#REF!</v>
      </c>
      <c r="G183" s="100"/>
      <c r="H183" s="100"/>
      <c r="I183" s="101"/>
      <c r="J183" s="102" t="e">
        <f t="shared" si="29"/>
        <v>#REF!</v>
      </c>
      <c r="K183" s="103"/>
      <c r="L183" s="104"/>
      <c r="M183" s="105"/>
      <c r="N183" s="103">
        <v>0</v>
      </c>
      <c r="O183" s="106"/>
      <c r="P183" s="103">
        <v>0</v>
      </c>
      <c r="Q183" s="107">
        <f t="shared" si="28"/>
        <v>0</v>
      </c>
      <c r="R183" s="107"/>
      <c r="S183" s="107"/>
      <c r="T183" s="108">
        <v>0</v>
      </c>
      <c r="U183" s="119"/>
      <c r="V183" s="110">
        <f t="shared" si="27"/>
        <v>0</v>
      </c>
      <c r="W183" s="103"/>
      <c r="X183" s="112">
        <f t="shared" si="37"/>
        <v>0</v>
      </c>
      <c r="Y183" s="112">
        <f t="shared" si="38"/>
        <v>0</v>
      </c>
      <c r="Z183" s="113">
        <f t="shared" si="39"/>
        <v>0</v>
      </c>
      <c r="AA183" s="113">
        <v>0</v>
      </c>
      <c r="AB183" s="114">
        <v>0</v>
      </c>
      <c r="AC183" s="11">
        <f t="shared" si="40"/>
        <v>0</v>
      </c>
      <c r="AD183" s="115">
        <f t="shared" si="30"/>
        <v>0</v>
      </c>
      <c r="AE183" s="115" t="e">
        <f t="shared" si="31"/>
        <v>#REF!</v>
      </c>
      <c r="AF183" s="115">
        <f t="shared" si="32"/>
        <v>0</v>
      </c>
      <c r="AG183" s="11"/>
      <c r="AH183" s="115">
        <f t="shared" si="34"/>
        <v>0</v>
      </c>
      <c r="AI183" s="115">
        <f t="shared" si="35"/>
        <v>0</v>
      </c>
      <c r="AJ183" s="115">
        <f t="shared" si="36"/>
        <v>0</v>
      </c>
      <c r="AL183" s="11" t="e">
        <f t="shared" si="33"/>
        <v>#REF!</v>
      </c>
      <c r="AM183" s="120" t="s">
        <v>280</v>
      </c>
    </row>
    <row r="184" spans="1:39">
      <c r="A184" s="129"/>
      <c r="B184" s="129" t="s">
        <v>49</v>
      </c>
      <c r="C184" s="96"/>
      <c r="D184" s="120" t="s">
        <v>281</v>
      </c>
      <c r="E184" s="98"/>
      <c r="F184" s="99" t="e">
        <f>VLOOKUP(D184,#REF!,19,FALSE)</f>
        <v>#REF!</v>
      </c>
      <c r="G184" s="100"/>
      <c r="H184" s="100"/>
      <c r="I184" s="101"/>
      <c r="J184" s="102" t="e">
        <f t="shared" si="29"/>
        <v>#REF!</v>
      </c>
      <c r="K184" s="103"/>
      <c r="L184" s="104"/>
      <c r="M184" s="105"/>
      <c r="N184" s="103">
        <v>0</v>
      </c>
      <c r="O184" s="106"/>
      <c r="P184" s="103">
        <v>0</v>
      </c>
      <c r="Q184" s="107">
        <f t="shared" si="28"/>
        <v>0</v>
      </c>
      <c r="R184" s="107"/>
      <c r="S184" s="107"/>
      <c r="T184" s="108">
        <v>0</v>
      </c>
      <c r="U184" s="119"/>
      <c r="V184" s="110">
        <f t="shared" si="27"/>
        <v>0</v>
      </c>
      <c r="W184" s="103"/>
      <c r="X184" s="112">
        <f t="shared" si="37"/>
        <v>0</v>
      </c>
      <c r="Y184" s="112">
        <f t="shared" si="38"/>
        <v>0</v>
      </c>
      <c r="Z184" s="113">
        <f t="shared" si="39"/>
        <v>0</v>
      </c>
      <c r="AA184" s="113">
        <v>0</v>
      </c>
      <c r="AB184" s="114">
        <v>0</v>
      </c>
      <c r="AC184" s="11">
        <f t="shared" si="40"/>
        <v>0</v>
      </c>
      <c r="AD184" s="115" t="e">
        <f t="shared" si="30"/>
        <v>#REF!</v>
      </c>
      <c r="AE184" s="115">
        <f t="shared" si="31"/>
        <v>0</v>
      </c>
      <c r="AF184" s="115">
        <f t="shared" si="32"/>
        <v>0</v>
      </c>
      <c r="AG184" s="11"/>
      <c r="AH184" s="115">
        <f t="shared" si="34"/>
        <v>0</v>
      </c>
      <c r="AI184" s="115">
        <f t="shared" si="35"/>
        <v>0</v>
      </c>
      <c r="AJ184" s="115">
        <f t="shared" si="36"/>
        <v>0</v>
      </c>
      <c r="AL184" s="11" t="e">
        <f t="shared" si="33"/>
        <v>#REF!</v>
      </c>
      <c r="AM184" s="120" t="s">
        <v>281</v>
      </c>
    </row>
    <row r="185" spans="1:39">
      <c r="A185" s="129"/>
      <c r="B185" s="129" t="s">
        <v>46</v>
      </c>
      <c r="C185" s="96" t="s">
        <v>282</v>
      </c>
      <c r="D185" s="120" t="s">
        <v>283</v>
      </c>
      <c r="E185" s="98"/>
      <c r="F185" s="99" t="e">
        <f>VLOOKUP(D185,#REF!,19,FALSE)</f>
        <v>#REF!</v>
      </c>
      <c r="G185" s="100"/>
      <c r="H185" s="100"/>
      <c r="I185" s="101"/>
      <c r="J185" s="102" t="e">
        <f t="shared" si="29"/>
        <v>#REF!</v>
      </c>
      <c r="K185" s="103"/>
      <c r="L185" s="104"/>
      <c r="M185" s="105"/>
      <c r="N185" s="103">
        <v>0</v>
      </c>
      <c r="O185" s="106"/>
      <c r="P185" s="103">
        <v>0</v>
      </c>
      <c r="Q185" s="107">
        <f t="shared" si="28"/>
        <v>0</v>
      </c>
      <c r="R185" s="107"/>
      <c r="S185" s="107"/>
      <c r="T185" s="108">
        <v>0</v>
      </c>
      <c r="U185" s="119"/>
      <c r="V185" s="110">
        <f t="shared" si="27"/>
        <v>0</v>
      </c>
      <c r="W185" s="103"/>
      <c r="X185" s="112">
        <f t="shared" si="37"/>
        <v>0</v>
      </c>
      <c r="Y185" s="112">
        <f t="shared" si="38"/>
        <v>0</v>
      </c>
      <c r="Z185" s="113">
        <f t="shared" si="39"/>
        <v>0</v>
      </c>
      <c r="AA185" s="113">
        <v>0</v>
      </c>
      <c r="AB185" s="114">
        <v>0</v>
      </c>
      <c r="AC185" s="11">
        <f t="shared" si="40"/>
        <v>0</v>
      </c>
      <c r="AD185" s="115">
        <f t="shared" si="30"/>
        <v>0</v>
      </c>
      <c r="AE185" s="115" t="e">
        <f t="shared" si="31"/>
        <v>#REF!</v>
      </c>
      <c r="AF185" s="115">
        <f t="shared" si="32"/>
        <v>0</v>
      </c>
      <c r="AG185" s="11"/>
      <c r="AH185" s="115">
        <f t="shared" si="34"/>
        <v>0</v>
      </c>
      <c r="AI185" s="115">
        <f t="shared" si="35"/>
        <v>0</v>
      </c>
      <c r="AJ185" s="115">
        <f t="shared" si="36"/>
        <v>0</v>
      </c>
      <c r="AL185" s="11" t="e">
        <f t="shared" si="33"/>
        <v>#REF!</v>
      </c>
      <c r="AM185" s="120" t="s">
        <v>283</v>
      </c>
    </row>
    <row r="186" spans="1:39">
      <c r="A186" s="129"/>
      <c r="B186" s="129" t="s">
        <v>81</v>
      </c>
      <c r="C186" s="96" t="s">
        <v>282</v>
      </c>
      <c r="D186" s="120" t="s">
        <v>283</v>
      </c>
      <c r="E186" s="98"/>
      <c r="F186" s="99" t="e">
        <f>VLOOKUP(D186,#REF!,19,FALSE)</f>
        <v>#REF!</v>
      </c>
      <c r="G186" s="100"/>
      <c r="H186" s="100"/>
      <c r="I186" s="101"/>
      <c r="J186" s="102" t="e">
        <f t="shared" si="29"/>
        <v>#REF!</v>
      </c>
      <c r="K186" s="103"/>
      <c r="L186" s="104"/>
      <c r="M186" s="105"/>
      <c r="N186" s="103">
        <v>0</v>
      </c>
      <c r="O186" s="106"/>
      <c r="P186" s="103">
        <v>0</v>
      </c>
      <c r="Q186" s="107">
        <f t="shared" si="28"/>
        <v>0</v>
      </c>
      <c r="R186" s="107"/>
      <c r="S186" s="107"/>
      <c r="T186" s="108">
        <v>0</v>
      </c>
      <c r="U186" s="119"/>
      <c r="V186" s="110">
        <f t="shared" si="27"/>
        <v>0</v>
      </c>
      <c r="W186" s="103"/>
      <c r="X186" s="112">
        <f t="shared" si="37"/>
        <v>0</v>
      </c>
      <c r="Y186" s="112">
        <f t="shared" si="38"/>
        <v>0</v>
      </c>
      <c r="Z186" s="113">
        <f t="shared" si="39"/>
        <v>0</v>
      </c>
      <c r="AA186" s="113">
        <v>0</v>
      </c>
      <c r="AB186" s="114">
        <v>0</v>
      </c>
      <c r="AC186" s="11">
        <f t="shared" si="40"/>
        <v>0</v>
      </c>
      <c r="AD186" s="115">
        <f t="shared" si="30"/>
        <v>0</v>
      </c>
      <c r="AE186" s="115">
        <f t="shared" si="31"/>
        <v>0</v>
      </c>
      <c r="AF186" s="115" t="e">
        <f t="shared" si="32"/>
        <v>#REF!</v>
      </c>
      <c r="AG186" s="11"/>
      <c r="AH186" s="115">
        <f t="shared" si="34"/>
        <v>0</v>
      </c>
      <c r="AI186" s="115">
        <f t="shared" si="35"/>
        <v>0</v>
      </c>
      <c r="AJ186" s="115">
        <f t="shared" si="36"/>
        <v>0</v>
      </c>
      <c r="AL186" s="11" t="e">
        <f t="shared" si="33"/>
        <v>#REF!</v>
      </c>
      <c r="AM186" s="120" t="s">
        <v>283</v>
      </c>
    </row>
    <row r="187" spans="1:39">
      <c r="A187" s="129"/>
      <c r="B187" s="129" t="s">
        <v>49</v>
      </c>
      <c r="C187" s="96" t="s">
        <v>284</v>
      </c>
      <c r="D187" s="144" t="s">
        <v>285</v>
      </c>
      <c r="E187" s="98">
        <f>36746.63-18493.3</f>
        <v>18253.329999999998</v>
      </c>
      <c r="F187" s="99" t="e">
        <f>VLOOKUP(D187,#REF!,19,FALSE)</f>
        <v>#REF!</v>
      </c>
      <c r="G187" s="100"/>
      <c r="H187" s="100"/>
      <c r="I187" s="125">
        <f>17198.81+1018.67</f>
        <v>18217.48</v>
      </c>
      <c r="J187" s="102" t="e">
        <f t="shared" si="29"/>
        <v>#REF!</v>
      </c>
      <c r="K187" s="103"/>
      <c r="L187" s="104"/>
      <c r="M187" s="105"/>
      <c r="N187" s="103">
        <v>0</v>
      </c>
      <c r="O187" s="106"/>
      <c r="P187" s="103">
        <v>0</v>
      </c>
      <c r="Q187" s="107">
        <f t="shared" si="28"/>
        <v>0</v>
      </c>
      <c r="R187" s="107"/>
      <c r="S187" s="107"/>
      <c r="T187" s="108">
        <v>0</v>
      </c>
      <c r="U187" s="119"/>
      <c r="V187" s="110">
        <f t="shared" si="27"/>
        <v>0</v>
      </c>
      <c r="W187" s="103"/>
      <c r="X187" s="112">
        <f t="shared" si="37"/>
        <v>0</v>
      </c>
      <c r="Y187" s="112">
        <f t="shared" si="38"/>
        <v>0</v>
      </c>
      <c r="Z187" s="113">
        <f t="shared" si="39"/>
        <v>0</v>
      </c>
      <c r="AA187" s="113">
        <v>0</v>
      </c>
      <c r="AB187" s="114">
        <v>0</v>
      </c>
      <c r="AC187" s="11">
        <f t="shared" si="40"/>
        <v>0</v>
      </c>
      <c r="AD187" s="115" t="e">
        <f t="shared" si="30"/>
        <v>#REF!</v>
      </c>
      <c r="AE187" s="115">
        <f t="shared" si="31"/>
        <v>0</v>
      </c>
      <c r="AF187" s="115">
        <f t="shared" si="32"/>
        <v>0</v>
      </c>
      <c r="AG187" s="11"/>
      <c r="AH187" s="115">
        <f t="shared" si="34"/>
        <v>0</v>
      </c>
      <c r="AI187" s="115">
        <f t="shared" si="35"/>
        <v>0</v>
      </c>
      <c r="AJ187" s="115">
        <f t="shared" si="36"/>
        <v>0</v>
      </c>
      <c r="AL187" s="11" t="e">
        <f t="shared" si="33"/>
        <v>#REF!</v>
      </c>
      <c r="AM187" s="144" t="s">
        <v>285</v>
      </c>
    </row>
    <row r="188" spans="1:39">
      <c r="A188" s="116"/>
      <c r="B188" s="116" t="s">
        <v>46</v>
      </c>
      <c r="C188" s="122"/>
      <c r="D188" s="144" t="s">
        <v>286</v>
      </c>
      <c r="E188" s="98"/>
      <c r="F188" s="99" t="e">
        <f>VLOOKUP(D188,#REF!,19,FALSE)</f>
        <v>#REF!</v>
      </c>
      <c r="G188" s="100"/>
      <c r="H188" s="100"/>
      <c r="I188" s="101"/>
      <c r="J188" s="102" t="e">
        <f t="shared" si="29"/>
        <v>#REF!</v>
      </c>
      <c r="K188" s="103"/>
      <c r="L188" s="104"/>
      <c r="M188" s="105">
        <v>140000</v>
      </c>
      <c r="N188" s="103">
        <v>0</v>
      </c>
      <c r="O188" s="106"/>
      <c r="P188" s="103">
        <v>0</v>
      </c>
      <c r="Q188" s="107">
        <f t="shared" si="28"/>
        <v>140000</v>
      </c>
      <c r="R188" s="107"/>
      <c r="S188" s="107"/>
      <c r="T188" s="108">
        <v>0</v>
      </c>
      <c r="U188" s="119"/>
      <c r="V188" s="110">
        <f t="shared" si="27"/>
        <v>-140000</v>
      </c>
      <c r="W188" s="103"/>
      <c r="X188" s="112">
        <f t="shared" si="37"/>
        <v>0</v>
      </c>
      <c r="Y188" s="112">
        <f t="shared" si="38"/>
        <v>140000</v>
      </c>
      <c r="Z188" s="113">
        <f t="shared" si="39"/>
        <v>0</v>
      </c>
      <c r="AA188" s="113">
        <v>0</v>
      </c>
      <c r="AB188" s="114">
        <v>0</v>
      </c>
      <c r="AC188" s="11">
        <f t="shared" si="40"/>
        <v>0</v>
      </c>
      <c r="AD188" s="115">
        <f t="shared" si="30"/>
        <v>0</v>
      </c>
      <c r="AE188" s="115" t="e">
        <f t="shared" si="31"/>
        <v>#REF!</v>
      </c>
      <c r="AF188" s="115">
        <f t="shared" si="32"/>
        <v>0</v>
      </c>
      <c r="AG188" s="11"/>
      <c r="AH188" s="115">
        <f t="shared" si="34"/>
        <v>0</v>
      </c>
      <c r="AI188" s="115">
        <f t="shared" si="35"/>
        <v>140000</v>
      </c>
      <c r="AJ188" s="115">
        <f t="shared" si="36"/>
        <v>0</v>
      </c>
      <c r="AL188" s="11" t="e">
        <f t="shared" si="33"/>
        <v>#REF!</v>
      </c>
      <c r="AM188" s="144" t="s">
        <v>286</v>
      </c>
    </row>
    <row r="189" spans="1:39">
      <c r="A189" s="129"/>
      <c r="B189" s="129" t="s">
        <v>49</v>
      </c>
      <c r="C189" s="96"/>
      <c r="D189" s="120" t="s">
        <v>287</v>
      </c>
      <c r="E189" s="98"/>
      <c r="F189" s="99" t="e">
        <f>VLOOKUP(D189,#REF!,19,FALSE)</f>
        <v>#REF!</v>
      </c>
      <c r="G189" s="100"/>
      <c r="H189" s="100"/>
      <c r="I189" s="101"/>
      <c r="J189" s="102" t="e">
        <f t="shared" si="29"/>
        <v>#REF!</v>
      </c>
      <c r="K189" s="103"/>
      <c r="L189" s="104"/>
      <c r="M189" s="105">
        <v>75000</v>
      </c>
      <c r="N189" s="103">
        <v>0</v>
      </c>
      <c r="O189" s="106"/>
      <c r="P189" s="103">
        <v>0</v>
      </c>
      <c r="Q189" s="107">
        <f t="shared" si="28"/>
        <v>75000</v>
      </c>
      <c r="R189" s="107"/>
      <c r="S189" s="107"/>
      <c r="T189" s="108">
        <f>63349.35+3542.2</f>
        <v>66891.55</v>
      </c>
      <c r="U189" s="119"/>
      <c r="V189" s="110">
        <f t="shared" si="27"/>
        <v>-8108.4499999999971</v>
      </c>
      <c r="W189" s="103"/>
      <c r="X189" s="112">
        <f t="shared" si="37"/>
        <v>75000</v>
      </c>
      <c r="Y189" s="112">
        <f t="shared" si="38"/>
        <v>0</v>
      </c>
      <c r="Z189" s="113">
        <f t="shared" si="39"/>
        <v>0</v>
      </c>
      <c r="AA189" s="113">
        <v>0</v>
      </c>
      <c r="AB189" s="114">
        <v>0</v>
      </c>
      <c r="AC189" s="11">
        <f t="shared" si="40"/>
        <v>0</v>
      </c>
      <c r="AD189" s="115" t="e">
        <f t="shared" si="30"/>
        <v>#REF!</v>
      </c>
      <c r="AE189" s="115">
        <f t="shared" si="31"/>
        <v>0</v>
      </c>
      <c r="AF189" s="115">
        <f t="shared" si="32"/>
        <v>0</v>
      </c>
      <c r="AG189" s="11"/>
      <c r="AH189" s="115">
        <f t="shared" si="34"/>
        <v>75000</v>
      </c>
      <c r="AI189" s="115">
        <f t="shared" si="35"/>
        <v>0</v>
      </c>
      <c r="AJ189" s="115">
        <f t="shared" si="36"/>
        <v>0</v>
      </c>
      <c r="AL189" s="11" t="e">
        <f t="shared" si="33"/>
        <v>#REF!</v>
      </c>
      <c r="AM189" s="120" t="s">
        <v>287</v>
      </c>
    </row>
    <row r="190" spans="1:39" ht="13" thickBot="1">
      <c r="A190" s="231" t="s">
        <v>60</v>
      </c>
      <c r="B190" s="231" t="s">
        <v>46</v>
      </c>
      <c r="C190" s="232"/>
      <c r="D190" s="152" t="s">
        <v>288</v>
      </c>
      <c r="E190" s="233"/>
      <c r="F190" s="234" t="e">
        <f>VLOOKUP(D190,#REF!,19,FALSE)</f>
        <v>#REF!</v>
      </c>
      <c r="G190" s="235"/>
      <c r="H190" s="235"/>
      <c r="I190" s="236">
        <v>7611.98</v>
      </c>
      <c r="J190" s="237" t="e">
        <f t="shared" si="29"/>
        <v>#REF!</v>
      </c>
      <c r="K190" s="103"/>
      <c r="L190" s="238"/>
      <c r="M190" s="239"/>
      <c r="N190" s="103">
        <v>0</v>
      </c>
      <c r="O190" s="106"/>
      <c r="P190" s="103">
        <v>0</v>
      </c>
      <c r="Q190" s="240">
        <f t="shared" si="28"/>
        <v>0</v>
      </c>
      <c r="R190" s="240"/>
      <c r="S190" s="240"/>
      <c r="T190" s="241">
        <v>0</v>
      </c>
      <c r="U190" s="242"/>
      <c r="V190" s="243">
        <f t="shared" si="27"/>
        <v>0</v>
      </c>
      <c r="W190" s="103"/>
      <c r="X190" s="112">
        <f t="shared" si="37"/>
        <v>0</v>
      </c>
      <c r="Y190" s="112">
        <f t="shared" si="38"/>
        <v>0</v>
      </c>
      <c r="Z190" s="113">
        <f t="shared" si="39"/>
        <v>0</v>
      </c>
      <c r="AA190" s="113">
        <v>0</v>
      </c>
      <c r="AB190" s="114">
        <v>0</v>
      </c>
      <c r="AC190" s="11">
        <f t="shared" si="40"/>
        <v>0</v>
      </c>
      <c r="AD190" s="115">
        <f t="shared" si="30"/>
        <v>0</v>
      </c>
      <c r="AE190" s="115" t="e">
        <f t="shared" si="31"/>
        <v>#REF!</v>
      </c>
      <c r="AF190" s="115">
        <f t="shared" si="32"/>
        <v>0</v>
      </c>
      <c r="AG190" s="11"/>
      <c r="AH190" s="115">
        <f t="shared" si="34"/>
        <v>0</v>
      </c>
      <c r="AI190" s="115">
        <f t="shared" si="35"/>
        <v>0</v>
      </c>
      <c r="AJ190" s="115">
        <f t="shared" si="36"/>
        <v>0</v>
      </c>
      <c r="AL190" s="11" t="e">
        <f t="shared" si="33"/>
        <v>#REF!</v>
      </c>
      <c r="AM190" s="152" t="s">
        <v>288</v>
      </c>
    </row>
    <row r="191" spans="1:39" s="266" customFormat="1" ht="13" thickBot="1">
      <c r="A191" s="244"/>
      <c r="B191" s="245" t="s">
        <v>49</v>
      </c>
      <c r="C191" s="246" t="s">
        <v>289</v>
      </c>
      <c r="D191" s="247" t="s">
        <v>290</v>
      </c>
      <c r="E191" s="248"/>
      <c r="F191" s="249" t="e">
        <f>VLOOKUP(D191,#REF!,19,FALSE)</f>
        <v>#REF!</v>
      </c>
      <c r="G191" s="250"/>
      <c r="H191" s="250"/>
      <c r="I191" s="251"/>
      <c r="J191" s="252" t="e">
        <f t="shared" si="29"/>
        <v>#REF!</v>
      </c>
      <c r="K191" s="253"/>
      <c r="L191" s="254"/>
      <c r="M191" s="255">
        <v>3650000</v>
      </c>
      <c r="N191" s="253">
        <v>0</v>
      </c>
      <c r="O191" s="256"/>
      <c r="P191" s="253">
        <v>0</v>
      </c>
      <c r="Q191" s="257">
        <f t="shared" si="28"/>
        <v>3650000</v>
      </c>
      <c r="R191" s="257"/>
      <c r="S191" s="257"/>
      <c r="T191" s="258">
        <v>3741619.1</v>
      </c>
      <c r="U191" s="259"/>
      <c r="V191" s="260">
        <f t="shared" si="27"/>
        <v>91619.100000000093</v>
      </c>
      <c r="W191" s="253"/>
      <c r="X191" s="261">
        <f t="shared" si="37"/>
        <v>3650000</v>
      </c>
      <c r="Y191" s="261">
        <f t="shared" si="38"/>
        <v>0</v>
      </c>
      <c r="Z191" s="262">
        <f t="shared" si="39"/>
        <v>0</v>
      </c>
      <c r="AA191" s="262">
        <v>0</v>
      </c>
      <c r="AB191" s="263">
        <v>0</v>
      </c>
      <c r="AC191" s="264">
        <f t="shared" si="40"/>
        <v>0</v>
      </c>
      <c r="AD191" s="265" t="e">
        <f t="shared" si="30"/>
        <v>#REF!</v>
      </c>
      <c r="AE191" s="265">
        <f t="shared" si="31"/>
        <v>0</v>
      </c>
      <c r="AF191" s="265">
        <f t="shared" si="32"/>
        <v>0</v>
      </c>
      <c r="AG191" s="264"/>
      <c r="AH191" s="265">
        <f t="shared" si="34"/>
        <v>3650000</v>
      </c>
      <c r="AI191" s="265">
        <f t="shared" si="35"/>
        <v>0</v>
      </c>
      <c r="AJ191" s="265">
        <f t="shared" si="36"/>
        <v>0</v>
      </c>
      <c r="AL191" s="264" t="e">
        <f t="shared" si="33"/>
        <v>#REF!</v>
      </c>
      <c r="AM191" s="247" t="s">
        <v>290</v>
      </c>
    </row>
    <row r="192" spans="1:39">
      <c r="A192" s="267"/>
      <c r="B192" s="267" t="s">
        <v>49</v>
      </c>
      <c r="C192" s="268" t="s">
        <v>289</v>
      </c>
      <c r="D192" s="269" t="s">
        <v>291</v>
      </c>
      <c r="E192" s="270"/>
      <c r="F192" s="271" t="e">
        <f>VLOOKUP(D192,#REF!,19,FALSE)</f>
        <v>#REF!</v>
      </c>
      <c r="G192" s="272"/>
      <c r="H192" s="272"/>
      <c r="I192" s="273"/>
      <c r="J192" s="102" t="e">
        <f t="shared" si="29"/>
        <v>#REF!</v>
      </c>
      <c r="K192" s="103"/>
      <c r="L192" s="274"/>
      <c r="M192" s="275">
        <v>80000</v>
      </c>
      <c r="N192" s="103">
        <v>0</v>
      </c>
      <c r="O192" s="106"/>
      <c r="P192" s="103">
        <v>0</v>
      </c>
      <c r="Q192" s="276">
        <f t="shared" si="28"/>
        <v>80000</v>
      </c>
      <c r="R192" s="276"/>
      <c r="S192" s="276"/>
      <c r="T192" s="277">
        <v>85069.06</v>
      </c>
      <c r="U192" s="278"/>
      <c r="V192" s="279">
        <f t="shared" si="27"/>
        <v>5069.0599999999977</v>
      </c>
      <c r="W192" s="103"/>
      <c r="X192" s="112">
        <f t="shared" si="37"/>
        <v>80000</v>
      </c>
      <c r="Y192" s="112">
        <f t="shared" si="38"/>
        <v>0</v>
      </c>
      <c r="Z192" s="113">
        <f t="shared" si="39"/>
        <v>0</v>
      </c>
      <c r="AA192" s="113">
        <v>0</v>
      </c>
      <c r="AB192" s="114">
        <v>0</v>
      </c>
      <c r="AC192" s="11">
        <f t="shared" si="40"/>
        <v>0</v>
      </c>
      <c r="AD192" s="115" t="e">
        <f t="shared" si="30"/>
        <v>#REF!</v>
      </c>
      <c r="AE192" s="115">
        <f t="shared" si="31"/>
        <v>0</v>
      </c>
      <c r="AF192" s="115">
        <f t="shared" si="32"/>
        <v>0</v>
      </c>
      <c r="AG192" s="11"/>
      <c r="AH192" s="115">
        <f t="shared" si="34"/>
        <v>80000</v>
      </c>
      <c r="AI192" s="115">
        <f t="shared" si="35"/>
        <v>0</v>
      </c>
      <c r="AJ192" s="115">
        <f t="shared" si="36"/>
        <v>0</v>
      </c>
      <c r="AL192" s="11" t="e">
        <f t="shared" si="33"/>
        <v>#REF!</v>
      </c>
      <c r="AM192" s="269" t="s">
        <v>292</v>
      </c>
    </row>
    <row r="193" spans="1:39">
      <c r="A193" s="129"/>
      <c r="B193" s="129" t="s">
        <v>49</v>
      </c>
      <c r="C193" s="96"/>
      <c r="D193" s="120" t="s">
        <v>293</v>
      </c>
      <c r="E193" s="98"/>
      <c r="F193" s="99" t="e">
        <f>VLOOKUP(D193,#REF!,19,FALSE)</f>
        <v>#REF!</v>
      </c>
      <c r="G193" s="100"/>
      <c r="H193" s="100"/>
      <c r="I193" s="101"/>
      <c r="J193" s="102" t="e">
        <f t="shared" si="29"/>
        <v>#REF!</v>
      </c>
      <c r="K193" s="103"/>
      <c r="L193" s="104"/>
      <c r="M193" s="105"/>
      <c r="N193" s="103">
        <v>0</v>
      </c>
      <c r="O193" s="106"/>
      <c r="P193" s="103">
        <v>0</v>
      </c>
      <c r="Q193" s="107">
        <f t="shared" si="28"/>
        <v>0</v>
      </c>
      <c r="R193" s="107"/>
      <c r="S193" s="107"/>
      <c r="T193" s="108">
        <v>0</v>
      </c>
      <c r="U193" s="119"/>
      <c r="V193" s="110">
        <f t="shared" si="27"/>
        <v>0</v>
      </c>
      <c r="W193" s="103"/>
      <c r="X193" s="112">
        <f t="shared" si="37"/>
        <v>0</v>
      </c>
      <c r="Y193" s="112">
        <f t="shared" si="38"/>
        <v>0</v>
      </c>
      <c r="Z193" s="113">
        <f t="shared" si="39"/>
        <v>0</v>
      </c>
      <c r="AA193" s="113">
        <v>0</v>
      </c>
      <c r="AB193" s="114">
        <v>0</v>
      </c>
      <c r="AC193" s="11">
        <f t="shared" si="40"/>
        <v>0</v>
      </c>
      <c r="AD193" s="115" t="e">
        <f t="shared" si="30"/>
        <v>#REF!</v>
      </c>
      <c r="AE193" s="115">
        <f t="shared" si="31"/>
        <v>0</v>
      </c>
      <c r="AF193" s="115">
        <f t="shared" si="32"/>
        <v>0</v>
      </c>
      <c r="AG193" s="11"/>
      <c r="AH193" s="115">
        <f t="shared" si="34"/>
        <v>0</v>
      </c>
      <c r="AI193" s="115">
        <f t="shared" si="35"/>
        <v>0</v>
      </c>
      <c r="AJ193" s="115">
        <f t="shared" si="36"/>
        <v>0</v>
      </c>
      <c r="AL193" s="11" t="e">
        <f t="shared" si="33"/>
        <v>#REF!</v>
      </c>
      <c r="AM193" s="120" t="s">
        <v>293</v>
      </c>
    </row>
    <row r="194" spans="1:39" hidden="1">
      <c r="A194" s="129"/>
      <c r="B194" s="129" t="s">
        <v>46</v>
      </c>
      <c r="C194" s="96"/>
      <c r="D194" s="120" t="s">
        <v>294</v>
      </c>
      <c r="E194" s="98"/>
      <c r="F194" s="99" t="e">
        <f>VLOOKUP(D194,#REF!,19,FALSE)</f>
        <v>#REF!</v>
      </c>
      <c r="G194" s="100"/>
      <c r="H194" s="100"/>
      <c r="I194" s="101"/>
      <c r="J194" s="102" t="e">
        <f t="shared" si="29"/>
        <v>#REF!</v>
      </c>
      <c r="K194" s="103"/>
      <c r="L194" s="104"/>
      <c r="M194" s="105"/>
      <c r="N194" s="103">
        <v>0</v>
      </c>
      <c r="O194" s="106"/>
      <c r="P194" s="103">
        <v>0</v>
      </c>
      <c r="Q194" s="107">
        <f t="shared" si="28"/>
        <v>0</v>
      </c>
      <c r="R194" s="107"/>
      <c r="S194" s="107"/>
      <c r="T194" s="108">
        <v>0</v>
      </c>
      <c r="U194" s="119"/>
      <c r="V194" s="110">
        <f t="shared" si="27"/>
        <v>0</v>
      </c>
      <c r="W194" s="103"/>
      <c r="X194" s="112">
        <f t="shared" si="37"/>
        <v>0</v>
      </c>
      <c r="Y194" s="112">
        <f t="shared" si="38"/>
        <v>0</v>
      </c>
      <c r="Z194" s="113">
        <f t="shared" si="39"/>
        <v>0</v>
      </c>
      <c r="AA194" s="113">
        <v>0</v>
      </c>
      <c r="AB194" s="114">
        <v>0</v>
      </c>
      <c r="AC194" s="11">
        <f t="shared" si="40"/>
        <v>0</v>
      </c>
      <c r="AD194" s="115">
        <f t="shared" si="30"/>
        <v>0</v>
      </c>
      <c r="AE194" s="115" t="e">
        <f t="shared" si="31"/>
        <v>#REF!</v>
      </c>
      <c r="AF194" s="115">
        <f t="shared" si="32"/>
        <v>0</v>
      </c>
      <c r="AG194" s="11"/>
      <c r="AH194" s="115">
        <f t="shared" si="34"/>
        <v>0</v>
      </c>
      <c r="AI194" s="115">
        <f t="shared" si="35"/>
        <v>0</v>
      </c>
      <c r="AJ194" s="115">
        <f t="shared" si="36"/>
        <v>0</v>
      </c>
      <c r="AL194" s="11" t="e">
        <f t="shared" si="33"/>
        <v>#REF!</v>
      </c>
      <c r="AM194" s="120" t="s">
        <v>294</v>
      </c>
    </row>
    <row r="195" spans="1:39">
      <c r="A195" s="129"/>
      <c r="B195" s="129" t="s">
        <v>46</v>
      </c>
      <c r="C195" s="96"/>
      <c r="D195" s="120" t="s">
        <v>295</v>
      </c>
      <c r="E195" s="98"/>
      <c r="F195" s="99" t="e">
        <f>VLOOKUP(D195,#REF!,19,FALSE)</f>
        <v>#REF!</v>
      </c>
      <c r="G195" s="100"/>
      <c r="H195" s="100"/>
      <c r="I195" s="101"/>
      <c r="J195" s="102" t="e">
        <f t="shared" si="29"/>
        <v>#REF!</v>
      </c>
      <c r="K195" s="103"/>
      <c r="L195" s="104"/>
      <c r="M195" s="105"/>
      <c r="N195" s="103">
        <v>0</v>
      </c>
      <c r="O195" s="106"/>
      <c r="P195" s="103">
        <v>0</v>
      </c>
      <c r="Q195" s="107">
        <f t="shared" si="28"/>
        <v>0</v>
      </c>
      <c r="R195" s="107"/>
      <c r="S195" s="107"/>
      <c r="T195" s="108">
        <v>0</v>
      </c>
      <c r="U195" s="119"/>
      <c r="V195" s="110">
        <f t="shared" si="27"/>
        <v>0</v>
      </c>
      <c r="W195" s="103"/>
      <c r="X195" s="112">
        <f t="shared" si="37"/>
        <v>0</v>
      </c>
      <c r="Y195" s="112">
        <f t="shared" si="38"/>
        <v>0</v>
      </c>
      <c r="Z195" s="113">
        <f t="shared" si="39"/>
        <v>0</v>
      </c>
      <c r="AA195" s="113">
        <v>0</v>
      </c>
      <c r="AB195" s="114">
        <v>0</v>
      </c>
      <c r="AC195" s="11">
        <f t="shared" si="40"/>
        <v>0</v>
      </c>
      <c r="AD195" s="115">
        <f t="shared" si="30"/>
        <v>0</v>
      </c>
      <c r="AE195" s="115" t="e">
        <f t="shared" si="31"/>
        <v>#REF!</v>
      </c>
      <c r="AF195" s="115">
        <f t="shared" si="32"/>
        <v>0</v>
      </c>
      <c r="AG195" s="11"/>
      <c r="AH195" s="115">
        <f t="shared" si="34"/>
        <v>0</v>
      </c>
      <c r="AI195" s="115">
        <f t="shared" si="35"/>
        <v>0</v>
      </c>
      <c r="AJ195" s="115">
        <f t="shared" si="36"/>
        <v>0</v>
      </c>
      <c r="AL195" s="11" t="e">
        <f t="shared" si="33"/>
        <v>#REF!</v>
      </c>
      <c r="AM195" s="120" t="s">
        <v>295</v>
      </c>
    </row>
    <row r="196" spans="1:39" hidden="1">
      <c r="A196" s="129"/>
      <c r="B196" s="129" t="s">
        <v>46</v>
      </c>
      <c r="C196" s="96"/>
      <c r="D196" s="120" t="s">
        <v>296</v>
      </c>
      <c r="E196" s="98"/>
      <c r="F196" s="99" t="e">
        <f>VLOOKUP(D196,#REF!,19,FALSE)</f>
        <v>#REF!</v>
      </c>
      <c r="G196" s="100"/>
      <c r="H196" s="100"/>
      <c r="I196" s="101"/>
      <c r="J196" s="102" t="e">
        <f t="shared" si="29"/>
        <v>#REF!</v>
      </c>
      <c r="K196" s="103"/>
      <c r="L196" s="104"/>
      <c r="M196" s="105"/>
      <c r="N196" s="103">
        <v>0</v>
      </c>
      <c r="O196" s="106"/>
      <c r="P196" s="103">
        <v>0</v>
      </c>
      <c r="Q196" s="107">
        <f t="shared" si="28"/>
        <v>0</v>
      </c>
      <c r="R196" s="107"/>
      <c r="S196" s="107"/>
      <c r="T196" s="108">
        <v>0</v>
      </c>
      <c r="U196" s="119"/>
      <c r="V196" s="110">
        <f t="shared" si="27"/>
        <v>0</v>
      </c>
      <c r="W196" s="103"/>
      <c r="X196" s="112">
        <f t="shared" si="37"/>
        <v>0</v>
      </c>
      <c r="Y196" s="112">
        <f t="shared" si="38"/>
        <v>0</v>
      </c>
      <c r="Z196" s="113">
        <f t="shared" si="39"/>
        <v>0</v>
      </c>
      <c r="AA196" s="113">
        <v>0</v>
      </c>
      <c r="AB196" s="114">
        <v>0</v>
      </c>
      <c r="AC196" s="11">
        <f t="shared" si="40"/>
        <v>0</v>
      </c>
      <c r="AD196" s="115">
        <f t="shared" si="30"/>
        <v>0</v>
      </c>
      <c r="AE196" s="115" t="e">
        <f t="shared" si="31"/>
        <v>#REF!</v>
      </c>
      <c r="AF196" s="115">
        <f t="shared" si="32"/>
        <v>0</v>
      </c>
      <c r="AG196" s="11"/>
      <c r="AH196" s="115">
        <f t="shared" si="34"/>
        <v>0</v>
      </c>
      <c r="AI196" s="115">
        <f t="shared" si="35"/>
        <v>0</v>
      </c>
      <c r="AJ196" s="115">
        <f t="shared" si="36"/>
        <v>0</v>
      </c>
      <c r="AL196" s="11" t="e">
        <f t="shared" si="33"/>
        <v>#REF!</v>
      </c>
      <c r="AM196" s="120" t="s">
        <v>296</v>
      </c>
    </row>
    <row r="197" spans="1:39">
      <c r="A197" s="129"/>
      <c r="B197" s="129" t="s">
        <v>49</v>
      </c>
      <c r="C197" s="96"/>
      <c r="D197" s="120" t="s">
        <v>297</v>
      </c>
      <c r="E197" s="98"/>
      <c r="F197" s="99" t="e">
        <f>VLOOKUP(D197,#REF!,19,FALSE)</f>
        <v>#REF!</v>
      </c>
      <c r="G197" s="100"/>
      <c r="H197" s="100"/>
      <c r="I197" s="101"/>
      <c r="J197" s="102" t="e">
        <f t="shared" si="29"/>
        <v>#REF!</v>
      </c>
      <c r="K197" s="103"/>
      <c r="L197" s="104"/>
      <c r="M197" s="105"/>
      <c r="N197" s="103">
        <v>0</v>
      </c>
      <c r="O197" s="106"/>
      <c r="P197" s="103">
        <v>0</v>
      </c>
      <c r="Q197" s="107">
        <f t="shared" si="28"/>
        <v>0</v>
      </c>
      <c r="R197" s="107"/>
      <c r="S197" s="107"/>
      <c r="T197" s="108">
        <v>0</v>
      </c>
      <c r="U197" s="119"/>
      <c r="V197" s="110">
        <f t="shared" si="27"/>
        <v>0</v>
      </c>
      <c r="W197" s="103"/>
      <c r="X197" s="112">
        <f t="shared" si="37"/>
        <v>0</v>
      </c>
      <c r="Y197" s="112">
        <f t="shared" si="38"/>
        <v>0</v>
      </c>
      <c r="Z197" s="113">
        <f t="shared" si="39"/>
        <v>0</v>
      </c>
      <c r="AA197" s="113">
        <v>0</v>
      </c>
      <c r="AB197" s="114">
        <v>0</v>
      </c>
      <c r="AC197" s="11">
        <f t="shared" si="40"/>
        <v>0</v>
      </c>
      <c r="AD197" s="115" t="e">
        <f t="shared" si="30"/>
        <v>#REF!</v>
      </c>
      <c r="AE197" s="115">
        <f t="shared" si="31"/>
        <v>0</v>
      </c>
      <c r="AF197" s="115">
        <f t="shared" si="32"/>
        <v>0</v>
      </c>
      <c r="AG197" s="11"/>
      <c r="AH197" s="115">
        <f t="shared" si="34"/>
        <v>0</v>
      </c>
      <c r="AI197" s="115">
        <f t="shared" si="35"/>
        <v>0</v>
      </c>
      <c r="AJ197" s="115">
        <f t="shared" si="36"/>
        <v>0</v>
      </c>
      <c r="AL197" s="11" t="e">
        <f t="shared" si="33"/>
        <v>#REF!</v>
      </c>
      <c r="AM197" s="120" t="s">
        <v>297</v>
      </c>
    </row>
    <row r="198" spans="1:39">
      <c r="A198" s="129"/>
      <c r="B198" s="129" t="s">
        <v>46</v>
      </c>
      <c r="C198" s="96" t="s">
        <v>298</v>
      </c>
      <c r="D198" s="120" t="s">
        <v>299</v>
      </c>
      <c r="E198" s="98"/>
      <c r="F198" s="99" t="e">
        <f>VLOOKUP(D198,#REF!,19,FALSE)</f>
        <v>#REF!</v>
      </c>
      <c r="G198" s="100"/>
      <c r="H198" s="100"/>
      <c r="I198" s="101"/>
      <c r="J198" s="102" t="e">
        <f t="shared" si="29"/>
        <v>#REF!</v>
      </c>
      <c r="K198" s="103"/>
      <c r="L198" s="104"/>
      <c r="M198" s="105"/>
      <c r="N198" s="103">
        <v>0</v>
      </c>
      <c r="O198" s="106"/>
      <c r="P198" s="103">
        <v>0</v>
      </c>
      <c r="Q198" s="107">
        <f t="shared" si="28"/>
        <v>0</v>
      </c>
      <c r="R198" s="107"/>
      <c r="S198" s="107"/>
      <c r="T198" s="108">
        <v>0</v>
      </c>
      <c r="U198" s="119"/>
      <c r="V198" s="110">
        <f t="shared" si="27"/>
        <v>0</v>
      </c>
      <c r="W198" s="103"/>
      <c r="X198" s="112">
        <f t="shared" si="37"/>
        <v>0</v>
      </c>
      <c r="Y198" s="112">
        <f t="shared" si="38"/>
        <v>0</v>
      </c>
      <c r="Z198" s="113">
        <f t="shared" si="39"/>
        <v>0</v>
      </c>
      <c r="AA198" s="113">
        <v>0</v>
      </c>
      <c r="AB198" s="114">
        <v>0</v>
      </c>
      <c r="AC198" s="11">
        <f t="shared" si="40"/>
        <v>0</v>
      </c>
      <c r="AD198" s="115">
        <f t="shared" si="30"/>
        <v>0</v>
      </c>
      <c r="AE198" s="115" t="e">
        <f t="shared" si="31"/>
        <v>#REF!</v>
      </c>
      <c r="AF198" s="115">
        <f t="shared" si="32"/>
        <v>0</v>
      </c>
      <c r="AG198" s="11"/>
      <c r="AH198" s="115">
        <f t="shared" si="34"/>
        <v>0</v>
      </c>
      <c r="AI198" s="115">
        <f t="shared" si="35"/>
        <v>0</v>
      </c>
      <c r="AJ198" s="115">
        <f t="shared" si="36"/>
        <v>0</v>
      </c>
      <c r="AL198" s="11" t="e">
        <f t="shared" si="33"/>
        <v>#REF!</v>
      </c>
      <c r="AM198" s="120" t="s">
        <v>299</v>
      </c>
    </row>
    <row r="199" spans="1:39" hidden="1">
      <c r="A199" s="116"/>
      <c r="B199" s="116" t="s">
        <v>49</v>
      </c>
      <c r="C199" s="122" t="s">
        <v>300</v>
      </c>
      <c r="D199" s="120" t="s">
        <v>301</v>
      </c>
      <c r="E199" s="98"/>
      <c r="F199" s="99" t="e">
        <f>VLOOKUP(D199,#REF!,19,FALSE)</f>
        <v>#REF!</v>
      </c>
      <c r="G199" s="100"/>
      <c r="H199" s="100"/>
      <c r="I199" s="101"/>
      <c r="J199" s="102" t="e">
        <f t="shared" si="29"/>
        <v>#REF!</v>
      </c>
      <c r="K199" s="103"/>
      <c r="L199" s="104"/>
      <c r="M199" s="105"/>
      <c r="N199" s="103">
        <v>0</v>
      </c>
      <c r="O199" s="106"/>
      <c r="P199" s="103">
        <v>0</v>
      </c>
      <c r="Q199" s="107">
        <f t="shared" si="28"/>
        <v>0</v>
      </c>
      <c r="R199" s="107"/>
      <c r="S199" s="107"/>
      <c r="T199" s="108">
        <v>0</v>
      </c>
      <c r="U199" s="119"/>
      <c r="V199" s="110">
        <f t="shared" si="27"/>
        <v>0</v>
      </c>
      <c r="W199" s="103"/>
      <c r="X199" s="112">
        <f t="shared" si="37"/>
        <v>0</v>
      </c>
      <c r="Y199" s="112">
        <f t="shared" si="38"/>
        <v>0</v>
      </c>
      <c r="Z199" s="113">
        <f t="shared" si="39"/>
        <v>0</v>
      </c>
      <c r="AA199" s="113">
        <v>0</v>
      </c>
      <c r="AB199" s="114">
        <v>0</v>
      </c>
      <c r="AC199" s="11">
        <f t="shared" si="40"/>
        <v>0</v>
      </c>
      <c r="AD199" s="115" t="e">
        <f t="shared" si="30"/>
        <v>#REF!</v>
      </c>
      <c r="AE199" s="115">
        <f t="shared" si="31"/>
        <v>0</v>
      </c>
      <c r="AF199" s="115">
        <f t="shared" si="32"/>
        <v>0</v>
      </c>
      <c r="AG199" s="11"/>
      <c r="AH199" s="115">
        <f t="shared" si="34"/>
        <v>0</v>
      </c>
      <c r="AI199" s="115">
        <f t="shared" si="35"/>
        <v>0</v>
      </c>
      <c r="AJ199" s="115">
        <f t="shared" si="36"/>
        <v>0</v>
      </c>
      <c r="AL199" s="11" t="e">
        <f t="shared" si="33"/>
        <v>#REF!</v>
      </c>
      <c r="AM199" s="120" t="s">
        <v>301</v>
      </c>
    </row>
    <row r="200" spans="1:39">
      <c r="A200" s="116"/>
      <c r="B200" s="116" t="s">
        <v>49</v>
      </c>
      <c r="C200" s="122"/>
      <c r="D200" s="120" t="s">
        <v>302</v>
      </c>
      <c r="E200" s="98"/>
      <c r="F200" s="99" t="e">
        <f>VLOOKUP(D200,#REF!,19,FALSE)</f>
        <v>#REF!</v>
      </c>
      <c r="G200" s="100"/>
      <c r="H200" s="100"/>
      <c r="I200" s="101"/>
      <c r="J200" s="102" t="e">
        <f t="shared" si="29"/>
        <v>#REF!</v>
      </c>
      <c r="K200" s="103"/>
      <c r="L200" s="104"/>
      <c r="M200" s="105"/>
      <c r="N200" s="103">
        <v>0</v>
      </c>
      <c r="O200" s="106"/>
      <c r="P200" s="103">
        <v>0</v>
      </c>
      <c r="Q200" s="107">
        <f t="shared" si="28"/>
        <v>0</v>
      </c>
      <c r="R200" s="107"/>
      <c r="S200" s="107"/>
      <c r="T200" s="108">
        <v>341.91</v>
      </c>
      <c r="U200" s="119"/>
      <c r="V200" s="110">
        <f t="shared" si="27"/>
        <v>341.91</v>
      </c>
      <c r="W200" s="103"/>
      <c r="X200" s="112">
        <f t="shared" si="37"/>
        <v>0</v>
      </c>
      <c r="Y200" s="112">
        <f t="shared" si="38"/>
        <v>0</v>
      </c>
      <c r="Z200" s="113">
        <f t="shared" si="39"/>
        <v>0</v>
      </c>
      <c r="AA200" s="113">
        <v>0</v>
      </c>
      <c r="AB200" s="114">
        <v>0</v>
      </c>
      <c r="AC200" s="11">
        <f t="shared" si="40"/>
        <v>0</v>
      </c>
      <c r="AD200" s="115" t="e">
        <f t="shared" si="30"/>
        <v>#REF!</v>
      </c>
      <c r="AE200" s="115">
        <f t="shared" si="31"/>
        <v>0</v>
      </c>
      <c r="AF200" s="115">
        <f t="shared" si="32"/>
        <v>0</v>
      </c>
      <c r="AG200" s="11"/>
      <c r="AH200" s="115">
        <f t="shared" si="34"/>
        <v>0</v>
      </c>
      <c r="AI200" s="115">
        <f t="shared" si="35"/>
        <v>0</v>
      </c>
      <c r="AJ200" s="115">
        <f t="shared" si="36"/>
        <v>0</v>
      </c>
      <c r="AL200" s="11" t="e">
        <f t="shared" si="33"/>
        <v>#REF!</v>
      </c>
      <c r="AM200" s="120" t="s">
        <v>302</v>
      </c>
    </row>
    <row r="201" spans="1:39">
      <c r="A201" s="129"/>
      <c r="B201" s="129" t="s">
        <v>49</v>
      </c>
      <c r="C201" s="96"/>
      <c r="D201" s="120" t="s">
        <v>303</v>
      </c>
      <c r="E201" s="98"/>
      <c r="F201" s="99" t="e">
        <f>VLOOKUP(D201,#REF!,19,FALSE)</f>
        <v>#REF!</v>
      </c>
      <c r="G201" s="100"/>
      <c r="H201" s="100"/>
      <c r="I201" s="101"/>
      <c r="J201" s="102" t="e">
        <f t="shared" si="29"/>
        <v>#REF!</v>
      </c>
      <c r="K201" s="103"/>
      <c r="L201" s="104"/>
      <c r="M201" s="105"/>
      <c r="N201" s="103">
        <v>0</v>
      </c>
      <c r="O201" s="106"/>
      <c r="P201" s="103">
        <v>0</v>
      </c>
      <c r="Q201" s="107">
        <f t="shared" si="28"/>
        <v>0</v>
      </c>
      <c r="R201" s="107"/>
      <c r="S201" s="107"/>
      <c r="T201" s="108">
        <v>0</v>
      </c>
      <c r="U201" s="119"/>
      <c r="V201" s="110">
        <f t="shared" si="27"/>
        <v>0</v>
      </c>
      <c r="W201" s="103"/>
      <c r="X201" s="112">
        <f t="shared" si="37"/>
        <v>0</v>
      </c>
      <c r="Y201" s="112">
        <f t="shared" si="38"/>
        <v>0</v>
      </c>
      <c r="Z201" s="113">
        <f t="shared" si="39"/>
        <v>0</v>
      </c>
      <c r="AA201" s="113">
        <v>0</v>
      </c>
      <c r="AB201" s="114">
        <v>0</v>
      </c>
      <c r="AC201" s="11">
        <f t="shared" si="40"/>
        <v>0</v>
      </c>
      <c r="AD201" s="115" t="e">
        <f t="shared" si="30"/>
        <v>#REF!</v>
      </c>
      <c r="AE201" s="115">
        <f t="shared" si="31"/>
        <v>0</v>
      </c>
      <c r="AF201" s="115">
        <f t="shared" si="32"/>
        <v>0</v>
      </c>
      <c r="AG201" s="11"/>
      <c r="AH201" s="115">
        <f t="shared" si="34"/>
        <v>0</v>
      </c>
      <c r="AI201" s="115">
        <f t="shared" si="35"/>
        <v>0</v>
      </c>
      <c r="AJ201" s="115">
        <f t="shared" si="36"/>
        <v>0</v>
      </c>
      <c r="AL201" s="11" t="e">
        <f t="shared" si="33"/>
        <v>#REF!</v>
      </c>
      <c r="AM201" s="120" t="s">
        <v>281</v>
      </c>
    </row>
    <row r="202" spans="1:39">
      <c r="A202" s="116"/>
      <c r="B202" s="116" t="s">
        <v>49</v>
      </c>
      <c r="C202" s="126" t="s">
        <v>304</v>
      </c>
      <c r="D202" s="120" t="s">
        <v>305</v>
      </c>
      <c r="E202" s="98"/>
      <c r="F202" s="99" t="e">
        <f>VLOOKUP(D202,#REF!,19,FALSE)</f>
        <v>#REF!</v>
      </c>
      <c r="G202" s="100"/>
      <c r="H202" s="100"/>
      <c r="I202" s="101"/>
      <c r="J202" s="102" t="e">
        <f t="shared" si="29"/>
        <v>#REF!</v>
      </c>
      <c r="K202" s="103"/>
      <c r="L202" s="104"/>
      <c r="M202" s="105"/>
      <c r="N202" s="103">
        <v>0</v>
      </c>
      <c r="O202" s="106"/>
      <c r="P202" s="103">
        <v>0</v>
      </c>
      <c r="Q202" s="107">
        <f t="shared" si="28"/>
        <v>0</v>
      </c>
      <c r="R202" s="107"/>
      <c r="S202" s="107"/>
      <c r="T202" s="108">
        <v>0</v>
      </c>
      <c r="U202" s="119"/>
      <c r="V202" s="110">
        <f t="shared" si="27"/>
        <v>0</v>
      </c>
      <c r="W202" s="103"/>
      <c r="X202" s="112">
        <f t="shared" si="37"/>
        <v>0</v>
      </c>
      <c r="Y202" s="112">
        <f t="shared" si="38"/>
        <v>0</v>
      </c>
      <c r="Z202" s="113">
        <f t="shared" si="39"/>
        <v>0</v>
      </c>
      <c r="AA202" s="113">
        <v>0</v>
      </c>
      <c r="AB202" s="114">
        <v>0</v>
      </c>
      <c r="AC202" s="11">
        <f t="shared" si="40"/>
        <v>0</v>
      </c>
      <c r="AD202" s="115" t="e">
        <f t="shared" si="30"/>
        <v>#REF!</v>
      </c>
      <c r="AE202" s="115">
        <f t="shared" si="31"/>
        <v>0</v>
      </c>
      <c r="AF202" s="115">
        <f t="shared" si="32"/>
        <v>0</v>
      </c>
      <c r="AG202" s="11"/>
      <c r="AH202" s="115">
        <f t="shared" si="34"/>
        <v>0</v>
      </c>
      <c r="AI202" s="115">
        <f t="shared" si="35"/>
        <v>0</v>
      </c>
      <c r="AJ202" s="115">
        <f t="shared" si="36"/>
        <v>0</v>
      </c>
      <c r="AL202" s="11" t="e">
        <f t="shared" si="33"/>
        <v>#REF!</v>
      </c>
      <c r="AM202" s="120" t="s">
        <v>305</v>
      </c>
    </row>
    <row r="203" spans="1:39">
      <c r="A203" s="129"/>
      <c r="B203" s="129" t="s">
        <v>49</v>
      </c>
      <c r="C203" s="96"/>
      <c r="D203" s="144" t="s">
        <v>306</v>
      </c>
      <c r="E203" s="98"/>
      <c r="F203" s="99" t="e">
        <f>VLOOKUP(D203,#REF!,19,FALSE)</f>
        <v>#REF!</v>
      </c>
      <c r="G203" s="100"/>
      <c r="H203" s="100"/>
      <c r="I203" s="101"/>
      <c r="J203" s="102" t="e">
        <f t="shared" si="29"/>
        <v>#REF!</v>
      </c>
      <c r="K203" s="103"/>
      <c r="L203" s="104"/>
      <c r="M203" s="105"/>
      <c r="N203" s="103">
        <v>0</v>
      </c>
      <c r="O203" s="106"/>
      <c r="P203" s="103">
        <v>0</v>
      </c>
      <c r="Q203" s="107">
        <f t="shared" si="28"/>
        <v>0</v>
      </c>
      <c r="R203" s="107"/>
      <c r="S203" s="107"/>
      <c r="T203" s="108">
        <v>0</v>
      </c>
      <c r="U203" s="119"/>
      <c r="V203" s="110">
        <f t="shared" si="27"/>
        <v>0</v>
      </c>
      <c r="W203" s="103"/>
      <c r="X203" s="112">
        <f t="shared" si="37"/>
        <v>0</v>
      </c>
      <c r="Y203" s="112">
        <f t="shared" si="38"/>
        <v>0</v>
      </c>
      <c r="Z203" s="113">
        <f t="shared" si="39"/>
        <v>0</v>
      </c>
      <c r="AA203" s="113">
        <v>0</v>
      </c>
      <c r="AB203" s="114">
        <v>0</v>
      </c>
      <c r="AC203" s="11">
        <f t="shared" si="40"/>
        <v>0</v>
      </c>
      <c r="AD203" s="115" t="e">
        <f t="shared" si="30"/>
        <v>#REF!</v>
      </c>
      <c r="AE203" s="115">
        <f t="shared" si="31"/>
        <v>0</v>
      </c>
      <c r="AF203" s="115">
        <f t="shared" si="32"/>
        <v>0</v>
      </c>
      <c r="AG203" s="11"/>
      <c r="AH203" s="115">
        <f t="shared" si="34"/>
        <v>0</v>
      </c>
      <c r="AI203" s="115">
        <f t="shared" si="35"/>
        <v>0</v>
      </c>
      <c r="AJ203" s="115">
        <f t="shared" si="36"/>
        <v>0</v>
      </c>
      <c r="AL203" s="11" t="e">
        <f t="shared" si="33"/>
        <v>#REF!</v>
      </c>
      <c r="AM203" s="144" t="s">
        <v>285</v>
      </c>
    </row>
    <row r="204" spans="1:39">
      <c r="A204" s="116"/>
      <c r="B204" s="116" t="s">
        <v>46</v>
      </c>
      <c r="C204" s="122" t="s">
        <v>307</v>
      </c>
      <c r="D204" s="120" t="s">
        <v>308</v>
      </c>
      <c r="E204" s="98"/>
      <c r="F204" s="99" t="e">
        <f>VLOOKUP(D204,#REF!,19,FALSE)</f>
        <v>#REF!</v>
      </c>
      <c r="G204" s="100"/>
      <c r="H204" s="100"/>
      <c r="I204" s="125">
        <v>10369.15</v>
      </c>
      <c r="J204" s="102" t="e">
        <f t="shared" si="29"/>
        <v>#REF!</v>
      </c>
      <c r="K204" s="103"/>
      <c r="L204" s="104"/>
      <c r="M204" s="105"/>
      <c r="N204" s="103">
        <v>0</v>
      </c>
      <c r="O204" s="106"/>
      <c r="P204" s="103">
        <v>0</v>
      </c>
      <c r="Q204" s="107">
        <f t="shared" si="28"/>
        <v>0</v>
      </c>
      <c r="R204" s="107"/>
      <c r="S204" s="107"/>
      <c r="T204" s="108">
        <v>0</v>
      </c>
      <c r="U204" s="119"/>
      <c r="V204" s="110">
        <f t="shared" si="27"/>
        <v>0</v>
      </c>
      <c r="W204" s="103"/>
      <c r="X204" s="112">
        <f t="shared" si="37"/>
        <v>0</v>
      </c>
      <c r="Y204" s="112">
        <f t="shared" si="38"/>
        <v>0</v>
      </c>
      <c r="Z204" s="113">
        <f t="shared" si="39"/>
        <v>0</v>
      </c>
      <c r="AA204" s="113">
        <v>0</v>
      </c>
      <c r="AB204" s="114">
        <v>0</v>
      </c>
      <c r="AC204" s="11">
        <f t="shared" si="40"/>
        <v>0</v>
      </c>
      <c r="AD204" s="115">
        <f t="shared" si="30"/>
        <v>0</v>
      </c>
      <c r="AE204" s="115" t="e">
        <f t="shared" si="31"/>
        <v>#REF!</v>
      </c>
      <c r="AF204" s="115">
        <f t="shared" si="32"/>
        <v>0</v>
      </c>
      <c r="AG204" s="11"/>
      <c r="AH204" s="115">
        <f t="shared" si="34"/>
        <v>0</v>
      </c>
      <c r="AI204" s="115">
        <f t="shared" si="35"/>
        <v>0</v>
      </c>
      <c r="AJ204" s="115">
        <f t="shared" si="36"/>
        <v>0</v>
      </c>
      <c r="AL204" s="11" t="e">
        <f t="shared" si="33"/>
        <v>#REF!</v>
      </c>
      <c r="AM204" s="120" t="s">
        <v>308</v>
      </c>
    </row>
    <row r="205" spans="1:39">
      <c r="A205" s="116"/>
      <c r="B205" s="116" t="s">
        <v>46</v>
      </c>
      <c r="C205" s="122" t="s">
        <v>307</v>
      </c>
      <c r="D205" s="120" t="s">
        <v>309</v>
      </c>
      <c r="E205" s="98"/>
      <c r="F205" s="99" t="e">
        <f>VLOOKUP(D205,#REF!,19,FALSE)</f>
        <v>#REF!</v>
      </c>
      <c r="G205" s="100"/>
      <c r="H205" s="100"/>
      <c r="I205" s="125">
        <v>7645.14</v>
      </c>
      <c r="J205" s="102" t="e">
        <f t="shared" si="29"/>
        <v>#REF!</v>
      </c>
      <c r="K205" s="103"/>
      <c r="L205" s="104"/>
      <c r="M205" s="105"/>
      <c r="N205" s="103">
        <v>0</v>
      </c>
      <c r="O205" s="106"/>
      <c r="P205" s="103">
        <v>0</v>
      </c>
      <c r="Q205" s="107">
        <f t="shared" si="28"/>
        <v>0</v>
      </c>
      <c r="R205" s="107"/>
      <c r="S205" s="107"/>
      <c r="T205" s="108">
        <v>0</v>
      </c>
      <c r="U205" s="119"/>
      <c r="V205" s="110">
        <f t="shared" si="27"/>
        <v>0</v>
      </c>
      <c r="W205" s="103"/>
      <c r="X205" s="112">
        <f t="shared" si="37"/>
        <v>0</v>
      </c>
      <c r="Y205" s="112">
        <f t="shared" si="38"/>
        <v>0</v>
      </c>
      <c r="Z205" s="113">
        <f t="shared" si="39"/>
        <v>0</v>
      </c>
      <c r="AA205" s="113">
        <v>0</v>
      </c>
      <c r="AB205" s="114">
        <v>0</v>
      </c>
      <c r="AC205" s="11">
        <f t="shared" si="40"/>
        <v>0</v>
      </c>
      <c r="AD205" s="115">
        <f t="shared" si="30"/>
        <v>0</v>
      </c>
      <c r="AE205" s="115" t="e">
        <f t="shared" si="31"/>
        <v>#REF!</v>
      </c>
      <c r="AF205" s="115">
        <f t="shared" si="32"/>
        <v>0</v>
      </c>
      <c r="AG205" s="11"/>
      <c r="AH205" s="115">
        <f t="shared" si="34"/>
        <v>0</v>
      </c>
      <c r="AI205" s="115">
        <f t="shared" si="35"/>
        <v>0</v>
      </c>
      <c r="AJ205" s="115">
        <f t="shared" si="36"/>
        <v>0</v>
      </c>
      <c r="AL205" s="11" t="e">
        <f t="shared" si="33"/>
        <v>#REF!</v>
      </c>
      <c r="AM205" s="120" t="s">
        <v>309</v>
      </c>
    </row>
    <row r="206" spans="1:39" hidden="1">
      <c r="A206" s="129"/>
      <c r="B206" s="129" t="s">
        <v>46</v>
      </c>
      <c r="C206" s="122" t="s">
        <v>307</v>
      </c>
      <c r="D206" s="120" t="s">
        <v>310</v>
      </c>
      <c r="E206" s="98"/>
      <c r="F206" s="99" t="e">
        <f>VLOOKUP(D206,#REF!,19,FALSE)</f>
        <v>#REF!</v>
      </c>
      <c r="G206" s="100"/>
      <c r="H206" s="100"/>
      <c r="I206" s="101"/>
      <c r="J206" s="102" t="e">
        <f t="shared" si="29"/>
        <v>#REF!</v>
      </c>
      <c r="K206" s="103"/>
      <c r="L206" s="104"/>
      <c r="M206" s="105"/>
      <c r="N206" s="103">
        <v>0</v>
      </c>
      <c r="O206" s="106"/>
      <c r="P206" s="103">
        <v>0</v>
      </c>
      <c r="Q206" s="107">
        <f t="shared" si="28"/>
        <v>0</v>
      </c>
      <c r="R206" s="107"/>
      <c r="S206" s="107"/>
      <c r="T206" s="108">
        <v>0</v>
      </c>
      <c r="U206" s="119"/>
      <c r="V206" s="110">
        <f t="shared" si="27"/>
        <v>0</v>
      </c>
      <c r="W206" s="103"/>
      <c r="X206" s="112">
        <f t="shared" si="37"/>
        <v>0</v>
      </c>
      <c r="Y206" s="112">
        <f t="shared" si="38"/>
        <v>0</v>
      </c>
      <c r="Z206" s="113">
        <f t="shared" si="39"/>
        <v>0</v>
      </c>
      <c r="AA206" s="113">
        <v>0</v>
      </c>
      <c r="AB206" s="114">
        <v>0</v>
      </c>
      <c r="AC206" s="11">
        <f t="shared" si="40"/>
        <v>0</v>
      </c>
      <c r="AD206" s="115">
        <f t="shared" si="30"/>
        <v>0</v>
      </c>
      <c r="AE206" s="115" t="e">
        <f t="shared" si="31"/>
        <v>#REF!</v>
      </c>
      <c r="AF206" s="115">
        <f t="shared" si="32"/>
        <v>0</v>
      </c>
      <c r="AG206" s="11"/>
      <c r="AH206" s="115">
        <f t="shared" si="34"/>
        <v>0</v>
      </c>
      <c r="AI206" s="115">
        <f t="shared" si="35"/>
        <v>0</v>
      </c>
      <c r="AJ206" s="115">
        <f t="shared" si="36"/>
        <v>0</v>
      </c>
      <c r="AL206" s="11" t="e">
        <f t="shared" si="33"/>
        <v>#REF!</v>
      </c>
      <c r="AM206" s="120" t="s">
        <v>310</v>
      </c>
    </row>
    <row r="207" spans="1:39" hidden="1">
      <c r="A207" s="129"/>
      <c r="B207" s="129" t="s">
        <v>46</v>
      </c>
      <c r="C207" s="122" t="s">
        <v>307</v>
      </c>
      <c r="D207" s="120" t="s">
        <v>311</v>
      </c>
      <c r="E207" s="98"/>
      <c r="F207" s="99" t="e">
        <f>VLOOKUP(D207,#REF!,19,FALSE)</f>
        <v>#REF!</v>
      </c>
      <c r="G207" s="100"/>
      <c r="H207" s="100"/>
      <c r="I207" s="101"/>
      <c r="J207" s="102" t="e">
        <f t="shared" si="29"/>
        <v>#REF!</v>
      </c>
      <c r="K207" s="103"/>
      <c r="L207" s="104"/>
      <c r="M207" s="105"/>
      <c r="N207" s="103">
        <v>0</v>
      </c>
      <c r="O207" s="106"/>
      <c r="P207" s="103">
        <v>0</v>
      </c>
      <c r="Q207" s="107">
        <f t="shared" si="28"/>
        <v>0</v>
      </c>
      <c r="R207" s="107"/>
      <c r="S207" s="107"/>
      <c r="T207" s="108">
        <v>0</v>
      </c>
      <c r="U207" s="119"/>
      <c r="V207" s="110">
        <f t="shared" si="27"/>
        <v>0</v>
      </c>
      <c r="W207" s="103"/>
      <c r="X207" s="112">
        <f t="shared" si="37"/>
        <v>0</v>
      </c>
      <c r="Y207" s="112">
        <f t="shared" si="38"/>
        <v>0</v>
      </c>
      <c r="Z207" s="113">
        <f t="shared" si="39"/>
        <v>0</v>
      </c>
      <c r="AA207" s="113">
        <v>0</v>
      </c>
      <c r="AB207" s="114">
        <v>0</v>
      </c>
      <c r="AC207" s="11">
        <f t="shared" si="40"/>
        <v>0</v>
      </c>
      <c r="AD207" s="115">
        <f t="shared" si="30"/>
        <v>0</v>
      </c>
      <c r="AE207" s="115" t="e">
        <f t="shared" si="31"/>
        <v>#REF!</v>
      </c>
      <c r="AF207" s="115">
        <f t="shared" si="32"/>
        <v>0</v>
      </c>
      <c r="AG207" s="11"/>
      <c r="AH207" s="115">
        <f t="shared" si="34"/>
        <v>0</v>
      </c>
      <c r="AI207" s="115">
        <f t="shared" si="35"/>
        <v>0</v>
      </c>
      <c r="AJ207" s="115">
        <f t="shared" si="36"/>
        <v>0</v>
      </c>
      <c r="AL207" s="11" t="e">
        <f t="shared" si="33"/>
        <v>#REF!</v>
      </c>
      <c r="AM207" s="120" t="s">
        <v>311</v>
      </c>
    </row>
    <row r="208" spans="1:39">
      <c r="A208" s="129"/>
      <c r="B208" s="129" t="s">
        <v>46</v>
      </c>
      <c r="C208" s="96"/>
      <c r="D208" s="120" t="s">
        <v>312</v>
      </c>
      <c r="E208" s="98"/>
      <c r="F208" s="99" t="e">
        <f>VLOOKUP(D208,#REF!,19,FALSE)</f>
        <v>#REF!</v>
      </c>
      <c r="G208" s="100"/>
      <c r="H208" s="100"/>
      <c r="I208" s="101"/>
      <c r="J208" s="102" t="e">
        <f t="shared" si="29"/>
        <v>#REF!</v>
      </c>
      <c r="K208" s="103"/>
      <c r="L208" s="104"/>
      <c r="M208" s="105"/>
      <c r="N208" s="103">
        <v>0</v>
      </c>
      <c r="O208" s="106"/>
      <c r="P208" s="103">
        <v>0</v>
      </c>
      <c r="Q208" s="107">
        <f t="shared" si="28"/>
        <v>0</v>
      </c>
      <c r="R208" s="107"/>
      <c r="S208" s="107"/>
      <c r="T208" s="108">
        <v>0</v>
      </c>
      <c r="U208" s="119"/>
      <c r="V208" s="110">
        <f t="shared" ref="V208:V235" si="41">IF(T208="","",T208-Q208)</f>
        <v>0</v>
      </c>
      <c r="W208" s="133"/>
      <c r="X208" s="112">
        <f t="shared" si="37"/>
        <v>0</v>
      </c>
      <c r="Y208" s="112">
        <f t="shared" si="38"/>
        <v>0</v>
      </c>
      <c r="Z208" s="113">
        <f t="shared" si="39"/>
        <v>0</v>
      </c>
      <c r="AA208" s="113">
        <v>0</v>
      </c>
      <c r="AB208" s="114">
        <v>0</v>
      </c>
      <c r="AC208" s="11">
        <f t="shared" si="40"/>
        <v>0</v>
      </c>
      <c r="AD208" s="115">
        <f t="shared" si="30"/>
        <v>0</v>
      </c>
      <c r="AE208" s="115" t="e">
        <f t="shared" si="31"/>
        <v>#REF!</v>
      </c>
      <c r="AF208" s="115">
        <f t="shared" si="32"/>
        <v>0</v>
      </c>
      <c r="AG208" s="11"/>
      <c r="AH208" s="115">
        <f t="shared" si="34"/>
        <v>0</v>
      </c>
      <c r="AI208" s="115">
        <f t="shared" si="35"/>
        <v>0</v>
      </c>
      <c r="AJ208" s="115">
        <f t="shared" si="36"/>
        <v>0</v>
      </c>
      <c r="AL208" s="11" t="e">
        <f t="shared" si="33"/>
        <v>#REF!</v>
      </c>
      <c r="AM208" s="120" t="s">
        <v>312</v>
      </c>
    </row>
    <row r="209" spans="1:39">
      <c r="A209" s="129"/>
      <c r="B209" s="129" t="s">
        <v>46</v>
      </c>
      <c r="C209" s="96"/>
      <c r="D209" s="148" t="s">
        <v>313</v>
      </c>
      <c r="E209" s="98"/>
      <c r="F209" s="99" t="e">
        <f>VLOOKUP(D209,#REF!,19,FALSE)</f>
        <v>#REF!</v>
      </c>
      <c r="G209" s="100"/>
      <c r="H209" s="100"/>
      <c r="I209" s="101"/>
      <c r="J209" s="102" t="e">
        <f t="shared" si="29"/>
        <v>#REF!</v>
      </c>
      <c r="K209" s="103"/>
      <c r="L209" s="104"/>
      <c r="M209" s="105"/>
      <c r="N209" s="103">
        <v>0</v>
      </c>
      <c r="O209" s="106"/>
      <c r="P209" s="103">
        <v>0</v>
      </c>
      <c r="Q209" s="107">
        <f t="shared" si="28"/>
        <v>0</v>
      </c>
      <c r="R209" s="107"/>
      <c r="S209" s="107"/>
      <c r="T209" s="108">
        <v>0</v>
      </c>
      <c r="U209" s="119"/>
      <c r="V209" s="110">
        <f t="shared" si="41"/>
        <v>0</v>
      </c>
      <c r="W209" s="133"/>
      <c r="X209" s="112">
        <f t="shared" si="37"/>
        <v>0</v>
      </c>
      <c r="Y209" s="112">
        <f t="shared" si="38"/>
        <v>0</v>
      </c>
      <c r="Z209" s="113">
        <f t="shared" si="39"/>
        <v>0</v>
      </c>
      <c r="AA209" s="113">
        <v>0</v>
      </c>
      <c r="AB209" s="114">
        <v>0</v>
      </c>
      <c r="AC209" s="11">
        <f t="shared" si="40"/>
        <v>0</v>
      </c>
      <c r="AD209" s="115">
        <f t="shared" si="30"/>
        <v>0</v>
      </c>
      <c r="AE209" s="115" t="e">
        <f t="shared" si="31"/>
        <v>#REF!</v>
      </c>
      <c r="AF209" s="115">
        <f t="shared" si="32"/>
        <v>0</v>
      </c>
      <c r="AG209" s="11"/>
      <c r="AH209" s="115">
        <f t="shared" si="34"/>
        <v>0</v>
      </c>
      <c r="AI209" s="115">
        <f t="shared" si="35"/>
        <v>0</v>
      </c>
      <c r="AJ209" s="115">
        <f t="shared" si="36"/>
        <v>0</v>
      </c>
      <c r="AL209" s="11" t="e">
        <f t="shared" si="33"/>
        <v>#REF!</v>
      </c>
      <c r="AM209" s="148" t="s">
        <v>313</v>
      </c>
    </row>
    <row r="210" spans="1:39">
      <c r="A210" s="129" t="s">
        <v>46</v>
      </c>
      <c r="B210" s="129" t="s">
        <v>81</v>
      </c>
      <c r="C210" s="96" t="s">
        <v>314</v>
      </c>
      <c r="D210" s="148" t="s">
        <v>315</v>
      </c>
      <c r="E210" s="98">
        <v>83003.179999999993</v>
      </c>
      <c r="F210" s="99" t="e">
        <f>VLOOKUP(D210,#REF!,19,FALSE)</f>
        <v>#REF!</v>
      </c>
      <c r="G210" s="100"/>
      <c r="H210" s="100"/>
      <c r="I210" s="101"/>
      <c r="J210" s="102" t="e">
        <f t="shared" si="29"/>
        <v>#REF!</v>
      </c>
      <c r="K210" s="103"/>
      <c r="L210" s="104"/>
      <c r="M210" s="105">
        <v>60000</v>
      </c>
      <c r="N210" s="103">
        <v>0</v>
      </c>
      <c r="O210" s="106"/>
      <c r="P210" s="103">
        <v>0</v>
      </c>
      <c r="Q210" s="107">
        <f t="shared" si="28"/>
        <v>60000</v>
      </c>
      <c r="R210" s="107"/>
      <c r="S210" s="107"/>
      <c r="T210" s="108">
        <v>43022.2</v>
      </c>
      <c r="U210" s="119"/>
      <c r="V210" s="110">
        <f t="shared" si="41"/>
        <v>-16977.800000000003</v>
      </c>
      <c r="W210" s="103"/>
      <c r="X210" s="112">
        <f t="shared" si="37"/>
        <v>0</v>
      </c>
      <c r="Y210" s="112">
        <f t="shared" si="38"/>
        <v>0</v>
      </c>
      <c r="Z210" s="113">
        <f t="shared" si="39"/>
        <v>60000</v>
      </c>
      <c r="AA210" s="113">
        <v>0</v>
      </c>
      <c r="AB210" s="114">
        <v>0</v>
      </c>
      <c r="AC210" s="11">
        <f t="shared" si="40"/>
        <v>0</v>
      </c>
      <c r="AD210" s="115">
        <f t="shared" si="30"/>
        <v>0</v>
      </c>
      <c r="AE210" s="115">
        <f t="shared" si="31"/>
        <v>0</v>
      </c>
      <c r="AF210" s="115" t="e">
        <f t="shared" si="32"/>
        <v>#REF!</v>
      </c>
      <c r="AG210" s="11"/>
      <c r="AH210" s="115">
        <f t="shared" si="34"/>
        <v>0</v>
      </c>
      <c r="AI210" s="115">
        <f t="shared" si="35"/>
        <v>0</v>
      </c>
      <c r="AJ210" s="115">
        <f t="shared" si="36"/>
        <v>60000</v>
      </c>
      <c r="AL210" s="11" t="e">
        <f t="shared" si="33"/>
        <v>#REF!</v>
      </c>
      <c r="AM210" s="148" t="s">
        <v>315</v>
      </c>
    </row>
    <row r="211" spans="1:39">
      <c r="A211" s="116" t="s">
        <v>60</v>
      </c>
      <c r="B211" s="116" t="s">
        <v>46</v>
      </c>
      <c r="C211" s="122"/>
      <c r="D211" s="120" t="s">
        <v>316</v>
      </c>
      <c r="E211" s="98"/>
      <c r="F211" s="99" t="e">
        <f>VLOOKUP(D211,#REF!,19,FALSE)</f>
        <v>#REF!</v>
      </c>
      <c r="G211" s="100"/>
      <c r="H211" s="100"/>
      <c r="I211" s="101"/>
      <c r="J211" s="102" t="e">
        <f t="shared" si="29"/>
        <v>#REF!</v>
      </c>
      <c r="K211" s="103"/>
      <c r="L211" s="104"/>
      <c r="M211" s="105"/>
      <c r="N211" s="103">
        <v>0</v>
      </c>
      <c r="O211" s="106"/>
      <c r="P211" s="103">
        <v>0</v>
      </c>
      <c r="Q211" s="107">
        <f t="shared" si="28"/>
        <v>0</v>
      </c>
      <c r="R211" s="107"/>
      <c r="S211" s="107"/>
      <c r="T211" s="108">
        <v>0</v>
      </c>
      <c r="U211" s="119"/>
      <c r="V211" s="110">
        <f t="shared" si="41"/>
        <v>0</v>
      </c>
      <c r="W211" s="103"/>
      <c r="X211" s="112">
        <f t="shared" si="37"/>
        <v>0</v>
      </c>
      <c r="Y211" s="112">
        <f t="shared" si="38"/>
        <v>0</v>
      </c>
      <c r="Z211" s="113">
        <f t="shared" si="39"/>
        <v>0</v>
      </c>
      <c r="AA211" s="113">
        <v>0</v>
      </c>
      <c r="AB211" s="114">
        <v>0</v>
      </c>
      <c r="AC211" s="11">
        <f t="shared" si="40"/>
        <v>0</v>
      </c>
      <c r="AD211" s="115">
        <f t="shared" si="30"/>
        <v>0</v>
      </c>
      <c r="AE211" s="115" t="e">
        <f t="shared" si="31"/>
        <v>#REF!</v>
      </c>
      <c r="AF211" s="115">
        <f t="shared" si="32"/>
        <v>0</v>
      </c>
      <c r="AG211" s="11"/>
      <c r="AH211" s="115">
        <f t="shared" si="34"/>
        <v>0</v>
      </c>
      <c r="AI211" s="115">
        <f t="shared" si="35"/>
        <v>0</v>
      </c>
      <c r="AJ211" s="115">
        <f t="shared" si="36"/>
        <v>0</v>
      </c>
      <c r="AL211" s="11" t="e">
        <f t="shared" si="33"/>
        <v>#REF!</v>
      </c>
      <c r="AM211" s="120" t="s">
        <v>316</v>
      </c>
    </row>
    <row r="212" spans="1:39">
      <c r="A212" s="129"/>
      <c r="B212" s="129" t="s">
        <v>49</v>
      </c>
      <c r="C212" s="96"/>
      <c r="D212" s="144" t="s">
        <v>317</v>
      </c>
      <c r="E212" s="98"/>
      <c r="F212" s="99" t="e">
        <f>VLOOKUP(D212,#REF!,19,FALSE)</f>
        <v>#REF!</v>
      </c>
      <c r="G212" s="100"/>
      <c r="H212" s="100"/>
      <c r="I212" s="101"/>
      <c r="J212" s="102" t="e">
        <f t="shared" si="29"/>
        <v>#REF!</v>
      </c>
      <c r="K212" s="103"/>
      <c r="L212" s="104"/>
      <c r="M212" s="105"/>
      <c r="N212" s="103">
        <v>0</v>
      </c>
      <c r="O212" s="106"/>
      <c r="P212" s="103">
        <v>0</v>
      </c>
      <c r="Q212" s="107">
        <f t="shared" si="28"/>
        <v>0</v>
      </c>
      <c r="R212" s="107"/>
      <c r="S212" s="107"/>
      <c r="T212" s="108">
        <v>0</v>
      </c>
      <c r="U212" s="119"/>
      <c r="V212" s="110">
        <f t="shared" si="41"/>
        <v>0</v>
      </c>
      <c r="W212" s="103"/>
      <c r="X212" s="112">
        <f t="shared" si="37"/>
        <v>0</v>
      </c>
      <c r="Y212" s="112">
        <f t="shared" si="38"/>
        <v>0</v>
      </c>
      <c r="Z212" s="113">
        <f t="shared" si="39"/>
        <v>0</v>
      </c>
      <c r="AA212" s="113">
        <v>0</v>
      </c>
      <c r="AB212" s="114">
        <v>0</v>
      </c>
      <c r="AC212" s="11">
        <f t="shared" si="40"/>
        <v>0</v>
      </c>
      <c r="AD212" s="115" t="e">
        <f t="shared" si="30"/>
        <v>#REF!</v>
      </c>
      <c r="AE212" s="115">
        <f t="shared" si="31"/>
        <v>0</v>
      </c>
      <c r="AF212" s="115">
        <f t="shared" si="32"/>
        <v>0</v>
      </c>
      <c r="AG212" s="11"/>
      <c r="AH212" s="115">
        <f t="shared" si="34"/>
        <v>0</v>
      </c>
      <c r="AI212" s="115">
        <f t="shared" si="35"/>
        <v>0</v>
      </c>
      <c r="AJ212" s="115">
        <f t="shared" si="36"/>
        <v>0</v>
      </c>
      <c r="AL212" s="11" t="e">
        <f t="shared" si="33"/>
        <v>#REF!</v>
      </c>
      <c r="AM212" s="144" t="s">
        <v>285</v>
      </c>
    </row>
    <row r="213" spans="1:39">
      <c r="A213" s="116"/>
      <c r="B213" s="116" t="s">
        <v>81</v>
      </c>
      <c r="C213" s="126" t="s">
        <v>318</v>
      </c>
      <c r="D213" s="120" t="s">
        <v>319</v>
      </c>
      <c r="E213" s="98">
        <v>24082.12</v>
      </c>
      <c r="F213" s="99" t="e">
        <f>VLOOKUP(D213,#REF!,19,FALSE)</f>
        <v>#REF!</v>
      </c>
      <c r="G213" s="100"/>
      <c r="H213" s="100"/>
      <c r="I213" s="101"/>
      <c r="J213" s="102" t="e">
        <f t="shared" si="29"/>
        <v>#REF!</v>
      </c>
      <c r="K213" s="103"/>
      <c r="L213" s="104"/>
      <c r="M213" s="105"/>
      <c r="N213" s="103">
        <v>0</v>
      </c>
      <c r="O213" s="106"/>
      <c r="P213" s="103">
        <v>0</v>
      </c>
      <c r="Q213" s="107">
        <f t="shared" si="28"/>
        <v>0</v>
      </c>
      <c r="R213" s="107"/>
      <c r="S213" s="107"/>
      <c r="T213" s="108">
        <v>0</v>
      </c>
      <c r="U213" s="119"/>
      <c r="V213" s="110">
        <f t="shared" si="41"/>
        <v>0</v>
      </c>
      <c r="W213" s="103"/>
      <c r="X213" s="112">
        <f t="shared" si="37"/>
        <v>0</v>
      </c>
      <c r="Y213" s="112">
        <f t="shared" si="38"/>
        <v>0</v>
      </c>
      <c r="Z213" s="113">
        <f t="shared" si="39"/>
        <v>0</v>
      </c>
      <c r="AA213" s="113">
        <v>0</v>
      </c>
      <c r="AB213" s="114">
        <v>0</v>
      </c>
      <c r="AC213" s="11">
        <f t="shared" si="40"/>
        <v>0</v>
      </c>
      <c r="AD213" s="115">
        <f t="shared" si="30"/>
        <v>0</v>
      </c>
      <c r="AE213" s="115">
        <f t="shared" si="31"/>
        <v>0</v>
      </c>
      <c r="AF213" s="115" t="e">
        <f t="shared" si="32"/>
        <v>#REF!</v>
      </c>
      <c r="AG213" s="11"/>
      <c r="AH213" s="115">
        <f t="shared" si="34"/>
        <v>0</v>
      </c>
      <c r="AI213" s="115">
        <f t="shared" si="35"/>
        <v>0</v>
      </c>
      <c r="AJ213" s="115">
        <f t="shared" si="36"/>
        <v>0</v>
      </c>
      <c r="AL213" s="11" t="e">
        <f t="shared" si="33"/>
        <v>#REF!</v>
      </c>
      <c r="AM213" s="120" t="s">
        <v>319</v>
      </c>
    </row>
    <row r="214" spans="1:39">
      <c r="A214" s="116"/>
      <c r="B214" s="116" t="s">
        <v>49</v>
      </c>
      <c r="C214" s="122"/>
      <c r="D214" s="120" t="s">
        <v>320</v>
      </c>
      <c r="E214" s="98"/>
      <c r="F214" s="99" t="e">
        <f>VLOOKUP(D214,#REF!,19,FALSE)</f>
        <v>#REF!</v>
      </c>
      <c r="G214" s="100"/>
      <c r="H214" s="100"/>
      <c r="I214" s="101"/>
      <c r="J214" s="102" t="e">
        <f t="shared" si="29"/>
        <v>#REF!</v>
      </c>
      <c r="K214" s="103"/>
      <c r="L214" s="104"/>
      <c r="M214" s="105"/>
      <c r="N214" s="103">
        <v>0</v>
      </c>
      <c r="O214" s="106"/>
      <c r="P214" s="103">
        <v>0</v>
      </c>
      <c r="Q214" s="107">
        <f t="shared" si="28"/>
        <v>0</v>
      </c>
      <c r="R214" s="107"/>
      <c r="S214" s="107"/>
      <c r="T214" s="108">
        <v>0</v>
      </c>
      <c r="U214" s="119"/>
      <c r="V214" s="110">
        <f t="shared" si="41"/>
        <v>0</v>
      </c>
      <c r="W214" s="103"/>
      <c r="X214" s="112">
        <f t="shared" si="37"/>
        <v>0</v>
      </c>
      <c r="Y214" s="112">
        <f t="shared" si="38"/>
        <v>0</v>
      </c>
      <c r="Z214" s="113">
        <f t="shared" si="39"/>
        <v>0</v>
      </c>
      <c r="AA214" s="113">
        <v>0</v>
      </c>
      <c r="AB214" s="114">
        <v>0</v>
      </c>
      <c r="AC214" s="11">
        <f t="shared" si="40"/>
        <v>0</v>
      </c>
      <c r="AD214" s="115" t="e">
        <f t="shared" si="30"/>
        <v>#REF!</v>
      </c>
      <c r="AE214" s="115">
        <f t="shared" si="31"/>
        <v>0</v>
      </c>
      <c r="AF214" s="115">
        <f t="shared" si="32"/>
        <v>0</v>
      </c>
      <c r="AG214" s="11"/>
      <c r="AH214" s="115">
        <f t="shared" si="34"/>
        <v>0</v>
      </c>
      <c r="AI214" s="115">
        <f t="shared" si="35"/>
        <v>0</v>
      </c>
      <c r="AJ214" s="115">
        <f t="shared" si="36"/>
        <v>0</v>
      </c>
      <c r="AL214" s="11" t="e">
        <f t="shared" si="33"/>
        <v>#REF!</v>
      </c>
      <c r="AM214" s="120" t="s">
        <v>320</v>
      </c>
    </row>
    <row r="215" spans="1:39">
      <c r="A215" s="116"/>
      <c r="B215" s="116" t="s">
        <v>49</v>
      </c>
      <c r="C215" s="122"/>
      <c r="D215" s="120" t="s">
        <v>321</v>
      </c>
      <c r="E215" s="98"/>
      <c r="F215" s="99" t="e">
        <f>VLOOKUP(D215,#REF!,19,FALSE)</f>
        <v>#REF!</v>
      </c>
      <c r="G215" s="100"/>
      <c r="H215" s="100"/>
      <c r="I215" s="101"/>
      <c r="J215" s="102" t="e">
        <f t="shared" si="29"/>
        <v>#REF!</v>
      </c>
      <c r="K215" s="103"/>
      <c r="L215" s="104"/>
      <c r="M215" s="105">
        <v>30000</v>
      </c>
      <c r="N215" s="103"/>
      <c r="O215" s="106"/>
      <c r="P215" s="103"/>
      <c r="Q215" s="107">
        <f t="shared" si="28"/>
        <v>30000</v>
      </c>
      <c r="R215" s="107"/>
      <c r="S215" s="107"/>
      <c r="T215" s="108">
        <v>0</v>
      </c>
      <c r="U215" s="119"/>
      <c r="V215" s="110">
        <f t="shared" si="41"/>
        <v>-30000</v>
      </c>
      <c r="W215" s="103"/>
      <c r="X215" s="112">
        <f t="shared" si="37"/>
        <v>30000</v>
      </c>
      <c r="Y215" s="112">
        <f t="shared" si="38"/>
        <v>0</v>
      </c>
      <c r="Z215" s="113">
        <f t="shared" si="39"/>
        <v>0</v>
      </c>
      <c r="AA215" s="113">
        <v>0</v>
      </c>
      <c r="AB215" s="114">
        <v>0</v>
      </c>
      <c r="AC215" s="11">
        <f t="shared" si="40"/>
        <v>0</v>
      </c>
      <c r="AD215" s="115" t="e">
        <f t="shared" si="30"/>
        <v>#REF!</v>
      </c>
      <c r="AE215" s="115">
        <f t="shared" si="31"/>
        <v>0</v>
      </c>
      <c r="AF215" s="115">
        <f t="shared" si="32"/>
        <v>0</v>
      </c>
      <c r="AG215" s="11"/>
      <c r="AH215" s="115">
        <f t="shared" si="34"/>
        <v>30000</v>
      </c>
      <c r="AI215" s="115">
        <f t="shared" si="35"/>
        <v>0</v>
      </c>
      <c r="AJ215" s="115">
        <f t="shared" si="36"/>
        <v>0</v>
      </c>
      <c r="AL215" s="11" t="e">
        <f t="shared" si="33"/>
        <v>#REF!</v>
      </c>
      <c r="AM215" s="120" t="s">
        <v>321</v>
      </c>
    </row>
    <row r="216" spans="1:39" s="124" customFormat="1">
      <c r="A216" s="123"/>
      <c r="B216" s="123" t="s">
        <v>49</v>
      </c>
      <c r="C216" s="122" t="s">
        <v>322</v>
      </c>
      <c r="D216" s="149" t="s">
        <v>323</v>
      </c>
      <c r="E216" s="98"/>
      <c r="F216" s="99" t="e">
        <f>VLOOKUP(D216,#REF!,19,FALSE)</f>
        <v>#REF!</v>
      </c>
      <c r="G216" s="100"/>
      <c r="H216" s="100"/>
      <c r="I216" s="101"/>
      <c r="J216" s="102" t="e">
        <f t="shared" si="29"/>
        <v>#REF!</v>
      </c>
      <c r="K216" s="103"/>
      <c r="L216" s="104"/>
      <c r="M216" s="105"/>
      <c r="N216" s="103">
        <v>0</v>
      </c>
      <c r="O216" s="106"/>
      <c r="P216" s="103">
        <v>0</v>
      </c>
      <c r="Q216" s="107">
        <f t="shared" si="28"/>
        <v>0</v>
      </c>
      <c r="R216" s="107"/>
      <c r="S216" s="107"/>
      <c r="T216" s="108">
        <v>0</v>
      </c>
      <c r="U216" s="119"/>
      <c r="V216" s="110">
        <f t="shared" si="41"/>
        <v>0</v>
      </c>
      <c r="W216" s="103"/>
      <c r="X216" s="112">
        <f t="shared" si="37"/>
        <v>0</v>
      </c>
      <c r="Y216" s="112">
        <f t="shared" si="38"/>
        <v>0</v>
      </c>
      <c r="Z216" s="113">
        <f t="shared" si="39"/>
        <v>0</v>
      </c>
      <c r="AA216" s="113">
        <v>0</v>
      </c>
      <c r="AB216" s="114">
        <v>0</v>
      </c>
      <c r="AC216" s="11">
        <f t="shared" si="40"/>
        <v>0</v>
      </c>
      <c r="AD216" s="115" t="e">
        <f t="shared" si="30"/>
        <v>#REF!</v>
      </c>
      <c r="AE216" s="115">
        <f t="shared" si="31"/>
        <v>0</v>
      </c>
      <c r="AF216" s="115">
        <f t="shared" si="32"/>
        <v>0</v>
      </c>
      <c r="AG216" s="11"/>
      <c r="AH216" s="115">
        <f t="shared" si="34"/>
        <v>0</v>
      </c>
      <c r="AI216" s="115">
        <f t="shared" si="35"/>
        <v>0</v>
      </c>
      <c r="AJ216" s="115">
        <f t="shared" si="36"/>
        <v>0</v>
      </c>
      <c r="AL216" s="11" t="e">
        <f t="shared" si="33"/>
        <v>#REF!</v>
      </c>
      <c r="AM216" s="149" t="s">
        <v>323</v>
      </c>
    </row>
    <row r="217" spans="1:39" s="124" customFormat="1">
      <c r="A217" s="123"/>
      <c r="B217" s="123" t="s">
        <v>81</v>
      </c>
      <c r="C217" s="122" t="s">
        <v>322</v>
      </c>
      <c r="D217" s="118" t="s">
        <v>324</v>
      </c>
      <c r="E217" s="98"/>
      <c r="F217" s="99" t="e">
        <f>VLOOKUP(D217,#REF!,19,FALSE)</f>
        <v>#REF!</v>
      </c>
      <c r="G217" s="100"/>
      <c r="H217" s="100"/>
      <c r="I217" s="101"/>
      <c r="J217" s="102" t="e">
        <f t="shared" si="29"/>
        <v>#REF!</v>
      </c>
      <c r="K217" s="103"/>
      <c r="L217" s="104"/>
      <c r="M217" s="105">
        <v>22800</v>
      </c>
      <c r="N217" s="103">
        <v>0</v>
      </c>
      <c r="O217" s="106"/>
      <c r="P217" s="103">
        <v>0</v>
      </c>
      <c r="Q217" s="107">
        <f>L217+M217</f>
        <v>22800</v>
      </c>
      <c r="R217" s="107"/>
      <c r="S217" s="107"/>
      <c r="T217" s="108">
        <v>34251.17</v>
      </c>
      <c r="U217" s="119"/>
      <c r="V217" s="110">
        <f t="shared" si="41"/>
        <v>11451.169999999998</v>
      </c>
      <c r="W217" s="103"/>
      <c r="X217" s="112">
        <f t="shared" si="37"/>
        <v>0</v>
      </c>
      <c r="Y217" s="112">
        <f t="shared" si="38"/>
        <v>0</v>
      </c>
      <c r="Z217" s="113">
        <f t="shared" si="39"/>
        <v>22800</v>
      </c>
      <c r="AA217" s="113">
        <v>0</v>
      </c>
      <c r="AB217" s="114">
        <v>0</v>
      </c>
      <c r="AC217" s="11">
        <f>(L217+M217)-(X217+Y217+Z217+AA217+AB217)</f>
        <v>0</v>
      </c>
      <c r="AD217" s="115">
        <f t="shared" si="30"/>
        <v>0</v>
      </c>
      <c r="AE217" s="115">
        <f t="shared" si="31"/>
        <v>0</v>
      </c>
      <c r="AF217" s="115" t="e">
        <f t="shared" si="32"/>
        <v>#REF!</v>
      </c>
      <c r="AG217" s="11"/>
      <c r="AH217" s="115">
        <f t="shared" si="34"/>
        <v>0</v>
      </c>
      <c r="AI217" s="115">
        <f t="shared" si="35"/>
        <v>0</v>
      </c>
      <c r="AJ217" s="115">
        <f t="shared" si="36"/>
        <v>22800</v>
      </c>
      <c r="AL217" s="11" t="e">
        <f t="shared" si="33"/>
        <v>#REF!</v>
      </c>
      <c r="AM217" s="118" t="s">
        <v>324</v>
      </c>
    </row>
    <row r="218" spans="1:39" s="124" customFormat="1">
      <c r="A218" s="123"/>
      <c r="B218" s="123" t="s">
        <v>49</v>
      </c>
      <c r="C218" s="122" t="s">
        <v>322</v>
      </c>
      <c r="D218" s="118" t="s">
        <v>325</v>
      </c>
      <c r="E218" s="98"/>
      <c r="F218" s="99" t="e">
        <f>VLOOKUP(D218,#REF!,19,FALSE)</f>
        <v>#REF!</v>
      </c>
      <c r="G218" s="100"/>
      <c r="H218" s="100"/>
      <c r="I218" s="101"/>
      <c r="J218" s="102" t="e">
        <f t="shared" si="29"/>
        <v>#REF!</v>
      </c>
      <c r="K218" s="103"/>
      <c r="L218" s="104"/>
      <c r="M218" s="105"/>
      <c r="N218" s="103">
        <v>0</v>
      </c>
      <c r="O218" s="106"/>
      <c r="P218" s="103">
        <v>0</v>
      </c>
      <c r="Q218" s="107">
        <f t="shared" si="28"/>
        <v>0</v>
      </c>
      <c r="R218" s="107"/>
      <c r="S218" s="107"/>
      <c r="T218" s="108">
        <v>0</v>
      </c>
      <c r="U218" s="119"/>
      <c r="V218" s="110">
        <f t="shared" si="41"/>
        <v>0</v>
      </c>
      <c r="W218" s="103"/>
      <c r="X218" s="112">
        <f t="shared" si="37"/>
        <v>0</v>
      </c>
      <c r="Y218" s="112">
        <f t="shared" si="38"/>
        <v>0</v>
      </c>
      <c r="Z218" s="113">
        <f t="shared" si="39"/>
        <v>0</v>
      </c>
      <c r="AA218" s="113">
        <v>0</v>
      </c>
      <c r="AB218" s="114">
        <v>0</v>
      </c>
      <c r="AC218" s="11">
        <f t="shared" si="40"/>
        <v>0</v>
      </c>
      <c r="AD218" s="115" t="e">
        <f t="shared" si="30"/>
        <v>#REF!</v>
      </c>
      <c r="AE218" s="115">
        <f t="shared" si="31"/>
        <v>0</v>
      </c>
      <c r="AF218" s="115">
        <f t="shared" si="32"/>
        <v>0</v>
      </c>
      <c r="AG218" s="11"/>
      <c r="AH218" s="115">
        <f t="shared" si="34"/>
        <v>0</v>
      </c>
      <c r="AI218" s="115">
        <f t="shared" si="35"/>
        <v>0</v>
      </c>
      <c r="AJ218" s="115">
        <f t="shared" si="36"/>
        <v>0</v>
      </c>
      <c r="AL218" s="11" t="e">
        <f t="shared" si="33"/>
        <v>#REF!</v>
      </c>
      <c r="AM218" s="118" t="s">
        <v>325</v>
      </c>
    </row>
    <row r="219" spans="1:39" s="124" customFormat="1">
      <c r="A219" s="123"/>
      <c r="B219" s="123" t="s">
        <v>49</v>
      </c>
      <c r="C219" s="122" t="s">
        <v>322</v>
      </c>
      <c r="D219" s="118" t="s">
        <v>326</v>
      </c>
      <c r="E219" s="98"/>
      <c r="F219" s="99" t="e">
        <f>VLOOKUP(D219,#REF!,19,FALSE)</f>
        <v>#REF!</v>
      </c>
      <c r="G219" s="100"/>
      <c r="H219" s="100"/>
      <c r="I219" s="101"/>
      <c r="J219" s="102" t="e">
        <f t="shared" si="29"/>
        <v>#REF!</v>
      </c>
      <c r="K219" s="103"/>
      <c r="L219" s="104">
        <v>561500</v>
      </c>
      <c r="M219" s="105">
        <v>956400</v>
      </c>
      <c r="N219" s="103">
        <v>0</v>
      </c>
      <c r="O219" s="106"/>
      <c r="P219" s="103">
        <v>0</v>
      </c>
      <c r="Q219" s="107">
        <f>L219+M219</f>
        <v>1517900</v>
      </c>
      <c r="R219" s="107"/>
      <c r="S219" s="107"/>
      <c r="T219" s="108">
        <f>956423.09+561454.12</f>
        <v>1517877.21</v>
      </c>
      <c r="U219" s="119"/>
      <c r="V219" s="110">
        <f t="shared" si="41"/>
        <v>-22.790000000037253</v>
      </c>
      <c r="W219" s="103"/>
      <c r="X219" s="112">
        <f t="shared" si="37"/>
        <v>1517900</v>
      </c>
      <c r="Y219" s="112">
        <f t="shared" si="38"/>
        <v>0</v>
      </c>
      <c r="Z219" s="113">
        <f t="shared" si="39"/>
        <v>0</v>
      </c>
      <c r="AA219" s="113">
        <v>0</v>
      </c>
      <c r="AB219" s="114">
        <v>0</v>
      </c>
      <c r="AC219" s="11">
        <f>(L219+M219)-(X219+Y219+Z219+AA219+AB219)</f>
        <v>0</v>
      </c>
      <c r="AD219" s="115" t="e">
        <f t="shared" si="30"/>
        <v>#REF!</v>
      </c>
      <c r="AE219" s="115">
        <f t="shared" si="31"/>
        <v>0</v>
      </c>
      <c r="AF219" s="115">
        <f t="shared" si="32"/>
        <v>0</v>
      </c>
      <c r="AG219" s="11"/>
      <c r="AH219" s="115">
        <f t="shared" si="34"/>
        <v>1517900</v>
      </c>
      <c r="AI219" s="115">
        <f t="shared" si="35"/>
        <v>0</v>
      </c>
      <c r="AJ219" s="115">
        <f t="shared" si="36"/>
        <v>0</v>
      </c>
      <c r="AL219" s="11" t="e">
        <f t="shared" si="33"/>
        <v>#REF!</v>
      </c>
      <c r="AM219" s="118" t="s">
        <v>326</v>
      </c>
    </row>
    <row r="220" spans="1:39" hidden="1">
      <c r="A220" s="129" t="s">
        <v>154</v>
      </c>
      <c r="B220" s="129" t="s">
        <v>46</v>
      </c>
      <c r="C220" s="96"/>
      <c r="D220" s="120" t="s">
        <v>327</v>
      </c>
      <c r="E220" s="98"/>
      <c r="F220" s="99" t="e">
        <f>VLOOKUP(D220,#REF!,19,FALSE)</f>
        <v>#REF!</v>
      </c>
      <c r="G220" s="100"/>
      <c r="H220" s="100"/>
      <c r="I220" s="101"/>
      <c r="J220" s="102" t="e">
        <f t="shared" si="29"/>
        <v>#REF!</v>
      </c>
      <c r="K220" s="103"/>
      <c r="L220" s="104"/>
      <c r="M220" s="105"/>
      <c r="N220" s="103">
        <v>0</v>
      </c>
      <c r="O220" s="106"/>
      <c r="P220" s="103">
        <v>0</v>
      </c>
      <c r="Q220" s="107">
        <f t="shared" si="28"/>
        <v>0</v>
      </c>
      <c r="R220" s="107"/>
      <c r="S220" s="107"/>
      <c r="T220" s="108">
        <v>0</v>
      </c>
      <c r="U220" s="119"/>
      <c r="V220" s="110">
        <f t="shared" si="41"/>
        <v>0</v>
      </c>
      <c r="W220" s="103"/>
      <c r="X220" s="112">
        <f t="shared" si="37"/>
        <v>0</v>
      </c>
      <c r="Y220" s="112">
        <f t="shared" si="38"/>
        <v>0</v>
      </c>
      <c r="Z220" s="113">
        <f t="shared" si="39"/>
        <v>0</v>
      </c>
      <c r="AA220" s="113">
        <v>0</v>
      </c>
      <c r="AB220" s="114">
        <v>0</v>
      </c>
      <c r="AC220" s="11">
        <f t="shared" si="40"/>
        <v>0</v>
      </c>
      <c r="AD220" s="115">
        <f t="shared" si="30"/>
        <v>0</v>
      </c>
      <c r="AE220" s="115" t="e">
        <f t="shared" si="31"/>
        <v>#REF!</v>
      </c>
      <c r="AF220" s="115">
        <f t="shared" si="32"/>
        <v>0</v>
      </c>
      <c r="AG220" s="11"/>
      <c r="AH220" s="115">
        <f t="shared" si="34"/>
        <v>0</v>
      </c>
      <c r="AI220" s="115">
        <f t="shared" si="35"/>
        <v>0</v>
      </c>
      <c r="AJ220" s="115">
        <f t="shared" si="36"/>
        <v>0</v>
      </c>
      <c r="AL220" s="11" t="e">
        <f t="shared" si="33"/>
        <v>#REF!</v>
      </c>
      <c r="AM220" s="120" t="s">
        <v>327</v>
      </c>
    </row>
    <row r="221" spans="1:39" hidden="1">
      <c r="A221" s="129" t="s">
        <v>154</v>
      </c>
      <c r="B221" s="129" t="s">
        <v>81</v>
      </c>
      <c r="C221" s="96"/>
      <c r="D221" s="120" t="s">
        <v>328</v>
      </c>
      <c r="E221" s="98"/>
      <c r="F221" s="99" t="e">
        <f>VLOOKUP(D221,#REF!,19,FALSE)</f>
        <v>#REF!</v>
      </c>
      <c r="G221" s="100"/>
      <c r="H221" s="100"/>
      <c r="I221" s="101"/>
      <c r="J221" s="102" t="e">
        <f t="shared" si="29"/>
        <v>#REF!</v>
      </c>
      <c r="K221" s="103"/>
      <c r="L221" s="104"/>
      <c r="M221" s="105"/>
      <c r="N221" s="103">
        <v>0</v>
      </c>
      <c r="O221" s="106"/>
      <c r="P221" s="103">
        <v>0</v>
      </c>
      <c r="Q221" s="107">
        <f t="shared" ref="Q221:Q235" si="42">L221+M221</f>
        <v>0</v>
      </c>
      <c r="R221" s="107"/>
      <c r="S221" s="107"/>
      <c r="T221" s="108">
        <v>0</v>
      </c>
      <c r="U221" s="119"/>
      <c r="V221" s="110">
        <f t="shared" si="41"/>
        <v>0</v>
      </c>
      <c r="W221" s="103"/>
      <c r="X221" s="112">
        <f t="shared" si="37"/>
        <v>0</v>
      </c>
      <c r="Y221" s="112">
        <f t="shared" si="38"/>
        <v>0</v>
      </c>
      <c r="Z221" s="113">
        <f t="shared" si="39"/>
        <v>0</v>
      </c>
      <c r="AA221" s="113">
        <v>0</v>
      </c>
      <c r="AB221" s="114">
        <v>0</v>
      </c>
      <c r="AC221" s="11">
        <f t="shared" si="40"/>
        <v>0</v>
      </c>
      <c r="AD221" s="115">
        <f t="shared" si="30"/>
        <v>0</v>
      </c>
      <c r="AE221" s="115">
        <f t="shared" si="31"/>
        <v>0</v>
      </c>
      <c r="AF221" s="115" t="e">
        <f t="shared" si="32"/>
        <v>#REF!</v>
      </c>
      <c r="AG221" s="11"/>
      <c r="AH221" s="115">
        <f t="shared" si="34"/>
        <v>0</v>
      </c>
      <c r="AI221" s="115">
        <f t="shared" si="35"/>
        <v>0</v>
      </c>
      <c r="AJ221" s="115">
        <f t="shared" si="36"/>
        <v>0</v>
      </c>
      <c r="AL221" s="11" t="e">
        <f t="shared" si="33"/>
        <v>#REF!</v>
      </c>
      <c r="AM221" s="120" t="s">
        <v>328</v>
      </c>
    </row>
    <row r="222" spans="1:39">
      <c r="A222" s="116"/>
      <c r="B222" s="116" t="s">
        <v>49</v>
      </c>
      <c r="C222" s="122"/>
      <c r="D222" s="120" t="s">
        <v>329</v>
      </c>
      <c r="E222" s="98"/>
      <c r="F222" s="99" t="e">
        <f>VLOOKUP(D222,#REF!,19,FALSE)</f>
        <v>#REF!</v>
      </c>
      <c r="G222" s="100"/>
      <c r="H222" s="100"/>
      <c r="I222" s="125">
        <v>783.18</v>
      </c>
      <c r="J222" s="102" t="e">
        <f t="shared" si="29"/>
        <v>#REF!</v>
      </c>
      <c r="K222" s="103"/>
      <c r="L222" s="104"/>
      <c r="M222" s="105"/>
      <c r="N222" s="103">
        <v>0</v>
      </c>
      <c r="O222" s="106"/>
      <c r="P222" s="103">
        <v>0</v>
      </c>
      <c r="Q222" s="107">
        <f>L222+M222</f>
        <v>0</v>
      </c>
      <c r="R222" s="107"/>
      <c r="S222" s="107"/>
      <c r="T222" s="108">
        <v>0</v>
      </c>
      <c r="U222" s="119"/>
      <c r="V222" s="110">
        <f t="shared" si="41"/>
        <v>0</v>
      </c>
      <c r="W222" s="103"/>
      <c r="X222" s="112">
        <f t="shared" si="37"/>
        <v>0</v>
      </c>
      <c r="Y222" s="112">
        <f t="shared" si="38"/>
        <v>0</v>
      </c>
      <c r="Z222" s="113">
        <f t="shared" si="39"/>
        <v>0</v>
      </c>
      <c r="AA222" s="113">
        <v>0</v>
      </c>
      <c r="AB222" s="114">
        <v>0</v>
      </c>
      <c r="AC222" s="11">
        <f>(L222+M222)-(X222+Y222+Z222+AA222+AB222)</f>
        <v>0</v>
      </c>
      <c r="AD222" s="115" t="e">
        <f t="shared" si="30"/>
        <v>#REF!</v>
      </c>
      <c r="AE222" s="115">
        <f t="shared" si="31"/>
        <v>0</v>
      </c>
      <c r="AF222" s="115">
        <f t="shared" si="32"/>
        <v>0</v>
      </c>
      <c r="AG222" s="11"/>
      <c r="AH222" s="115">
        <f t="shared" si="34"/>
        <v>0</v>
      </c>
      <c r="AI222" s="115">
        <f t="shared" si="35"/>
        <v>0</v>
      </c>
      <c r="AJ222" s="115">
        <f t="shared" si="36"/>
        <v>0</v>
      </c>
      <c r="AL222" s="11" t="e">
        <f t="shared" si="33"/>
        <v>#REF!</v>
      </c>
      <c r="AM222" s="120" t="s">
        <v>330</v>
      </c>
    </row>
    <row r="223" spans="1:39">
      <c r="A223" s="116"/>
      <c r="B223" s="116" t="s">
        <v>49</v>
      </c>
      <c r="C223" s="122" t="s">
        <v>331</v>
      </c>
      <c r="D223" s="118" t="s">
        <v>332</v>
      </c>
      <c r="E223" s="98">
        <v>141145.97</v>
      </c>
      <c r="F223" s="99" t="e">
        <f>VLOOKUP(D223,#REF!,19,FALSE)</f>
        <v>#REF!</v>
      </c>
      <c r="G223" s="100"/>
      <c r="H223" s="100"/>
      <c r="I223" s="101"/>
      <c r="J223" s="102" t="e">
        <f t="shared" si="29"/>
        <v>#REF!</v>
      </c>
      <c r="K223" s="103"/>
      <c r="L223" s="104"/>
      <c r="M223" s="105"/>
      <c r="N223" s="103">
        <v>0</v>
      </c>
      <c r="O223" s="106"/>
      <c r="P223" s="103">
        <v>0</v>
      </c>
      <c r="Q223" s="107">
        <f t="shared" si="42"/>
        <v>0</v>
      </c>
      <c r="R223" s="107"/>
      <c r="S223" s="107"/>
      <c r="T223" s="108">
        <v>5508.63</v>
      </c>
      <c r="U223" s="119"/>
      <c r="V223" s="110">
        <f t="shared" si="41"/>
        <v>5508.63</v>
      </c>
      <c r="W223" s="103"/>
      <c r="X223" s="112">
        <f t="shared" si="37"/>
        <v>0</v>
      </c>
      <c r="Y223" s="112">
        <f t="shared" si="38"/>
        <v>0</v>
      </c>
      <c r="Z223" s="113">
        <f t="shared" si="39"/>
        <v>0</v>
      </c>
      <c r="AA223" s="113">
        <v>0</v>
      </c>
      <c r="AB223" s="114">
        <v>0</v>
      </c>
      <c r="AC223" s="11">
        <f t="shared" si="40"/>
        <v>0</v>
      </c>
      <c r="AD223" s="115" t="e">
        <f t="shared" si="30"/>
        <v>#REF!</v>
      </c>
      <c r="AE223" s="115">
        <f t="shared" si="31"/>
        <v>0</v>
      </c>
      <c r="AF223" s="115">
        <f t="shared" si="32"/>
        <v>0</v>
      </c>
      <c r="AG223" s="11"/>
      <c r="AH223" s="115">
        <f t="shared" si="34"/>
        <v>0</v>
      </c>
      <c r="AI223" s="115">
        <f t="shared" si="35"/>
        <v>0</v>
      </c>
      <c r="AJ223" s="115">
        <f t="shared" si="36"/>
        <v>0</v>
      </c>
      <c r="AL223" s="11" t="e">
        <f t="shared" si="33"/>
        <v>#REF!</v>
      </c>
      <c r="AM223" s="118" t="s">
        <v>332</v>
      </c>
    </row>
    <row r="224" spans="1:39">
      <c r="A224" s="116"/>
      <c r="B224" s="116" t="s">
        <v>46</v>
      </c>
      <c r="C224" s="122" t="s">
        <v>331</v>
      </c>
      <c r="D224" s="118" t="s">
        <v>333</v>
      </c>
      <c r="E224" s="98"/>
      <c r="F224" s="99" t="e">
        <f>VLOOKUP(D224,#REF!,19,FALSE)</f>
        <v>#REF!</v>
      </c>
      <c r="G224" s="100"/>
      <c r="H224" s="100"/>
      <c r="I224" s="101"/>
      <c r="J224" s="102" t="e">
        <f t="shared" si="29"/>
        <v>#REF!</v>
      </c>
      <c r="K224" s="103"/>
      <c r="L224" s="104"/>
      <c r="M224" s="105"/>
      <c r="N224" s="103">
        <v>0</v>
      </c>
      <c r="O224" s="106"/>
      <c r="P224" s="103">
        <v>0</v>
      </c>
      <c r="Q224" s="107">
        <f t="shared" si="42"/>
        <v>0</v>
      </c>
      <c r="R224" s="107"/>
      <c r="S224" s="107"/>
      <c r="T224" s="108">
        <v>0</v>
      </c>
      <c r="U224" s="119"/>
      <c r="V224" s="110">
        <f t="shared" si="41"/>
        <v>0</v>
      </c>
      <c r="W224" s="103"/>
      <c r="X224" s="112">
        <f t="shared" si="37"/>
        <v>0</v>
      </c>
      <c r="Y224" s="112">
        <f t="shared" si="38"/>
        <v>0</v>
      </c>
      <c r="Z224" s="113">
        <f t="shared" si="39"/>
        <v>0</v>
      </c>
      <c r="AA224" s="113">
        <v>0</v>
      </c>
      <c r="AB224" s="114">
        <v>0</v>
      </c>
      <c r="AC224" s="11">
        <f t="shared" si="40"/>
        <v>0</v>
      </c>
      <c r="AD224" s="115">
        <f t="shared" si="30"/>
        <v>0</v>
      </c>
      <c r="AE224" s="115" t="e">
        <f t="shared" si="31"/>
        <v>#REF!</v>
      </c>
      <c r="AF224" s="115">
        <f t="shared" si="32"/>
        <v>0</v>
      </c>
      <c r="AG224" s="11"/>
      <c r="AH224" s="115">
        <f t="shared" si="34"/>
        <v>0</v>
      </c>
      <c r="AI224" s="115">
        <f t="shared" si="35"/>
        <v>0</v>
      </c>
      <c r="AJ224" s="115">
        <f t="shared" si="36"/>
        <v>0</v>
      </c>
      <c r="AL224" s="11" t="e">
        <f t="shared" si="33"/>
        <v>#REF!</v>
      </c>
      <c r="AM224" s="118" t="s">
        <v>333</v>
      </c>
    </row>
    <row r="225" spans="1:39" hidden="1">
      <c r="A225" s="116"/>
      <c r="B225" s="116" t="s">
        <v>46</v>
      </c>
      <c r="C225" s="122"/>
      <c r="D225" s="118" t="s">
        <v>334</v>
      </c>
      <c r="E225" s="98"/>
      <c r="F225" s="99" t="e">
        <f>VLOOKUP(D225,#REF!,19,FALSE)</f>
        <v>#REF!</v>
      </c>
      <c r="G225" s="100"/>
      <c r="H225" s="100"/>
      <c r="I225" s="101"/>
      <c r="J225" s="102" t="e">
        <f t="shared" ref="J225:J235" si="43">SUM(E225:I225)</f>
        <v>#REF!</v>
      </c>
      <c r="K225" s="103"/>
      <c r="L225" s="104"/>
      <c r="M225" s="105"/>
      <c r="N225" s="103">
        <v>0</v>
      </c>
      <c r="O225" s="106"/>
      <c r="P225" s="103">
        <v>0</v>
      </c>
      <c r="Q225" s="107">
        <f t="shared" si="42"/>
        <v>0</v>
      </c>
      <c r="R225" s="107"/>
      <c r="S225" s="107"/>
      <c r="T225" s="108">
        <v>0</v>
      </c>
      <c r="U225" s="119"/>
      <c r="V225" s="110">
        <f t="shared" si="41"/>
        <v>0</v>
      </c>
      <c r="W225" s="103"/>
      <c r="X225" s="112">
        <f t="shared" si="37"/>
        <v>0</v>
      </c>
      <c r="Y225" s="112">
        <f t="shared" si="38"/>
        <v>0</v>
      </c>
      <c r="Z225" s="113">
        <f t="shared" si="39"/>
        <v>0</v>
      </c>
      <c r="AA225" s="113">
        <v>0</v>
      </c>
      <c r="AB225" s="114">
        <v>0</v>
      </c>
      <c r="AC225" s="11">
        <f t="shared" si="40"/>
        <v>0</v>
      </c>
      <c r="AD225" s="115">
        <f t="shared" ref="AD225:AD235" si="44">IF(B225="D",J225,0)</f>
        <v>0</v>
      </c>
      <c r="AE225" s="115" t="e">
        <f t="shared" ref="AE225:AE235" si="45">IF(B225="M",J225,0)</f>
        <v>#REF!</v>
      </c>
      <c r="AF225" s="115">
        <f t="shared" ref="AF225:AF235" si="46">IF(B225="V",J225,0)</f>
        <v>0</v>
      </c>
      <c r="AG225" s="11"/>
      <c r="AH225" s="115">
        <f t="shared" si="34"/>
        <v>0</v>
      </c>
      <c r="AI225" s="115">
        <f t="shared" si="35"/>
        <v>0</v>
      </c>
      <c r="AJ225" s="115">
        <f t="shared" si="36"/>
        <v>0</v>
      </c>
      <c r="AL225" s="11" t="e">
        <f t="shared" ref="AL225:AL235" si="47">SUM(AD225:AJ225)</f>
        <v>#REF!</v>
      </c>
      <c r="AM225" s="118" t="s">
        <v>334</v>
      </c>
    </row>
    <row r="226" spans="1:39" hidden="1">
      <c r="A226" s="116"/>
      <c r="B226" s="116" t="s">
        <v>46</v>
      </c>
      <c r="C226" s="122"/>
      <c r="D226" s="118" t="s">
        <v>335</v>
      </c>
      <c r="E226" s="98"/>
      <c r="F226" s="99" t="e">
        <f>VLOOKUP(D226,#REF!,19,FALSE)</f>
        <v>#REF!</v>
      </c>
      <c r="G226" s="100"/>
      <c r="H226" s="100"/>
      <c r="I226" s="101"/>
      <c r="J226" s="102" t="e">
        <f t="shared" si="43"/>
        <v>#REF!</v>
      </c>
      <c r="K226" s="103"/>
      <c r="L226" s="104"/>
      <c r="M226" s="105"/>
      <c r="N226" s="103">
        <v>0</v>
      </c>
      <c r="O226" s="106"/>
      <c r="P226" s="103">
        <v>0</v>
      </c>
      <c r="Q226" s="107">
        <f t="shared" si="42"/>
        <v>0</v>
      </c>
      <c r="R226" s="107"/>
      <c r="S226" s="107"/>
      <c r="T226" s="108">
        <v>0</v>
      </c>
      <c r="U226" s="119"/>
      <c r="V226" s="110">
        <f t="shared" si="41"/>
        <v>0</v>
      </c>
      <c r="W226" s="103"/>
      <c r="X226" s="112">
        <f t="shared" si="37"/>
        <v>0</v>
      </c>
      <c r="Y226" s="112">
        <f t="shared" si="38"/>
        <v>0</v>
      </c>
      <c r="Z226" s="113">
        <f t="shared" si="39"/>
        <v>0</v>
      </c>
      <c r="AA226" s="113">
        <v>0</v>
      </c>
      <c r="AB226" s="114">
        <v>0</v>
      </c>
      <c r="AC226" s="11">
        <f t="shared" si="40"/>
        <v>0</v>
      </c>
      <c r="AD226" s="115">
        <f t="shared" si="44"/>
        <v>0</v>
      </c>
      <c r="AE226" s="115" t="e">
        <f t="shared" si="45"/>
        <v>#REF!</v>
      </c>
      <c r="AF226" s="115">
        <f t="shared" si="46"/>
        <v>0</v>
      </c>
      <c r="AG226" s="11"/>
      <c r="AH226" s="115">
        <f t="shared" ref="AH226:AH235" si="48">IF(B226="D",Q226,0)</f>
        <v>0</v>
      </c>
      <c r="AI226" s="115">
        <f t="shared" ref="AI226:AI235" si="49">IF(B226="M",Q226,0)</f>
        <v>0</v>
      </c>
      <c r="AJ226" s="115">
        <f t="shared" ref="AJ226:AJ235" si="50">IF(B226="V",Q226,0)</f>
        <v>0</v>
      </c>
      <c r="AL226" s="11" t="e">
        <f t="shared" si="47"/>
        <v>#REF!</v>
      </c>
      <c r="AM226" s="118" t="s">
        <v>335</v>
      </c>
    </row>
    <row r="227" spans="1:39">
      <c r="A227" s="116"/>
      <c r="B227" s="116" t="s">
        <v>46</v>
      </c>
      <c r="C227" s="122"/>
      <c r="D227" s="120" t="s">
        <v>336</v>
      </c>
      <c r="E227" s="98"/>
      <c r="F227" s="99" t="e">
        <f>VLOOKUP(D227,#REF!,19,FALSE)</f>
        <v>#REF!</v>
      </c>
      <c r="G227" s="100"/>
      <c r="H227" s="100"/>
      <c r="I227" s="101"/>
      <c r="J227" s="102" t="e">
        <f t="shared" si="43"/>
        <v>#REF!</v>
      </c>
      <c r="K227" s="103"/>
      <c r="L227" s="104"/>
      <c r="M227" s="105"/>
      <c r="N227" s="103">
        <v>0</v>
      </c>
      <c r="O227" s="106"/>
      <c r="P227" s="103">
        <v>0</v>
      </c>
      <c r="Q227" s="107">
        <f t="shared" si="42"/>
        <v>0</v>
      </c>
      <c r="R227" s="107"/>
      <c r="S227" s="107"/>
      <c r="T227" s="108">
        <v>0</v>
      </c>
      <c r="U227" s="119"/>
      <c r="V227" s="110">
        <f t="shared" si="41"/>
        <v>0</v>
      </c>
      <c r="W227" s="103"/>
      <c r="X227" s="112">
        <f t="shared" ref="X227:X235" si="51">IF(B227="D",Q227,0)</f>
        <v>0</v>
      </c>
      <c r="Y227" s="112">
        <f t="shared" ref="Y227:Y235" si="52">IF(B227="M",Q227,0)</f>
        <v>0</v>
      </c>
      <c r="Z227" s="113">
        <f t="shared" ref="Z227:Z235" si="53">IF(B227="V",Q227,0)</f>
        <v>0</v>
      </c>
      <c r="AA227" s="113">
        <v>0</v>
      </c>
      <c r="AB227" s="114">
        <v>0</v>
      </c>
      <c r="AC227" s="11">
        <f t="shared" ref="AC227:AC235" si="54">(L227+M227)-(X227+Y227+Z227+AA227+AB227)</f>
        <v>0</v>
      </c>
      <c r="AD227" s="115">
        <f t="shared" si="44"/>
        <v>0</v>
      </c>
      <c r="AE227" s="115" t="e">
        <f t="shared" si="45"/>
        <v>#REF!</v>
      </c>
      <c r="AF227" s="115">
        <f t="shared" si="46"/>
        <v>0</v>
      </c>
      <c r="AG227" s="11"/>
      <c r="AH227" s="115">
        <f t="shared" si="48"/>
        <v>0</v>
      </c>
      <c r="AI227" s="115">
        <f t="shared" si="49"/>
        <v>0</v>
      </c>
      <c r="AJ227" s="115">
        <f t="shared" si="50"/>
        <v>0</v>
      </c>
      <c r="AL227" s="11" t="e">
        <f t="shared" si="47"/>
        <v>#REF!</v>
      </c>
      <c r="AM227" s="120" t="s">
        <v>336</v>
      </c>
    </row>
    <row r="228" spans="1:39">
      <c r="A228" s="116"/>
      <c r="B228" s="116" t="s">
        <v>49</v>
      </c>
      <c r="C228" s="122"/>
      <c r="D228" s="120" t="s">
        <v>337</v>
      </c>
      <c r="E228" s="98"/>
      <c r="F228" s="99" t="e">
        <f>VLOOKUP(D228,#REF!,19,FALSE)</f>
        <v>#REF!</v>
      </c>
      <c r="G228" s="100"/>
      <c r="H228" s="100"/>
      <c r="I228" s="101"/>
      <c r="J228" s="102" t="e">
        <f t="shared" si="43"/>
        <v>#REF!</v>
      </c>
      <c r="K228" s="103"/>
      <c r="L228" s="104"/>
      <c r="M228" s="105"/>
      <c r="N228" s="103">
        <v>0</v>
      </c>
      <c r="O228" s="106"/>
      <c r="P228" s="103">
        <v>0</v>
      </c>
      <c r="Q228" s="107">
        <f t="shared" si="42"/>
        <v>0</v>
      </c>
      <c r="R228" s="107"/>
      <c r="S228" s="107"/>
      <c r="T228" s="108">
        <v>0</v>
      </c>
      <c r="U228" s="119"/>
      <c r="V228" s="110">
        <f t="shared" si="41"/>
        <v>0</v>
      </c>
      <c r="W228" s="103"/>
      <c r="X228" s="112">
        <f t="shared" si="51"/>
        <v>0</v>
      </c>
      <c r="Y228" s="112">
        <f t="shared" si="52"/>
        <v>0</v>
      </c>
      <c r="Z228" s="113">
        <f t="shared" si="53"/>
        <v>0</v>
      </c>
      <c r="AA228" s="113">
        <v>0</v>
      </c>
      <c r="AB228" s="114">
        <v>0</v>
      </c>
      <c r="AC228" s="11">
        <f t="shared" si="54"/>
        <v>0</v>
      </c>
      <c r="AD228" s="115" t="e">
        <f t="shared" si="44"/>
        <v>#REF!</v>
      </c>
      <c r="AE228" s="115">
        <f t="shared" si="45"/>
        <v>0</v>
      </c>
      <c r="AF228" s="115">
        <f t="shared" si="46"/>
        <v>0</v>
      </c>
      <c r="AG228" s="11"/>
      <c r="AH228" s="115">
        <f t="shared" si="48"/>
        <v>0</v>
      </c>
      <c r="AI228" s="115">
        <f t="shared" si="49"/>
        <v>0</v>
      </c>
      <c r="AJ228" s="115">
        <f t="shared" si="50"/>
        <v>0</v>
      </c>
      <c r="AL228" s="11" t="e">
        <f t="shared" si="47"/>
        <v>#REF!</v>
      </c>
      <c r="AM228" s="120" t="s">
        <v>337</v>
      </c>
    </row>
    <row r="229" spans="1:39">
      <c r="A229" s="116"/>
      <c r="B229" s="116" t="s">
        <v>46</v>
      </c>
      <c r="C229" s="122" t="s">
        <v>338</v>
      </c>
      <c r="D229" s="120" t="s">
        <v>339</v>
      </c>
      <c r="E229" s="98"/>
      <c r="F229" s="99" t="e">
        <f>VLOOKUP(D229,#REF!,19,FALSE)</f>
        <v>#REF!</v>
      </c>
      <c r="G229" s="100"/>
      <c r="H229" s="100"/>
      <c r="I229" s="101"/>
      <c r="J229" s="102" t="e">
        <f t="shared" si="43"/>
        <v>#REF!</v>
      </c>
      <c r="K229" s="103"/>
      <c r="L229" s="104"/>
      <c r="M229" s="105"/>
      <c r="N229" s="103">
        <v>0</v>
      </c>
      <c r="O229" s="106"/>
      <c r="P229" s="103">
        <v>0</v>
      </c>
      <c r="Q229" s="107">
        <f t="shared" si="42"/>
        <v>0</v>
      </c>
      <c r="R229" s="107"/>
      <c r="S229" s="107"/>
      <c r="T229" s="108">
        <v>0</v>
      </c>
      <c r="U229" s="119"/>
      <c r="V229" s="110">
        <f t="shared" si="41"/>
        <v>0</v>
      </c>
      <c r="W229" s="103"/>
      <c r="X229" s="112">
        <f t="shared" si="51"/>
        <v>0</v>
      </c>
      <c r="Y229" s="112">
        <f t="shared" si="52"/>
        <v>0</v>
      </c>
      <c r="Z229" s="113">
        <f t="shared" si="53"/>
        <v>0</v>
      </c>
      <c r="AA229" s="113">
        <v>0</v>
      </c>
      <c r="AB229" s="114">
        <v>0</v>
      </c>
      <c r="AC229" s="11">
        <f t="shared" si="54"/>
        <v>0</v>
      </c>
      <c r="AD229" s="115">
        <f t="shared" si="44"/>
        <v>0</v>
      </c>
      <c r="AE229" s="115" t="e">
        <f t="shared" si="45"/>
        <v>#REF!</v>
      </c>
      <c r="AF229" s="115">
        <f t="shared" si="46"/>
        <v>0</v>
      </c>
      <c r="AG229" s="11"/>
      <c r="AH229" s="115">
        <f t="shared" si="48"/>
        <v>0</v>
      </c>
      <c r="AI229" s="115">
        <f t="shared" si="49"/>
        <v>0</v>
      </c>
      <c r="AJ229" s="115">
        <f t="shared" si="50"/>
        <v>0</v>
      </c>
      <c r="AL229" s="11" t="e">
        <f t="shared" si="47"/>
        <v>#REF!</v>
      </c>
      <c r="AM229" s="120" t="s">
        <v>339</v>
      </c>
    </row>
    <row r="230" spans="1:39">
      <c r="A230" s="116" t="s">
        <v>340</v>
      </c>
      <c r="B230" s="116" t="s">
        <v>49</v>
      </c>
      <c r="C230" s="122"/>
      <c r="D230" s="120" t="s">
        <v>341</v>
      </c>
      <c r="E230" s="98">
        <v>21588.6</v>
      </c>
      <c r="F230" s="99" t="e">
        <f>VLOOKUP(D230,#REF!,19,FALSE)</f>
        <v>#REF!</v>
      </c>
      <c r="G230" s="100"/>
      <c r="H230" s="100"/>
      <c r="I230" s="101"/>
      <c r="J230" s="102" t="e">
        <f t="shared" si="43"/>
        <v>#REF!</v>
      </c>
      <c r="K230" s="103"/>
      <c r="L230" s="104"/>
      <c r="M230" s="105">
        <v>12000</v>
      </c>
      <c r="N230" s="103">
        <v>0</v>
      </c>
      <c r="O230" s="106"/>
      <c r="P230" s="103">
        <v>0</v>
      </c>
      <c r="Q230" s="107">
        <f t="shared" si="42"/>
        <v>12000</v>
      </c>
      <c r="R230" s="107"/>
      <c r="S230" s="107"/>
      <c r="T230" s="108">
        <v>0</v>
      </c>
      <c r="U230" s="119"/>
      <c r="V230" s="110">
        <f t="shared" si="41"/>
        <v>-12000</v>
      </c>
      <c r="W230" s="103"/>
      <c r="X230" s="112">
        <f t="shared" si="51"/>
        <v>12000</v>
      </c>
      <c r="Y230" s="112">
        <f t="shared" si="52"/>
        <v>0</v>
      </c>
      <c r="Z230" s="113">
        <f t="shared" si="53"/>
        <v>0</v>
      </c>
      <c r="AA230" s="113">
        <v>0</v>
      </c>
      <c r="AB230" s="114">
        <v>0</v>
      </c>
      <c r="AC230" s="11">
        <f t="shared" si="54"/>
        <v>0</v>
      </c>
      <c r="AD230" s="115" t="e">
        <f t="shared" si="44"/>
        <v>#REF!</v>
      </c>
      <c r="AE230" s="115">
        <f t="shared" si="45"/>
        <v>0</v>
      </c>
      <c r="AF230" s="115">
        <f t="shared" si="46"/>
        <v>0</v>
      </c>
      <c r="AG230" s="11"/>
      <c r="AH230" s="115">
        <f t="shared" si="48"/>
        <v>12000</v>
      </c>
      <c r="AI230" s="115">
        <f t="shared" si="49"/>
        <v>0</v>
      </c>
      <c r="AJ230" s="115">
        <f t="shared" si="50"/>
        <v>0</v>
      </c>
      <c r="AL230" s="11" t="e">
        <f t="shared" si="47"/>
        <v>#REF!</v>
      </c>
      <c r="AM230" s="120" t="s">
        <v>341</v>
      </c>
    </row>
    <row r="231" spans="1:39">
      <c r="A231" s="116"/>
      <c r="B231" s="116" t="s">
        <v>49</v>
      </c>
      <c r="C231" s="122" t="s">
        <v>342</v>
      </c>
      <c r="D231" s="120" t="s">
        <v>343</v>
      </c>
      <c r="E231" s="98"/>
      <c r="F231" s="99" t="e">
        <f>VLOOKUP(D231,#REF!,19,FALSE)</f>
        <v>#REF!</v>
      </c>
      <c r="G231" s="100"/>
      <c r="H231" s="100"/>
      <c r="I231" s="125">
        <v>4.07</v>
      </c>
      <c r="J231" s="102" t="e">
        <f t="shared" si="43"/>
        <v>#REF!</v>
      </c>
      <c r="K231" s="103"/>
      <c r="L231" s="104"/>
      <c r="M231" s="105"/>
      <c r="N231" s="103">
        <v>0</v>
      </c>
      <c r="O231" s="106"/>
      <c r="P231" s="103">
        <v>0</v>
      </c>
      <c r="Q231" s="107">
        <f t="shared" si="42"/>
        <v>0</v>
      </c>
      <c r="R231" s="107"/>
      <c r="S231" s="107"/>
      <c r="T231" s="108">
        <v>0</v>
      </c>
      <c r="U231" s="119"/>
      <c r="V231" s="110">
        <f t="shared" si="41"/>
        <v>0</v>
      </c>
      <c r="W231" s="103"/>
      <c r="X231" s="112">
        <f t="shared" si="51"/>
        <v>0</v>
      </c>
      <c r="Y231" s="112">
        <f t="shared" si="52"/>
        <v>0</v>
      </c>
      <c r="Z231" s="113">
        <f t="shared" si="53"/>
        <v>0</v>
      </c>
      <c r="AA231" s="113">
        <v>0</v>
      </c>
      <c r="AB231" s="114">
        <v>0</v>
      </c>
      <c r="AC231" s="11">
        <f t="shared" si="54"/>
        <v>0</v>
      </c>
      <c r="AD231" s="115" t="e">
        <f t="shared" si="44"/>
        <v>#REF!</v>
      </c>
      <c r="AE231" s="115">
        <f t="shared" si="45"/>
        <v>0</v>
      </c>
      <c r="AF231" s="115">
        <f t="shared" si="46"/>
        <v>0</v>
      </c>
      <c r="AG231" s="11"/>
      <c r="AH231" s="115">
        <f t="shared" si="48"/>
        <v>0</v>
      </c>
      <c r="AI231" s="115">
        <f t="shared" si="49"/>
        <v>0</v>
      </c>
      <c r="AJ231" s="115">
        <f t="shared" si="50"/>
        <v>0</v>
      </c>
      <c r="AL231" s="11" t="e">
        <f t="shared" si="47"/>
        <v>#REF!</v>
      </c>
      <c r="AM231" s="120" t="s">
        <v>343</v>
      </c>
    </row>
    <row r="232" spans="1:39">
      <c r="A232" s="129"/>
      <c r="B232" s="129" t="s">
        <v>49</v>
      </c>
      <c r="C232" s="96"/>
      <c r="D232" s="150" t="s">
        <v>344</v>
      </c>
      <c r="E232" s="98"/>
      <c r="F232" s="99" t="e">
        <f>VLOOKUP(D232,#REF!,19,FALSE)</f>
        <v>#REF!</v>
      </c>
      <c r="G232" s="100"/>
      <c r="H232" s="100"/>
      <c r="I232" s="101"/>
      <c r="J232" s="102" t="e">
        <f t="shared" si="43"/>
        <v>#REF!</v>
      </c>
      <c r="K232" s="103"/>
      <c r="L232" s="104"/>
      <c r="M232" s="105"/>
      <c r="N232" s="103">
        <v>0</v>
      </c>
      <c r="O232" s="106"/>
      <c r="P232" s="103">
        <v>0</v>
      </c>
      <c r="Q232" s="107">
        <f t="shared" si="42"/>
        <v>0</v>
      </c>
      <c r="R232" s="107"/>
      <c r="S232" s="107"/>
      <c r="T232" s="108">
        <v>0</v>
      </c>
      <c r="U232" s="119"/>
      <c r="V232" s="110">
        <f t="shared" si="41"/>
        <v>0</v>
      </c>
      <c r="W232" s="103"/>
      <c r="X232" s="112">
        <f t="shared" si="51"/>
        <v>0</v>
      </c>
      <c r="Y232" s="112">
        <f t="shared" si="52"/>
        <v>0</v>
      </c>
      <c r="Z232" s="113">
        <f t="shared" si="53"/>
        <v>0</v>
      </c>
      <c r="AA232" s="113">
        <v>0</v>
      </c>
      <c r="AB232" s="114">
        <v>0</v>
      </c>
      <c r="AC232" s="11">
        <f t="shared" si="54"/>
        <v>0</v>
      </c>
      <c r="AD232" s="115" t="e">
        <f t="shared" si="44"/>
        <v>#REF!</v>
      </c>
      <c r="AE232" s="115">
        <f t="shared" si="45"/>
        <v>0</v>
      </c>
      <c r="AF232" s="115">
        <f t="shared" si="46"/>
        <v>0</v>
      </c>
      <c r="AG232" s="11"/>
      <c r="AH232" s="115">
        <f t="shared" si="48"/>
        <v>0</v>
      </c>
      <c r="AI232" s="115">
        <f t="shared" si="49"/>
        <v>0</v>
      </c>
      <c r="AJ232" s="115">
        <f t="shared" si="50"/>
        <v>0</v>
      </c>
      <c r="AL232" s="11" t="e">
        <f t="shared" si="47"/>
        <v>#REF!</v>
      </c>
      <c r="AM232" s="150" t="s">
        <v>344</v>
      </c>
    </row>
    <row r="233" spans="1:39">
      <c r="A233" s="129"/>
      <c r="B233" s="129" t="s">
        <v>81</v>
      </c>
      <c r="C233" s="96"/>
      <c r="D233" s="120" t="s">
        <v>345</v>
      </c>
      <c r="E233" s="98"/>
      <c r="F233" s="99" t="e">
        <f>VLOOKUP(D233,#REF!,19,FALSE)</f>
        <v>#REF!</v>
      </c>
      <c r="G233" s="100"/>
      <c r="H233" s="100"/>
      <c r="I233" s="101"/>
      <c r="J233" s="102" t="e">
        <f t="shared" si="43"/>
        <v>#REF!</v>
      </c>
      <c r="K233" s="103"/>
      <c r="L233" s="104"/>
      <c r="M233" s="105"/>
      <c r="N233" s="103">
        <v>0</v>
      </c>
      <c r="O233" s="106"/>
      <c r="P233" s="103">
        <v>0</v>
      </c>
      <c r="Q233" s="107">
        <f t="shared" si="42"/>
        <v>0</v>
      </c>
      <c r="R233" s="107"/>
      <c r="S233" s="107"/>
      <c r="T233" s="108">
        <f>2113.96+568.79+387.15</f>
        <v>3069.9</v>
      </c>
      <c r="U233" s="119"/>
      <c r="V233" s="110">
        <f t="shared" si="41"/>
        <v>3069.9</v>
      </c>
      <c r="W233" s="103"/>
      <c r="X233" s="112">
        <f t="shared" si="51"/>
        <v>0</v>
      </c>
      <c r="Y233" s="112">
        <f t="shared" si="52"/>
        <v>0</v>
      </c>
      <c r="Z233" s="113">
        <f t="shared" si="53"/>
        <v>0</v>
      </c>
      <c r="AA233" s="113">
        <v>0</v>
      </c>
      <c r="AB233" s="114">
        <v>0</v>
      </c>
      <c r="AC233" s="11">
        <f t="shared" si="54"/>
        <v>0</v>
      </c>
      <c r="AD233" s="115">
        <f t="shared" si="44"/>
        <v>0</v>
      </c>
      <c r="AE233" s="115">
        <f t="shared" si="45"/>
        <v>0</v>
      </c>
      <c r="AF233" s="115" t="e">
        <f t="shared" si="46"/>
        <v>#REF!</v>
      </c>
      <c r="AG233" s="11"/>
      <c r="AH233" s="115">
        <f t="shared" si="48"/>
        <v>0</v>
      </c>
      <c r="AI233" s="115">
        <f t="shared" si="49"/>
        <v>0</v>
      </c>
      <c r="AJ233" s="115">
        <f t="shared" si="50"/>
        <v>0</v>
      </c>
      <c r="AL233" s="11" t="e">
        <f t="shared" si="47"/>
        <v>#REF!</v>
      </c>
      <c r="AM233" s="120" t="s">
        <v>345</v>
      </c>
    </row>
    <row r="234" spans="1:39">
      <c r="A234" s="129"/>
      <c r="B234" s="129" t="s">
        <v>81</v>
      </c>
      <c r="C234" s="151"/>
      <c r="D234" s="152" t="s">
        <v>346</v>
      </c>
      <c r="E234" s="98"/>
      <c r="F234" s="99" t="e">
        <f>VLOOKUP(D234,#REF!,19,FALSE)</f>
        <v>#REF!</v>
      </c>
      <c r="G234" s="100"/>
      <c r="H234" s="100"/>
      <c r="I234" s="101"/>
      <c r="J234" s="102" t="e">
        <f t="shared" si="43"/>
        <v>#REF!</v>
      </c>
      <c r="K234" s="103"/>
      <c r="L234" s="104"/>
      <c r="M234" s="105"/>
      <c r="N234" s="103">
        <v>0</v>
      </c>
      <c r="O234" s="106"/>
      <c r="P234" s="103">
        <v>0</v>
      </c>
      <c r="Q234" s="107">
        <f t="shared" si="42"/>
        <v>0</v>
      </c>
      <c r="R234" s="107"/>
      <c r="S234" s="107"/>
      <c r="T234" s="108">
        <v>0</v>
      </c>
      <c r="U234" s="119"/>
      <c r="V234" s="110">
        <f t="shared" si="41"/>
        <v>0</v>
      </c>
      <c r="W234" s="103"/>
      <c r="X234" s="112">
        <f t="shared" si="51"/>
        <v>0</v>
      </c>
      <c r="Y234" s="112">
        <f t="shared" si="52"/>
        <v>0</v>
      </c>
      <c r="Z234" s="113">
        <f t="shared" si="53"/>
        <v>0</v>
      </c>
      <c r="AA234" s="113">
        <v>0</v>
      </c>
      <c r="AB234" s="114">
        <v>0</v>
      </c>
      <c r="AC234" s="11">
        <f t="shared" si="54"/>
        <v>0</v>
      </c>
      <c r="AD234" s="115">
        <f t="shared" si="44"/>
        <v>0</v>
      </c>
      <c r="AE234" s="115">
        <f t="shared" si="45"/>
        <v>0</v>
      </c>
      <c r="AF234" s="115" t="e">
        <f t="shared" si="46"/>
        <v>#REF!</v>
      </c>
      <c r="AG234" s="11"/>
      <c r="AH234" s="115">
        <f t="shared" si="48"/>
        <v>0</v>
      </c>
      <c r="AI234" s="115">
        <f t="shared" si="49"/>
        <v>0</v>
      </c>
      <c r="AJ234" s="115">
        <f t="shared" si="50"/>
        <v>0</v>
      </c>
      <c r="AL234" s="11" t="e">
        <f t="shared" si="47"/>
        <v>#REF!</v>
      </c>
      <c r="AM234" s="152" t="s">
        <v>346</v>
      </c>
    </row>
    <row r="235" spans="1:39" s="9" customFormat="1" ht="13" thickBot="1">
      <c r="A235" s="129"/>
      <c r="B235" s="129" t="s">
        <v>49</v>
      </c>
      <c r="C235" s="96"/>
      <c r="D235" s="120" t="s">
        <v>347</v>
      </c>
      <c r="E235" s="98"/>
      <c r="F235" s="99" t="e">
        <f>VLOOKUP(D235,#REF!,19,FALSE)</f>
        <v>#REF!</v>
      </c>
      <c r="G235" s="100"/>
      <c r="H235" s="100"/>
      <c r="I235" s="101"/>
      <c r="J235" s="102" t="e">
        <f t="shared" si="43"/>
        <v>#REF!</v>
      </c>
      <c r="K235" s="103"/>
      <c r="L235" s="104"/>
      <c r="M235" s="105"/>
      <c r="N235" s="103">
        <v>0</v>
      </c>
      <c r="O235" s="106"/>
      <c r="P235" s="103">
        <v>0</v>
      </c>
      <c r="Q235" s="107">
        <f t="shared" si="42"/>
        <v>0</v>
      </c>
      <c r="R235" s="107"/>
      <c r="S235" s="107"/>
      <c r="T235" s="108">
        <v>0</v>
      </c>
      <c r="U235" s="119"/>
      <c r="V235" s="110">
        <f t="shared" si="41"/>
        <v>0</v>
      </c>
      <c r="W235" s="103"/>
      <c r="X235" s="112">
        <f t="shared" si="51"/>
        <v>0</v>
      </c>
      <c r="Y235" s="112">
        <f t="shared" si="52"/>
        <v>0</v>
      </c>
      <c r="Z235" s="113">
        <f t="shared" si="53"/>
        <v>0</v>
      </c>
      <c r="AA235" s="113">
        <v>0</v>
      </c>
      <c r="AB235" s="114">
        <v>0</v>
      </c>
      <c r="AC235" s="11">
        <f t="shared" si="54"/>
        <v>0</v>
      </c>
      <c r="AD235" s="115" t="e">
        <f t="shared" si="44"/>
        <v>#REF!</v>
      </c>
      <c r="AE235" s="115">
        <f t="shared" si="45"/>
        <v>0</v>
      </c>
      <c r="AF235" s="115">
        <f t="shared" si="46"/>
        <v>0</v>
      </c>
      <c r="AG235" s="11"/>
      <c r="AH235" s="115">
        <f t="shared" si="48"/>
        <v>0</v>
      </c>
      <c r="AI235" s="115">
        <f t="shared" si="49"/>
        <v>0</v>
      </c>
      <c r="AJ235" s="115">
        <f t="shared" si="50"/>
        <v>0</v>
      </c>
      <c r="AL235" s="11" t="e">
        <f t="shared" si="47"/>
        <v>#REF!</v>
      </c>
      <c r="AM235" s="120" t="s">
        <v>348</v>
      </c>
    </row>
    <row r="236" spans="1:39" ht="13" thickBot="1">
      <c r="A236" s="153"/>
      <c r="B236" s="154"/>
      <c r="C236" s="155"/>
      <c r="D236" s="156" t="s">
        <v>349</v>
      </c>
      <c r="E236" s="157">
        <f t="shared" ref="E236:J236" si="55">SUM(E16:E235)</f>
        <v>412098.29</v>
      </c>
      <c r="F236" s="157" t="e">
        <f t="shared" si="55"/>
        <v>#REF!</v>
      </c>
      <c r="G236" s="157">
        <f t="shared" si="55"/>
        <v>0</v>
      </c>
      <c r="H236" s="157">
        <f t="shared" si="55"/>
        <v>0</v>
      </c>
      <c r="I236" s="157">
        <f t="shared" si="55"/>
        <v>10056276.584635999</v>
      </c>
      <c r="J236" s="157" t="e">
        <f t="shared" si="55"/>
        <v>#REF!</v>
      </c>
      <c r="K236" s="157"/>
      <c r="L236" s="157">
        <f>SUM(L16:L235)</f>
        <v>561500</v>
      </c>
      <c r="M236" s="157">
        <f>SUM(M16:M235)</f>
        <v>10069200</v>
      </c>
      <c r="N236" s="157">
        <f>SUM(N16:N235)</f>
        <v>0</v>
      </c>
      <c r="O236" s="158">
        <f>SUM(O16:O235)</f>
        <v>0</v>
      </c>
      <c r="P236" s="159">
        <f>SUM(P17:P235)</f>
        <v>0</v>
      </c>
      <c r="Q236" s="158">
        <f>SUM(Q16:Q235)</f>
        <v>10630700</v>
      </c>
      <c r="R236" s="158"/>
      <c r="S236" s="158"/>
      <c r="T236" s="158">
        <f>SUM(T16:T235)</f>
        <v>8273231.4899999984</v>
      </c>
      <c r="U236" s="160"/>
      <c r="V236" s="158">
        <f>SUM(V16:V235)</f>
        <v>-2357468.5099999998</v>
      </c>
      <c r="W236" s="103"/>
      <c r="X236" s="161">
        <f>SUM(X16:X235)</f>
        <v>9697900</v>
      </c>
      <c r="Y236" s="161">
        <f>SUM(Y16:Y235)</f>
        <v>760000</v>
      </c>
      <c r="Z236" s="161">
        <f>SUM(Z16:Z235)</f>
        <v>172800</v>
      </c>
      <c r="AA236" s="161">
        <f>SUM(AA16:AA235)</f>
        <v>0</v>
      </c>
      <c r="AB236" s="161">
        <f>SUM(AB16:AB235)</f>
        <v>0</v>
      </c>
      <c r="AC236" s="11"/>
      <c r="AD236" s="161" t="e">
        <f>SUM(AD16:AD235)</f>
        <v>#REF!</v>
      </c>
      <c r="AE236" s="161" t="e">
        <f>SUM(AE16:AE235)</f>
        <v>#REF!</v>
      </c>
      <c r="AF236" s="161" t="e">
        <f>SUM(AF16:AF235)</f>
        <v>#REF!</v>
      </c>
      <c r="AG236" s="11"/>
      <c r="AH236" s="161">
        <f>SUM(AH16:AH235)</f>
        <v>9697900</v>
      </c>
      <c r="AI236" s="161">
        <f>SUM(AI16:AI235)</f>
        <v>760000</v>
      </c>
      <c r="AJ236" s="161">
        <f>SUM(AJ16:AJ235)</f>
        <v>172800</v>
      </c>
    </row>
    <row r="237" spans="1:39" ht="13" thickBot="1">
      <c r="A237" s="162"/>
      <c r="B237" s="162"/>
      <c r="C237" s="163"/>
      <c r="D237" s="164"/>
      <c r="E237" s="165" t="s">
        <v>350</v>
      </c>
      <c r="F237" s="166" t="e">
        <f>F236+E236</f>
        <v>#REF!</v>
      </c>
      <c r="G237" s="167"/>
      <c r="H237" s="167" t="s">
        <v>351</v>
      </c>
      <c r="I237" s="167">
        <f>I236+H236+G236</f>
        <v>10056276.584635999</v>
      </c>
      <c r="J237" s="168"/>
      <c r="K237" s="167"/>
      <c r="L237" s="167" t="s">
        <v>352</v>
      </c>
      <c r="M237" s="158">
        <f>M236+L236</f>
        <v>10630700</v>
      </c>
      <c r="N237" s="167"/>
      <c r="O237" s="169"/>
      <c r="P237" s="167"/>
      <c r="Q237" s="167"/>
      <c r="R237" s="167"/>
      <c r="S237" s="167"/>
      <c r="T237" s="167"/>
      <c r="U237" s="167"/>
      <c r="V237" s="167"/>
      <c r="W237" s="167"/>
      <c r="X237" s="170"/>
      <c r="Y237" s="170"/>
      <c r="Z237" s="170"/>
      <c r="AA237" s="170"/>
      <c r="AB237" s="171"/>
      <c r="AC237" s="11"/>
      <c r="AD237" s="172"/>
      <c r="AE237" s="172"/>
      <c r="AF237" s="172"/>
      <c r="AG237" s="11"/>
      <c r="AH237" s="11"/>
      <c r="AI237" s="11"/>
      <c r="AJ237" s="11"/>
    </row>
    <row r="238" spans="1:39" ht="13" thickBot="1">
      <c r="A238" s="162"/>
      <c r="B238" s="162"/>
      <c r="C238" s="163"/>
      <c r="E238" s="173"/>
      <c r="F238" s="167"/>
      <c r="G238" s="167"/>
      <c r="H238" s="167"/>
      <c r="I238" s="167"/>
      <c r="J238" s="167"/>
      <c r="K238" s="167"/>
      <c r="L238" s="167"/>
      <c r="M238" s="174"/>
      <c r="N238" s="167"/>
      <c r="O238" s="167"/>
      <c r="P238" s="167"/>
      <c r="Q238" s="167"/>
      <c r="R238" s="167"/>
      <c r="S238" s="167"/>
      <c r="T238" s="167"/>
      <c r="U238" s="167"/>
      <c r="V238" s="167"/>
      <c r="W238" s="167"/>
      <c r="X238" s="175" t="s">
        <v>353</v>
      </c>
      <c r="Y238" s="170"/>
      <c r="Z238" s="170"/>
      <c r="AA238" s="170"/>
      <c r="AB238" s="171"/>
      <c r="AC238" s="17" t="s">
        <v>354</v>
      </c>
      <c r="AD238" s="176"/>
      <c r="AE238" s="176"/>
      <c r="AF238" s="176"/>
      <c r="AG238" s="11"/>
      <c r="AH238" s="172"/>
      <c r="AI238" s="172"/>
      <c r="AJ238" s="172"/>
    </row>
    <row r="239" spans="1:39" ht="17" thickTop="1" thickBot="1">
      <c r="E239" s="177"/>
      <c r="F239" s="178"/>
      <c r="G239" s="179"/>
      <c r="H239" s="180"/>
      <c r="I239" s="180"/>
      <c r="J239" s="17"/>
      <c r="K239" s="8"/>
      <c r="L239" s="181"/>
      <c r="M239" s="181"/>
      <c r="N239" s="11"/>
      <c r="O239" s="182"/>
      <c r="P239" s="170"/>
      <c r="Q239" s="170"/>
      <c r="R239" s="170"/>
      <c r="S239" s="170"/>
      <c r="T239" s="62"/>
      <c r="U239" s="62"/>
      <c r="V239" s="62"/>
      <c r="W239" s="8"/>
      <c r="X239" s="183"/>
      <c r="Y239" s="184"/>
      <c r="Z239" s="185"/>
      <c r="AA239" s="185"/>
      <c r="AB239" s="186"/>
      <c r="AC239" s="17" t="s">
        <v>355</v>
      </c>
      <c r="AD239" s="176"/>
      <c r="AE239" s="176"/>
      <c r="AF239" s="187"/>
      <c r="AG239" s="11"/>
      <c r="AH239" s="11"/>
      <c r="AI239" s="11"/>
      <c r="AJ239" s="11"/>
    </row>
    <row r="240" spans="1:39" ht="17" thickBot="1">
      <c r="E240" s="177"/>
      <c r="F240" s="178"/>
      <c r="G240" s="179"/>
      <c r="H240" s="180"/>
      <c r="J240" s="41" t="e">
        <f>J236</f>
        <v>#REF!</v>
      </c>
      <c r="K240" s="180" t="s">
        <v>386</v>
      </c>
      <c r="L240" s="8"/>
      <c r="M240" s="188"/>
      <c r="N240" s="11"/>
      <c r="O240" s="45"/>
      <c r="P240" s="171"/>
      <c r="Q240" s="170"/>
      <c r="R240" s="170"/>
      <c r="S240" s="170"/>
      <c r="T240" s="62"/>
      <c r="U240" s="62"/>
      <c r="V240" s="62"/>
      <c r="W240" s="8"/>
      <c r="X240" s="189"/>
      <c r="Y240" s="190"/>
      <c r="Z240" s="191" t="s">
        <v>357</v>
      </c>
      <c r="AA240" s="191" t="s">
        <v>358</v>
      </c>
      <c r="AB240" s="190"/>
      <c r="AC240" s="192" t="s">
        <v>359</v>
      </c>
      <c r="AD240" s="193" t="e">
        <f>SUM(AD236:AD239)</f>
        <v>#REF!</v>
      </c>
      <c r="AE240" s="193" t="e">
        <f>AE236</f>
        <v>#REF!</v>
      </c>
      <c r="AF240" s="193" t="e">
        <f>SUM(AF236:AF239)</f>
        <v>#REF!</v>
      </c>
      <c r="AG240" s="193"/>
      <c r="AH240" s="193">
        <f>AH236</f>
        <v>9697900</v>
      </c>
      <c r="AI240" s="193">
        <f>AI236</f>
        <v>760000</v>
      </c>
      <c r="AJ240" s="194">
        <f>AJ236</f>
        <v>172800</v>
      </c>
      <c r="AL240" s="11" t="e">
        <f>SUM(AL17:AL239)</f>
        <v>#REF!</v>
      </c>
    </row>
    <row r="241" spans="4:36" ht="15" thickBot="1">
      <c r="D241" s="195"/>
      <c r="E241" s="196"/>
      <c r="F241" s="178"/>
      <c r="G241" s="179"/>
      <c r="H241" s="197"/>
      <c r="J241" s="198" t="e">
        <f>SUM(#REF!)</f>
        <v>#REF!</v>
      </c>
      <c r="K241" s="199" t="s">
        <v>360</v>
      </c>
      <c r="L241" s="200"/>
      <c r="M241" s="182"/>
      <c r="N241" s="62"/>
      <c r="O241" s="45"/>
      <c r="P241" s="171"/>
      <c r="Q241" s="170"/>
      <c r="R241" s="170"/>
      <c r="S241" s="170"/>
      <c r="T241" s="62"/>
      <c r="U241" s="62"/>
      <c r="V241" s="62"/>
      <c r="W241" s="8"/>
      <c r="X241" s="201" t="s">
        <v>361</v>
      </c>
      <c r="Y241" s="171" t="s">
        <v>362</v>
      </c>
      <c r="Z241" s="171">
        <f>X236+Y236+Z236</f>
        <v>10630700</v>
      </c>
      <c r="AA241" s="171"/>
      <c r="AB241" s="202"/>
      <c r="AC241" s="203"/>
      <c r="AD241" s="11"/>
      <c r="AE241" s="11"/>
      <c r="AF241" s="11"/>
      <c r="AG241" s="11"/>
      <c r="AH241" s="11"/>
      <c r="AI241" s="11"/>
      <c r="AJ241" s="11"/>
    </row>
    <row r="242" spans="4:36" ht="15" thickTop="1">
      <c r="D242" s="195"/>
      <c r="E242" s="177"/>
      <c r="F242" s="178"/>
      <c r="G242" s="179"/>
      <c r="H242" s="179" t="s">
        <v>363</v>
      </c>
      <c r="I242" s="4"/>
      <c r="J242" s="204" t="e">
        <f>J241+J240</f>
        <v>#REF!</v>
      </c>
      <c r="K242" s="179" t="s">
        <v>364</v>
      </c>
      <c r="L242" s="200"/>
      <c r="M242" s="45"/>
      <c r="N242" s="171"/>
      <c r="O242" s="204"/>
      <c r="P242" s="171"/>
      <c r="Q242" s="205"/>
      <c r="R242" s="170"/>
      <c r="S242" s="170"/>
      <c r="T242" s="170"/>
      <c r="U242" s="170"/>
      <c r="V242" s="170"/>
      <c r="W242" s="8"/>
      <c r="X242" s="201"/>
      <c r="Y242" s="171"/>
      <c r="Z242" s="171"/>
      <c r="AA242" s="171"/>
      <c r="AB242" s="202"/>
      <c r="AC242" s="203"/>
      <c r="AD242" s="11"/>
      <c r="AE242" s="11"/>
      <c r="AF242" s="11" t="s">
        <v>349</v>
      </c>
      <c r="AG242" s="11"/>
      <c r="AH242" s="181" t="e">
        <f>SUM(AD240+AH240)</f>
        <v>#REF!</v>
      </c>
      <c r="AI242" s="181" t="e">
        <f t="shared" ref="AI242:AJ242" si="56">SUM(AE240+AI240)</f>
        <v>#REF!</v>
      </c>
      <c r="AJ242" s="181" t="e">
        <f t="shared" si="56"/>
        <v>#REF!</v>
      </c>
    </row>
    <row r="243" spans="4:36" ht="14">
      <c r="D243" s="195"/>
      <c r="E243" s="177"/>
      <c r="F243" s="178"/>
      <c r="G243" s="179"/>
      <c r="H243" s="179"/>
      <c r="J243" s="45"/>
      <c r="K243" s="179"/>
      <c r="L243" s="200"/>
      <c r="M243" s="171"/>
      <c r="N243" s="11"/>
      <c r="O243" s="170"/>
      <c r="P243" s="171"/>
      <c r="Q243" s="170"/>
      <c r="R243" s="170"/>
      <c r="S243" s="170"/>
      <c r="T243" s="170"/>
      <c r="U243" s="170"/>
      <c r="V243" s="170"/>
      <c r="W243" s="8"/>
      <c r="X243" s="201" t="s">
        <v>365</v>
      </c>
      <c r="Y243" s="171" t="s">
        <v>366</v>
      </c>
      <c r="Z243" s="171"/>
      <c r="AA243" s="171">
        <f>X236</f>
        <v>9697900</v>
      </c>
      <c r="AB243" s="202"/>
      <c r="AC243" s="11"/>
      <c r="AD243" s="206" t="s">
        <v>367</v>
      </c>
      <c r="AE243" s="11"/>
      <c r="AF243" s="11"/>
      <c r="AG243" s="11"/>
      <c r="AH243" s="181"/>
      <c r="AI243" s="181"/>
      <c r="AJ243" s="181"/>
    </row>
    <row r="244" spans="4:36" ht="15" thickBot="1">
      <c r="D244" s="195" t="s">
        <v>368</v>
      </c>
      <c r="E244" s="177"/>
      <c r="F244" s="178"/>
      <c r="G244" s="179"/>
      <c r="H244" s="179"/>
      <c r="J244" s="207">
        <f>M237</f>
        <v>10630700</v>
      </c>
      <c r="K244" s="179" t="s">
        <v>387</v>
      </c>
      <c r="L244" s="208"/>
      <c r="M244" s="49"/>
      <c r="N244" s="11"/>
      <c r="O244" s="170"/>
      <c r="P244" s="171"/>
      <c r="Q244" s="170"/>
      <c r="R244" s="170"/>
      <c r="S244" s="170"/>
      <c r="T244" s="209"/>
      <c r="U244" s="170"/>
      <c r="V244" s="210"/>
      <c r="W244" s="8"/>
      <c r="X244" s="201"/>
      <c r="Y244" s="171" t="s">
        <v>370</v>
      </c>
      <c r="Z244" s="171"/>
      <c r="AA244" s="171">
        <f>AA236</f>
        <v>0</v>
      </c>
      <c r="AB244" s="202"/>
      <c r="AC244" s="11"/>
      <c r="AD244" s="11"/>
      <c r="AE244" s="11"/>
      <c r="AF244" s="11"/>
      <c r="AG244" s="11"/>
      <c r="AH244" s="211" t="s">
        <v>371</v>
      </c>
      <c r="AI244" s="212" t="e">
        <f>SUM(AH242:AJ242)</f>
        <v>#REF!</v>
      </c>
      <c r="AJ244" s="213"/>
    </row>
    <row r="245" spans="4:36" ht="16" thickTop="1" thickBot="1">
      <c r="D245" s="195"/>
      <c r="E245" s="177"/>
      <c r="F245" s="178"/>
      <c r="G245" s="179"/>
      <c r="H245" s="179"/>
      <c r="J245" s="204" t="e">
        <f>SUM(J242:J244)</f>
        <v>#REF!</v>
      </c>
      <c r="K245" s="179"/>
      <c r="L245" s="200"/>
      <c r="M245" s="49"/>
      <c r="N245" s="11"/>
      <c r="O245" s="62"/>
      <c r="P245" s="11"/>
      <c r="Q245" s="170"/>
      <c r="R245" s="170"/>
      <c r="S245" s="170"/>
      <c r="T245" s="170"/>
      <c r="U245" s="170"/>
      <c r="V245" s="170"/>
      <c r="W245" s="8"/>
      <c r="X245" s="201"/>
      <c r="Y245" s="171"/>
      <c r="Z245" s="171"/>
      <c r="AA245" s="171"/>
      <c r="AB245" s="202"/>
      <c r="AC245" s="11"/>
      <c r="AD245" s="11"/>
      <c r="AE245" s="11"/>
      <c r="AF245" s="11"/>
      <c r="AG245" s="11"/>
    </row>
    <row r="246" spans="4:36" ht="15" thickBot="1">
      <c r="E246" s="177"/>
      <c r="F246" s="178"/>
      <c r="G246" s="179"/>
      <c r="H246" s="179"/>
      <c r="J246" s="214" t="e">
        <f>J240+J244</f>
        <v>#REF!</v>
      </c>
      <c r="K246" s="179" t="s">
        <v>388</v>
      </c>
      <c r="L246" s="200"/>
      <c r="M246" s="49"/>
      <c r="N246" s="11"/>
      <c r="O246" s="62"/>
      <c r="P246" s="11"/>
      <c r="Q246" s="170"/>
      <c r="R246" s="170"/>
      <c r="S246" s="170"/>
      <c r="T246" s="170"/>
      <c r="U246" s="170"/>
      <c r="V246" s="170"/>
      <c r="W246" s="8"/>
      <c r="X246" s="201" t="s">
        <v>373</v>
      </c>
      <c r="Y246" s="171" t="s">
        <v>374</v>
      </c>
      <c r="Z246" s="171"/>
      <c r="AA246" s="171">
        <f>Y236</f>
        <v>760000</v>
      </c>
      <c r="AB246" s="202"/>
      <c r="AC246" s="11"/>
      <c r="AD246" s="11"/>
      <c r="AE246" s="11"/>
      <c r="AF246" s="11"/>
      <c r="AG246" s="11"/>
      <c r="AH246" s="215" t="s">
        <v>375</v>
      </c>
      <c r="AI246" s="11" t="e">
        <f>AI244-AJ242</f>
        <v>#REF!</v>
      </c>
      <c r="AJ246" s="11"/>
    </row>
    <row r="247" spans="4:36">
      <c r="D247" s="18"/>
      <c r="E247" s="177"/>
      <c r="F247" s="178"/>
      <c r="G247" s="179"/>
      <c r="H247" s="179"/>
      <c r="J247" s="216"/>
      <c r="K247" s="179"/>
      <c r="L247" s="49"/>
      <c r="M247" s="217"/>
      <c r="N247" s="11"/>
      <c r="O247" s="62"/>
      <c r="P247" s="11"/>
      <c r="Q247" s="170"/>
      <c r="R247" s="170"/>
      <c r="S247" s="170"/>
      <c r="T247" s="170"/>
      <c r="U247" s="170"/>
      <c r="V247" s="170"/>
      <c r="W247" s="8"/>
      <c r="X247" s="218"/>
      <c r="Y247" s="171" t="s">
        <v>376</v>
      </c>
      <c r="Z247" s="171"/>
      <c r="AA247" s="171">
        <f>AB236</f>
        <v>0</v>
      </c>
      <c r="AB247" s="202"/>
      <c r="AC247" s="11"/>
      <c r="AD247" s="11"/>
      <c r="AE247" s="11"/>
      <c r="AF247" s="11"/>
      <c r="AG247" s="11"/>
      <c r="AH247" s="11"/>
      <c r="AI247" s="11"/>
      <c r="AJ247" s="11"/>
    </row>
    <row r="248" spans="4:36">
      <c r="E248" s="177"/>
      <c r="F248" s="178"/>
      <c r="G248" s="179"/>
      <c r="H248" s="179"/>
      <c r="J248" s="219" t="e">
        <f>SUM(AD240:AJ240)</f>
        <v>#REF!</v>
      </c>
      <c r="K248" s="179" t="s">
        <v>377</v>
      </c>
      <c r="L248" s="220"/>
      <c r="M248" s="216"/>
      <c r="N248" s="11"/>
      <c r="O248" s="62"/>
      <c r="P248" s="11"/>
      <c r="Q248" s="170"/>
      <c r="R248" s="170"/>
      <c r="S248" s="170"/>
      <c r="T248" s="170"/>
      <c r="U248" s="170"/>
      <c r="V248" s="170"/>
      <c r="W248" s="8"/>
      <c r="X248" s="218"/>
      <c r="Y248" s="171"/>
      <c r="Z248" s="171"/>
      <c r="AA248" s="171"/>
      <c r="AB248" s="202"/>
      <c r="AC248" s="11"/>
      <c r="AD248" s="11"/>
      <c r="AE248" s="11"/>
      <c r="AF248" s="11"/>
      <c r="AG248" s="11"/>
      <c r="AH248" s="11"/>
      <c r="AI248" s="11"/>
      <c r="AJ248" s="11"/>
    </row>
    <row r="249" spans="4:36" ht="13" thickBot="1">
      <c r="E249" s="177"/>
      <c r="F249" s="178"/>
      <c r="G249" s="179"/>
      <c r="H249" s="179"/>
      <c r="J249" s="8"/>
      <c r="K249" s="179" t="s">
        <v>364</v>
      </c>
      <c r="L249" s="221"/>
      <c r="M249" s="222"/>
      <c r="N249" s="11"/>
      <c r="O249" s="62"/>
      <c r="P249" s="11"/>
      <c r="Q249" s="170"/>
      <c r="R249" s="170"/>
      <c r="S249" s="170"/>
      <c r="T249" s="170"/>
      <c r="U249" s="170"/>
      <c r="V249" s="170"/>
      <c r="W249" s="8"/>
      <c r="X249" s="201" t="s">
        <v>378</v>
      </c>
      <c r="Y249" s="190" t="s">
        <v>379</v>
      </c>
      <c r="Z249" s="190"/>
      <c r="AA249" s="190">
        <f>Z236</f>
        <v>172800</v>
      </c>
      <c r="AB249" s="223"/>
      <c r="AC249" s="11"/>
      <c r="AD249" s="11"/>
      <c r="AE249" s="11"/>
      <c r="AF249" s="11"/>
      <c r="AG249" s="11"/>
      <c r="AH249" s="11"/>
      <c r="AI249" s="11"/>
      <c r="AJ249" s="11"/>
    </row>
    <row r="250" spans="4:36" ht="15" thickBot="1">
      <c r="E250" s="177"/>
      <c r="F250" s="178"/>
      <c r="G250" s="179"/>
      <c r="H250" s="179"/>
      <c r="J250" s="224"/>
      <c r="K250" s="179" t="s">
        <v>380</v>
      </c>
      <c r="L250" s="8"/>
      <c r="M250" s="8"/>
      <c r="N250" s="11"/>
      <c r="O250" s="62"/>
      <c r="P250" s="11"/>
      <c r="Q250" s="62"/>
      <c r="R250" s="62"/>
      <c r="S250" s="62"/>
      <c r="T250" s="62"/>
      <c r="U250" s="62"/>
      <c r="V250" s="62"/>
      <c r="W250" s="8"/>
      <c r="X250" s="225"/>
      <c r="Y250" s="171"/>
      <c r="Z250" s="45">
        <f>SUM(Z241:Z249)</f>
        <v>10630700</v>
      </c>
      <c r="AA250" s="45">
        <f>SUM(AA241:AA249)</f>
        <v>10630700</v>
      </c>
      <c r="AB250" s="202"/>
      <c r="AC250" s="11"/>
      <c r="AD250" s="11"/>
      <c r="AE250" s="11"/>
      <c r="AF250" s="11"/>
      <c r="AG250" s="11"/>
      <c r="AH250" s="11"/>
      <c r="AI250" s="226" t="e">
        <f>SUM(AI242/AI246)</f>
        <v>#REF!</v>
      </c>
      <c r="AJ250" s="11"/>
    </row>
    <row r="251" spans="4:36">
      <c r="E251" s="177"/>
      <c r="F251" s="178"/>
      <c r="G251" s="179"/>
      <c r="H251" s="179"/>
      <c r="I251" s="179"/>
      <c r="J251" s="8"/>
      <c r="K251" s="8"/>
      <c r="L251" s="8"/>
      <c r="M251" s="8"/>
      <c r="N251" s="11"/>
      <c r="O251" s="62"/>
      <c r="P251" s="11"/>
      <c r="Q251" s="62"/>
      <c r="R251" s="62"/>
      <c r="S251" s="62"/>
      <c r="T251" s="62"/>
      <c r="U251" s="62"/>
      <c r="V251" s="62"/>
      <c r="W251" s="8"/>
      <c r="X251" s="225"/>
      <c r="Y251" s="171"/>
      <c r="Z251" s="171"/>
      <c r="AA251" s="171"/>
      <c r="AB251" s="202"/>
      <c r="AC251" s="11"/>
      <c r="AD251" s="11"/>
      <c r="AE251" s="11"/>
      <c r="AF251" s="11"/>
      <c r="AG251" s="11"/>
      <c r="AH251" s="11"/>
      <c r="AI251" s="11"/>
      <c r="AJ251" s="11"/>
    </row>
    <row r="252" spans="4:36" ht="13" thickBot="1">
      <c r="E252" s="177"/>
      <c r="F252" s="178"/>
      <c r="G252" s="179"/>
      <c r="H252" s="179"/>
      <c r="I252" s="179"/>
      <c r="J252" s="8"/>
      <c r="K252" s="8"/>
      <c r="L252" s="8"/>
      <c r="M252" s="8"/>
      <c r="N252" s="11"/>
      <c r="O252" s="62"/>
      <c r="P252" s="11"/>
      <c r="Q252" s="62"/>
      <c r="R252" s="62"/>
      <c r="S252" s="62"/>
      <c r="T252" s="62"/>
      <c r="U252" s="62"/>
      <c r="V252" s="62"/>
      <c r="W252" s="8"/>
      <c r="X252" s="227"/>
      <c r="Y252" s="228"/>
      <c r="Z252" s="228"/>
      <c r="AA252" s="228"/>
      <c r="AB252" s="229"/>
      <c r="AC252" s="11"/>
      <c r="AD252" s="11"/>
      <c r="AE252" s="11"/>
      <c r="AF252" s="11"/>
      <c r="AG252" s="11"/>
      <c r="AH252" s="11"/>
      <c r="AI252" s="11"/>
      <c r="AJ252" s="11"/>
    </row>
    <row r="253" spans="4:36">
      <c r="E253" s="177"/>
      <c r="F253" s="178"/>
      <c r="G253" s="179"/>
      <c r="H253" s="179"/>
      <c r="I253" s="179"/>
      <c r="J253" s="8"/>
      <c r="K253" s="8"/>
      <c r="L253" s="8"/>
      <c r="M253" s="8"/>
      <c r="N253" s="11"/>
      <c r="O253" s="62"/>
      <c r="P253" s="11"/>
      <c r="Q253" s="62"/>
      <c r="R253" s="62"/>
      <c r="S253" s="62"/>
      <c r="T253" s="62"/>
      <c r="U253" s="62"/>
      <c r="V253" s="62"/>
      <c r="W253" s="8"/>
      <c r="X253" s="171"/>
      <c r="Y253" s="171"/>
      <c r="Z253" s="171"/>
      <c r="AA253" s="171"/>
      <c r="AB253" s="171"/>
      <c r="AC253" s="11"/>
      <c r="AD253" s="11"/>
      <c r="AE253" s="11"/>
      <c r="AF253" s="11"/>
      <c r="AG253" s="11"/>
      <c r="AH253" s="11"/>
      <c r="AI253" s="11"/>
      <c r="AJ253" s="11"/>
    </row>
    <row r="254" spans="4:36">
      <c r="E254" s="177"/>
      <c r="F254" s="178"/>
      <c r="G254" s="179"/>
      <c r="H254" s="179"/>
      <c r="I254" s="179"/>
      <c r="J254" s="8"/>
      <c r="K254" s="8"/>
      <c r="L254" s="8"/>
      <c r="M254" s="8"/>
      <c r="N254" s="11"/>
      <c r="O254" s="62"/>
      <c r="P254" s="11"/>
      <c r="Q254" s="62"/>
      <c r="R254" s="62"/>
      <c r="S254" s="62"/>
      <c r="T254" s="62"/>
      <c r="U254" s="62"/>
      <c r="V254" s="62"/>
      <c r="W254" s="8"/>
      <c r="AC254" s="11"/>
      <c r="AD254" s="11"/>
      <c r="AE254" s="11"/>
      <c r="AF254" s="11"/>
      <c r="AG254" s="11"/>
      <c r="AH254" s="11"/>
      <c r="AI254" s="11"/>
      <c r="AJ254" s="11"/>
    </row>
    <row r="255" spans="4:36">
      <c r="E255" s="177"/>
      <c r="F255" s="178"/>
      <c r="G255" s="179"/>
      <c r="H255" s="179"/>
      <c r="I255" s="179"/>
      <c r="J255" s="8"/>
      <c r="K255" s="8"/>
      <c r="L255" s="8"/>
      <c r="M255" s="8"/>
      <c r="N255" s="11"/>
      <c r="O255" s="62"/>
      <c r="P255" s="11"/>
      <c r="Q255" s="62"/>
      <c r="R255" s="62"/>
      <c r="S255" s="62"/>
      <c r="T255" s="62"/>
      <c r="U255" s="62"/>
      <c r="V255" s="62"/>
      <c r="W255" s="8"/>
      <c r="AC255" s="11"/>
      <c r="AD255" s="11"/>
      <c r="AE255" s="11"/>
      <c r="AF255" s="11"/>
      <c r="AG255" s="11"/>
      <c r="AH255" s="11"/>
      <c r="AI255" s="11"/>
      <c r="AJ255" s="11"/>
    </row>
    <row r="256" spans="4:36">
      <c r="E256" s="177"/>
      <c r="F256" s="178"/>
      <c r="G256" s="179"/>
      <c r="H256" s="179"/>
      <c r="I256" s="179"/>
      <c r="J256" s="8"/>
      <c r="K256" s="8"/>
      <c r="L256" s="8"/>
      <c r="M256" s="8"/>
      <c r="N256" s="11"/>
      <c r="O256" s="62"/>
      <c r="P256" s="11"/>
      <c r="Q256" s="62"/>
      <c r="R256" s="62"/>
      <c r="S256" s="62"/>
      <c r="T256" s="62"/>
      <c r="U256" s="62"/>
      <c r="V256" s="62"/>
      <c r="W256" s="8"/>
      <c r="AC256" s="11"/>
      <c r="AD256" s="11"/>
      <c r="AE256" s="11"/>
      <c r="AF256" s="11"/>
      <c r="AG256" s="11"/>
      <c r="AH256" s="11"/>
      <c r="AI256" s="11"/>
      <c r="AJ256" s="11"/>
    </row>
    <row r="257" spans="5:36">
      <c r="E257" s="177"/>
      <c r="F257" s="178"/>
      <c r="G257" s="179"/>
      <c r="H257" s="179"/>
      <c r="I257" s="179"/>
      <c r="J257" s="8"/>
      <c r="K257" s="8"/>
      <c r="L257" s="8"/>
      <c r="M257" s="8"/>
      <c r="N257" s="11"/>
      <c r="O257" s="62"/>
      <c r="P257" s="11"/>
      <c r="Q257" s="62"/>
      <c r="R257" s="62"/>
      <c r="S257" s="62"/>
      <c r="T257" s="62"/>
      <c r="U257" s="62"/>
      <c r="V257" s="62"/>
      <c r="W257" s="8"/>
      <c r="AC257" s="11"/>
      <c r="AD257" s="11"/>
      <c r="AE257" s="11"/>
      <c r="AF257" s="11"/>
      <c r="AG257" s="11"/>
      <c r="AH257" s="11"/>
      <c r="AI257" s="11"/>
      <c r="AJ257" s="11"/>
    </row>
    <row r="258" spans="5:36">
      <c r="E258" s="177"/>
      <c r="F258" s="178"/>
      <c r="G258" s="179"/>
      <c r="H258" s="179"/>
      <c r="I258" s="179"/>
      <c r="J258" s="8"/>
      <c r="K258" s="8"/>
      <c r="L258" s="8"/>
      <c r="M258" s="8"/>
      <c r="N258" s="11"/>
      <c r="O258" s="62"/>
      <c r="P258" s="11"/>
      <c r="Q258" s="62"/>
      <c r="R258" s="62"/>
      <c r="S258" s="62"/>
      <c r="T258" s="62"/>
      <c r="U258" s="62"/>
      <c r="V258" s="62"/>
      <c r="W258" s="8"/>
      <c r="AC258" s="11"/>
      <c r="AD258" s="11"/>
      <c r="AE258" s="11"/>
      <c r="AF258" s="11"/>
      <c r="AG258" s="11"/>
      <c r="AH258" s="11"/>
      <c r="AI258" s="11"/>
      <c r="AJ258" s="11"/>
    </row>
    <row r="259" spans="5:36">
      <c r="E259" s="177"/>
      <c r="F259" s="178"/>
      <c r="G259" s="179"/>
      <c r="H259" s="179"/>
      <c r="I259" s="179"/>
      <c r="J259" s="8"/>
      <c r="K259" s="8"/>
      <c r="L259" s="8"/>
      <c r="M259" s="8"/>
      <c r="N259" s="11"/>
      <c r="O259" s="62"/>
      <c r="P259" s="11"/>
      <c r="Q259" s="62"/>
      <c r="R259" s="62"/>
      <c r="S259" s="62"/>
      <c r="T259" s="62"/>
      <c r="U259" s="62"/>
      <c r="V259" s="62"/>
      <c r="W259" s="8"/>
      <c r="AC259" s="11"/>
      <c r="AD259" s="11"/>
      <c r="AE259" s="11"/>
      <c r="AF259" s="11"/>
      <c r="AG259" s="11"/>
      <c r="AH259" s="11"/>
      <c r="AI259" s="11"/>
      <c r="AJ259" s="11"/>
    </row>
  </sheetData>
  <pageMargins left="0.7" right="0.7" top="0.75" bottom="0.75" header="0.3" footer="0.3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42"/>
  <sheetViews>
    <sheetView topLeftCell="A13" workbookViewId="0">
      <pane xSplit="4" ySplit="3" topLeftCell="E16" activePane="bottomRight" state="frozenSplit"/>
      <selection activeCell="A13" sqref="A13"/>
      <selection pane="bottomLeft" activeCell="A16" sqref="A16"/>
      <selection pane="topRight" activeCell="D13" sqref="D13"/>
      <selection pane="bottomRight" activeCell="E17" sqref="E17"/>
    </sheetView>
  </sheetViews>
  <sheetFormatPr baseColWidth="10" defaultColWidth="9.19921875" defaultRowHeight="12" outlineLevelCol="1" x14ac:dyDescent="0"/>
  <cols>
    <col min="1" max="1" width="9" style="1" bestFit="1" customWidth="1" outlineLevel="1"/>
    <col min="2" max="2" width="8.3984375" style="1" bestFit="1" customWidth="1" outlineLevel="1"/>
    <col min="3" max="3" width="11.19921875" style="2" bestFit="1" customWidth="1" outlineLevel="1"/>
    <col min="4" max="4" width="32.19921875" style="3" customWidth="1"/>
    <col min="5" max="5" width="14.19921875" style="4" customWidth="1"/>
    <col min="6" max="6" width="15" style="16" bestFit="1" customWidth="1"/>
    <col min="7" max="8" width="15.3984375" style="43" hidden="1" customWidth="1"/>
    <col min="9" max="9" width="15.3984375" style="43" customWidth="1"/>
    <col min="10" max="10" width="16" style="14" bestFit="1" customWidth="1"/>
    <col min="11" max="11" width="3" style="14" customWidth="1"/>
    <col min="12" max="13" width="15.19921875" style="14" customWidth="1"/>
    <col min="14" max="14" width="1.796875" customWidth="1"/>
    <col min="15" max="15" width="7.3984375" style="9" customWidth="1"/>
    <col min="16" max="16" width="1.796875" customWidth="1"/>
    <col min="17" max="18" width="15.19921875" style="9" customWidth="1"/>
    <col min="19" max="19" width="1.796875" style="9" customWidth="1"/>
    <col min="20" max="20" width="15.19921875" style="9" customWidth="1"/>
    <col min="21" max="21" width="1.796875" style="14" customWidth="1"/>
    <col min="22" max="26" width="15.19921875" style="11" customWidth="1"/>
    <col min="27" max="27" width="15.19921875" customWidth="1"/>
    <col min="28" max="29" width="15.19921875" style="12" customWidth="1"/>
    <col min="30" max="30" width="15.796875" style="12" customWidth="1"/>
    <col min="31" max="31" width="2.19921875" style="12" customWidth="1"/>
    <col min="32" max="33" width="14.796875" style="12" bestFit="1" customWidth="1"/>
    <col min="34" max="34" width="14.19921875" style="12" customWidth="1"/>
    <col min="36" max="36" width="14.796875" bestFit="1" customWidth="1"/>
  </cols>
  <sheetData>
    <row r="1" spans="1:34">
      <c r="D1" s="3" t="s">
        <v>0</v>
      </c>
      <c r="F1" s="5"/>
      <c r="G1" s="6"/>
      <c r="H1" s="7"/>
      <c r="I1" s="7"/>
      <c r="J1" s="8"/>
      <c r="K1" s="8"/>
      <c r="L1" s="8"/>
      <c r="M1" s="8"/>
      <c r="N1" s="8"/>
      <c r="U1" s="10"/>
    </row>
    <row r="2" spans="1:34">
      <c r="D2" s="3" t="s">
        <v>1</v>
      </c>
      <c r="F2" s="5"/>
      <c r="G2" s="6"/>
      <c r="H2" s="7"/>
      <c r="I2" s="7"/>
      <c r="J2" s="8"/>
      <c r="K2" s="8"/>
      <c r="L2" s="8"/>
      <c r="M2" s="8"/>
      <c r="N2" s="8"/>
      <c r="U2" s="10"/>
    </row>
    <row r="3" spans="1:34">
      <c r="D3" s="3" t="s">
        <v>448</v>
      </c>
      <c r="F3" s="5"/>
      <c r="G3" s="1"/>
      <c r="H3" s="13"/>
      <c r="I3" s="13"/>
      <c r="J3" s="8"/>
      <c r="K3" s="8"/>
      <c r="L3" s="8"/>
      <c r="M3" s="8"/>
      <c r="N3" s="8"/>
    </row>
    <row r="4" spans="1:34">
      <c r="D4" s="15"/>
      <c r="G4" s="17"/>
      <c r="H4" s="13"/>
      <c r="I4" s="13"/>
      <c r="J4" s="8"/>
      <c r="K4" s="8"/>
      <c r="L4" s="8"/>
      <c r="M4" s="8"/>
      <c r="N4" s="8"/>
    </row>
    <row r="5" spans="1:34" ht="13" thickBot="1">
      <c r="D5" s="15"/>
      <c r="G5" s="18"/>
      <c r="H5" s="19"/>
      <c r="I5" s="19"/>
      <c r="J5" s="8"/>
      <c r="K5" s="8"/>
      <c r="L5" s="8"/>
      <c r="M5" s="8"/>
      <c r="N5" s="8"/>
    </row>
    <row r="6" spans="1:34">
      <c r="B6" s="20"/>
      <c r="C6" s="21"/>
      <c r="D6" s="22" t="s">
        <v>3</v>
      </c>
      <c r="E6" s="23" t="s">
        <v>4</v>
      </c>
      <c r="G6" s="18"/>
      <c r="H6" s="19"/>
      <c r="I6" s="19"/>
      <c r="J6" s="8"/>
      <c r="K6" s="8"/>
      <c r="L6" s="8"/>
      <c r="M6" s="8"/>
      <c r="N6" s="8"/>
      <c r="O6" s="16"/>
      <c r="P6" s="1"/>
      <c r="Q6" s="16"/>
      <c r="R6" s="16"/>
      <c r="S6" s="16"/>
      <c r="T6" s="16"/>
    </row>
    <row r="7" spans="1:34">
      <c r="B7" s="24"/>
      <c r="C7" s="25"/>
      <c r="D7" s="26" t="s">
        <v>5</v>
      </c>
      <c r="E7" s="27" t="s">
        <v>6</v>
      </c>
      <c r="F7" s="5"/>
      <c r="G7" s="18"/>
      <c r="H7" s="19"/>
      <c r="I7" s="19"/>
      <c r="J7" s="28"/>
      <c r="K7" s="29"/>
      <c r="L7" s="30"/>
      <c r="M7" s="30"/>
      <c r="U7" s="29"/>
    </row>
    <row r="8" spans="1:34">
      <c r="B8" s="24"/>
      <c r="C8" s="31"/>
      <c r="D8" s="32" t="s">
        <v>7</v>
      </c>
      <c r="E8" s="33" t="s">
        <v>8</v>
      </c>
      <c r="F8" s="5"/>
      <c r="G8" s="17"/>
      <c r="H8" s="19"/>
      <c r="I8" s="19"/>
      <c r="J8" s="34"/>
      <c r="K8" s="29"/>
      <c r="L8" s="35"/>
      <c r="M8" s="35"/>
      <c r="N8" s="36"/>
      <c r="O8" s="37"/>
      <c r="P8" s="36"/>
      <c r="Q8" s="37"/>
      <c r="R8" s="37"/>
      <c r="S8" s="37"/>
      <c r="T8" s="37"/>
      <c r="U8" s="29"/>
    </row>
    <row r="9" spans="1:34">
      <c r="B9" s="24"/>
      <c r="C9" s="25"/>
      <c r="D9" s="26" t="s">
        <v>9</v>
      </c>
      <c r="E9" s="38" t="s">
        <v>10</v>
      </c>
      <c r="F9" s="5"/>
      <c r="G9" s="18"/>
      <c r="H9" s="39"/>
      <c r="I9" s="39"/>
      <c r="J9" s="40"/>
      <c r="L9" s="41"/>
      <c r="M9" s="41"/>
      <c r="N9" s="36"/>
      <c r="O9" s="37"/>
      <c r="P9" s="36"/>
      <c r="Q9" s="37"/>
      <c r="R9" s="37"/>
      <c r="S9" s="37"/>
      <c r="T9" s="37"/>
    </row>
    <row r="10" spans="1:34">
      <c r="B10" s="24"/>
      <c r="C10" s="25"/>
      <c r="D10" s="26" t="s">
        <v>11</v>
      </c>
      <c r="E10" s="42" t="s">
        <v>12</v>
      </c>
      <c r="F10" s="5"/>
      <c r="J10" s="44"/>
      <c r="L10" s="45"/>
      <c r="M10" s="44"/>
      <c r="N10" s="36"/>
      <c r="O10" s="37"/>
      <c r="P10" s="36"/>
      <c r="Q10" s="37"/>
      <c r="R10" s="37"/>
      <c r="S10" s="37"/>
      <c r="T10" s="37"/>
    </row>
    <row r="11" spans="1:34">
      <c r="B11" s="24"/>
      <c r="C11" s="25"/>
      <c r="D11" s="26" t="s">
        <v>13</v>
      </c>
      <c r="E11" s="46" t="s">
        <v>14</v>
      </c>
      <c r="F11" s="5"/>
      <c r="G11" s="47"/>
      <c r="H11" s="48"/>
      <c r="I11" s="48"/>
      <c r="J11" s="44"/>
      <c r="L11" s="49"/>
      <c r="M11" s="49"/>
      <c r="N11" s="36"/>
      <c r="O11" s="37"/>
      <c r="P11" s="36"/>
      <c r="Q11" s="37"/>
      <c r="R11" s="37"/>
      <c r="S11" s="37"/>
      <c r="T11" s="37"/>
    </row>
    <row r="12" spans="1:34" ht="13" thickBot="1">
      <c r="B12" s="50"/>
      <c r="C12" s="51"/>
      <c r="D12" s="52" t="s">
        <v>15</v>
      </c>
      <c r="E12" s="53" t="s">
        <v>16</v>
      </c>
      <c r="F12" s="5"/>
      <c r="G12" s="47"/>
      <c r="H12" s="54"/>
      <c r="I12" s="54"/>
      <c r="J12" s="44"/>
    </row>
    <row r="13" spans="1:34" ht="13" thickBot="1">
      <c r="A13" s="16"/>
      <c r="B13" s="16"/>
      <c r="C13" s="55"/>
      <c r="D13" s="56"/>
      <c r="E13" s="57"/>
      <c r="G13" s="58"/>
      <c r="H13" s="59"/>
      <c r="I13" s="59"/>
      <c r="J13" s="60"/>
      <c r="K13" s="60"/>
      <c r="L13" s="60"/>
      <c r="M13" s="61"/>
      <c r="N13" s="9"/>
      <c r="P13" s="9"/>
      <c r="U13" s="60"/>
      <c r="V13" s="62"/>
      <c r="W13" s="62"/>
      <c r="X13" s="62"/>
      <c r="Y13" s="62"/>
    </row>
    <row r="14" spans="1:34" ht="13" thickBot="1">
      <c r="D14" s="63"/>
      <c r="E14" s="64" t="s">
        <v>449</v>
      </c>
      <c r="F14" s="65" t="s">
        <v>444</v>
      </c>
      <c r="G14" s="66"/>
      <c r="H14" s="66"/>
      <c r="I14" s="66"/>
      <c r="J14" s="66" t="s">
        <v>383</v>
      </c>
      <c r="K14" s="67"/>
      <c r="L14" s="66" t="s">
        <v>383</v>
      </c>
      <c r="M14" s="66" t="s">
        <v>383</v>
      </c>
      <c r="N14" s="68"/>
      <c r="O14" s="66"/>
      <c r="P14" s="68"/>
      <c r="Q14" s="69"/>
      <c r="R14" s="66"/>
      <c r="S14" s="70"/>
      <c r="T14" s="66"/>
      <c r="U14" s="68"/>
      <c r="V14" s="66"/>
      <c r="W14" s="66"/>
      <c r="X14" s="71"/>
      <c r="Y14" s="71"/>
      <c r="Z14" s="71"/>
      <c r="AC14" s="72" t="s">
        <v>20</v>
      </c>
      <c r="AG14" s="73" t="s">
        <v>21</v>
      </c>
    </row>
    <row r="15" spans="1:34" ht="13" thickBot="1">
      <c r="A15" s="74" t="s">
        <v>22</v>
      </c>
      <c r="B15" s="74" t="s">
        <v>23</v>
      </c>
      <c r="C15" s="75" t="s">
        <v>24</v>
      </c>
      <c r="D15" s="75" t="s">
        <v>25</v>
      </c>
      <c r="E15" s="76" t="s">
        <v>26</v>
      </c>
      <c r="F15" s="77" t="s">
        <v>27</v>
      </c>
      <c r="G15" s="78" t="s">
        <v>28</v>
      </c>
      <c r="H15" s="79" t="s">
        <v>29</v>
      </c>
      <c r="I15" s="80" t="s">
        <v>383</v>
      </c>
      <c r="J15" s="81" t="s">
        <v>30</v>
      </c>
      <c r="K15" s="68"/>
      <c r="L15" s="82" t="s">
        <v>31</v>
      </c>
      <c r="M15" s="83" t="s">
        <v>32</v>
      </c>
      <c r="N15" s="84"/>
      <c r="O15" s="85" t="s">
        <v>33</v>
      </c>
      <c r="P15" s="84"/>
      <c r="Q15" s="81" t="s">
        <v>450</v>
      </c>
      <c r="R15" s="86" t="s">
        <v>451</v>
      </c>
      <c r="S15" s="87"/>
      <c r="T15" s="88" t="s">
        <v>37</v>
      </c>
      <c r="U15" s="68"/>
      <c r="V15" s="89" t="s">
        <v>38</v>
      </c>
      <c r="W15" s="90" t="s">
        <v>39</v>
      </c>
      <c r="X15" s="89" t="s">
        <v>40</v>
      </c>
      <c r="Y15" s="89" t="s">
        <v>41</v>
      </c>
      <c r="Z15" s="91" t="s">
        <v>42</v>
      </c>
      <c r="AB15" s="92" t="s">
        <v>43</v>
      </c>
      <c r="AC15" s="93" t="s">
        <v>44</v>
      </c>
      <c r="AD15" s="93" t="s">
        <v>45</v>
      </c>
      <c r="AF15" s="92" t="s">
        <v>43</v>
      </c>
      <c r="AG15" s="93" t="s">
        <v>44</v>
      </c>
      <c r="AH15" s="93" t="s">
        <v>45</v>
      </c>
    </row>
    <row r="16" spans="1:34">
      <c r="A16" s="94" t="s">
        <v>46</v>
      </c>
      <c r="B16" s="95" t="s">
        <v>46</v>
      </c>
      <c r="C16" s="96"/>
      <c r="D16" s="97" t="s">
        <v>48</v>
      </c>
      <c r="E16" s="98"/>
      <c r="F16" s="99">
        <f>VLOOKUP(D16,'Dec 2012 Revenue'!D:T,17,FALSE)</f>
        <v>0</v>
      </c>
      <c r="G16" s="100"/>
      <c r="H16" s="100"/>
      <c r="I16" s="101"/>
      <c r="J16" s="102">
        <f t="shared" ref="J16:J40" si="0">SUM(E16:I16)</f>
        <v>0</v>
      </c>
      <c r="K16" s="103"/>
      <c r="L16" s="104"/>
      <c r="M16" s="105"/>
      <c r="N16" s="103">
        <v>0</v>
      </c>
      <c r="O16" s="106"/>
      <c r="P16" s="103">
        <v>0</v>
      </c>
      <c r="Q16" s="107">
        <f t="shared" ref="Q16:Q137" si="1">L16+M16</f>
        <v>0</v>
      </c>
      <c r="R16" s="108">
        <v>0</v>
      </c>
      <c r="S16" s="109"/>
      <c r="T16" s="110">
        <f t="shared" ref="T16:T80" si="2">IF(R16="","",R16-Q16)</f>
        <v>0</v>
      </c>
      <c r="U16" s="111"/>
      <c r="V16" s="112">
        <f t="shared" ref="V16:V79" si="3">IF(B16="D",Q16,0)</f>
        <v>0</v>
      </c>
      <c r="W16" s="112">
        <f t="shared" ref="W16:W79" si="4">IF(B16="M",Q16,0)</f>
        <v>0</v>
      </c>
      <c r="X16" s="113">
        <f t="shared" ref="X16:X79" si="5">IF(B16="V",Q16,0)</f>
        <v>0</v>
      </c>
      <c r="Y16" s="113">
        <v>0</v>
      </c>
      <c r="Z16" s="114">
        <v>0</v>
      </c>
      <c r="AA16" s="11">
        <f t="shared" ref="AA16:AA79" si="6">(L16+M16)-(V16+W16+X16+Y16+Z16)</f>
        <v>0</v>
      </c>
      <c r="AB16" s="115">
        <f t="shared" ref="AB16:AB79" si="7">IF(B16="D",J16,0)</f>
        <v>0</v>
      </c>
      <c r="AC16" s="115">
        <f t="shared" ref="AC16:AC79" si="8">IF(B16="M",J16,0)</f>
        <v>0</v>
      </c>
      <c r="AD16" s="115">
        <f t="shared" ref="AD16:AD79" si="9">IF(B16="V",J16,0)</f>
        <v>0</v>
      </c>
      <c r="AE16" s="11"/>
      <c r="AF16" s="115">
        <f t="shared" ref="AF16:AF79" si="10">IF(B16="D",Q16,0)</f>
        <v>0</v>
      </c>
      <c r="AG16" s="115">
        <f t="shared" ref="AG16:AG79" si="11">IF(B16="M",Q16,0)</f>
        <v>0</v>
      </c>
      <c r="AH16" s="115">
        <f t="shared" ref="AH16:AH79" si="12">IF(B16="V",Q16,0)</f>
        <v>0</v>
      </c>
    </row>
    <row r="17" spans="1:36">
      <c r="A17" s="116" t="s">
        <v>46</v>
      </c>
      <c r="B17" s="116" t="s">
        <v>49</v>
      </c>
      <c r="C17" s="117" t="s">
        <v>50</v>
      </c>
      <c r="D17" s="118" t="s">
        <v>51</v>
      </c>
      <c r="E17" s="98"/>
      <c r="F17" s="99">
        <f>VLOOKUP(D17,'Dec 2012 Revenue'!D:T,17,FALSE)</f>
        <v>888.45000000000073</v>
      </c>
      <c r="G17" s="100"/>
      <c r="H17" s="100"/>
      <c r="I17" s="101"/>
      <c r="J17" s="102">
        <f t="shared" si="0"/>
        <v>888.45000000000073</v>
      </c>
      <c r="K17" s="103"/>
      <c r="L17" s="104"/>
      <c r="M17" s="105">
        <v>30000</v>
      </c>
      <c r="N17" s="103">
        <v>0</v>
      </c>
      <c r="O17" s="106"/>
      <c r="P17" s="103">
        <v>0</v>
      </c>
      <c r="Q17" s="107">
        <f t="shared" si="1"/>
        <v>30000</v>
      </c>
      <c r="R17" s="108">
        <v>36459.050000000003</v>
      </c>
      <c r="S17" s="119"/>
      <c r="T17" s="110">
        <f t="shared" si="2"/>
        <v>6459.0500000000029</v>
      </c>
      <c r="U17" s="103"/>
      <c r="V17" s="112">
        <f t="shared" si="3"/>
        <v>30000</v>
      </c>
      <c r="W17" s="112">
        <f t="shared" si="4"/>
        <v>0</v>
      </c>
      <c r="X17" s="113">
        <f t="shared" si="5"/>
        <v>0</v>
      </c>
      <c r="Y17" s="113">
        <v>0</v>
      </c>
      <c r="Z17" s="114">
        <v>0</v>
      </c>
      <c r="AA17" s="11">
        <f t="shared" si="6"/>
        <v>0</v>
      </c>
      <c r="AB17" s="115">
        <f t="shared" si="7"/>
        <v>888.45000000000073</v>
      </c>
      <c r="AC17" s="115">
        <f t="shared" si="8"/>
        <v>0</v>
      </c>
      <c r="AD17" s="115">
        <f t="shared" si="9"/>
        <v>0</v>
      </c>
      <c r="AE17" s="11"/>
      <c r="AF17" s="115">
        <f>IF(B17="D",Q17,0)+10000-581.3</f>
        <v>39418.699999999997</v>
      </c>
      <c r="AG17" s="115">
        <f t="shared" si="11"/>
        <v>0</v>
      </c>
      <c r="AH17" s="115">
        <f t="shared" si="12"/>
        <v>0</v>
      </c>
      <c r="AJ17" s="11">
        <f>SUM(AB17:AH17)</f>
        <v>40307.149999999994</v>
      </c>
    </row>
    <row r="18" spans="1:36">
      <c r="A18" s="116" t="s">
        <v>46</v>
      </c>
      <c r="B18" s="116" t="s">
        <v>46</v>
      </c>
      <c r="C18" s="117" t="s">
        <v>50</v>
      </c>
      <c r="D18" s="120" t="s">
        <v>52</v>
      </c>
      <c r="E18" s="98"/>
      <c r="F18" s="99">
        <f>VLOOKUP(D18,'Dec 2012 Revenue'!D:T,17,FALSE)</f>
        <v>-6243.4500000000007</v>
      </c>
      <c r="G18" s="100"/>
      <c r="H18" s="100"/>
      <c r="I18" s="101"/>
      <c r="J18" s="102">
        <f t="shared" si="0"/>
        <v>-6243.4500000000007</v>
      </c>
      <c r="K18" s="103"/>
      <c r="L18" s="104"/>
      <c r="M18" s="105">
        <v>10000</v>
      </c>
      <c r="N18" s="103">
        <v>0</v>
      </c>
      <c r="O18" s="106"/>
      <c r="P18" s="103">
        <v>0</v>
      </c>
      <c r="Q18" s="107">
        <f t="shared" si="1"/>
        <v>10000</v>
      </c>
      <c r="R18" s="108">
        <f>7674.12+1369.56</f>
        <v>9043.68</v>
      </c>
      <c r="S18" s="119"/>
      <c r="T18" s="110">
        <f t="shared" si="2"/>
        <v>-956.31999999999971</v>
      </c>
      <c r="U18" s="103"/>
      <c r="V18" s="112">
        <f t="shared" si="3"/>
        <v>0</v>
      </c>
      <c r="W18" s="112">
        <f t="shared" si="4"/>
        <v>10000</v>
      </c>
      <c r="X18" s="113">
        <f t="shared" si="5"/>
        <v>0</v>
      </c>
      <c r="Y18" s="113">
        <v>0</v>
      </c>
      <c r="Z18" s="114">
        <v>0</v>
      </c>
      <c r="AA18" s="11">
        <f t="shared" si="6"/>
        <v>0</v>
      </c>
      <c r="AB18" s="115">
        <f t="shared" si="7"/>
        <v>0</v>
      </c>
      <c r="AC18" s="115">
        <f t="shared" si="8"/>
        <v>-6243.4500000000007</v>
      </c>
      <c r="AD18" s="115">
        <f t="shared" si="9"/>
        <v>0</v>
      </c>
      <c r="AE18" s="11"/>
      <c r="AF18" s="115">
        <f t="shared" si="10"/>
        <v>0</v>
      </c>
      <c r="AG18" s="115">
        <f>IF(B18="M",Q18,0)-10000+581.3</f>
        <v>581.29999999999995</v>
      </c>
      <c r="AH18" s="115">
        <f t="shared" si="12"/>
        <v>0</v>
      </c>
      <c r="AJ18" s="11">
        <f t="shared" ref="AJ18:AJ77" si="13">SUM(AB18:AH18)</f>
        <v>-5662.1500000000005</v>
      </c>
    </row>
    <row r="19" spans="1:36">
      <c r="A19" s="116" t="s">
        <v>46</v>
      </c>
      <c r="B19" s="116" t="s">
        <v>46</v>
      </c>
      <c r="C19" s="117" t="s">
        <v>50</v>
      </c>
      <c r="D19" s="120" t="s">
        <v>53</v>
      </c>
      <c r="E19" s="98"/>
      <c r="F19" s="99">
        <f>VLOOKUP(D19,'Dec 2012 Revenue'!D:T,17,FALSE)</f>
        <v>25.25</v>
      </c>
      <c r="G19" s="100"/>
      <c r="H19" s="100"/>
      <c r="I19" s="101"/>
      <c r="J19" s="102">
        <f t="shared" si="0"/>
        <v>25.25</v>
      </c>
      <c r="K19" s="103"/>
      <c r="L19" s="104"/>
      <c r="M19" s="105"/>
      <c r="N19" s="103">
        <v>0</v>
      </c>
      <c r="O19" s="106"/>
      <c r="P19" s="103">
        <v>0</v>
      </c>
      <c r="Q19" s="107">
        <f t="shared" si="1"/>
        <v>0</v>
      </c>
      <c r="R19" s="108">
        <v>5.03</v>
      </c>
      <c r="S19" s="119"/>
      <c r="T19" s="110">
        <f t="shared" si="2"/>
        <v>5.03</v>
      </c>
      <c r="U19" s="103"/>
      <c r="V19" s="112">
        <f t="shared" si="3"/>
        <v>0</v>
      </c>
      <c r="W19" s="112">
        <f t="shared" si="4"/>
        <v>0</v>
      </c>
      <c r="X19" s="113">
        <f t="shared" si="5"/>
        <v>0</v>
      </c>
      <c r="Y19" s="113">
        <v>0</v>
      </c>
      <c r="Z19" s="114">
        <v>0</v>
      </c>
      <c r="AA19" s="11">
        <f t="shared" si="6"/>
        <v>0</v>
      </c>
      <c r="AB19" s="115">
        <f t="shared" si="7"/>
        <v>0</v>
      </c>
      <c r="AC19" s="115">
        <f t="shared" si="8"/>
        <v>25.25</v>
      </c>
      <c r="AD19" s="115">
        <f t="shared" si="9"/>
        <v>0</v>
      </c>
      <c r="AE19" s="11"/>
      <c r="AF19" s="115">
        <f t="shared" si="10"/>
        <v>0</v>
      </c>
      <c r="AG19" s="115">
        <f t="shared" si="11"/>
        <v>0</v>
      </c>
      <c r="AH19" s="115">
        <f t="shared" si="12"/>
        <v>0</v>
      </c>
      <c r="AJ19" s="11">
        <f t="shared" si="13"/>
        <v>25.25</v>
      </c>
    </row>
    <row r="20" spans="1:36">
      <c r="A20" s="116" t="s">
        <v>46</v>
      </c>
      <c r="B20" s="116" t="s">
        <v>46</v>
      </c>
      <c r="C20" s="117" t="s">
        <v>50</v>
      </c>
      <c r="D20" s="121" t="s">
        <v>54</v>
      </c>
      <c r="E20" s="98">
        <f>636.9</f>
        <v>636.9</v>
      </c>
      <c r="F20" s="99">
        <f>VLOOKUP(D20,'Dec 2012 Revenue'!D:T,17,FALSE)</f>
        <v>0</v>
      </c>
      <c r="G20" s="100"/>
      <c r="H20" s="100"/>
      <c r="I20" s="101"/>
      <c r="J20" s="102">
        <f t="shared" si="0"/>
        <v>636.9</v>
      </c>
      <c r="K20" s="103"/>
      <c r="L20" s="104"/>
      <c r="M20" s="105"/>
      <c r="N20" s="103">
        <v>0</v>
      </c>
      <c r="O20" s="106"/>
      <c r="P20" s="103">
        <v>0</v>
      </c>
      <c r="Q20" s="107">
        <f t="shared" si="1"/>
        <v>0</v>
      </c>
      <c r="R20" s="108">
        <v>1119.1500000000001</v>
      </c>
      <c r="S20" s="119"/>
      <c r="T20" s="110">
        <f t="shared" si="2"/>
        <v>1119.1500000000001</v>
      </c>
      <c r="U20" s="103"/>
      <c r="V20" s="112">
        <f t="shared" si="3"/>
        <v>0</v>
      </c>
      <c r="W20" s="112">
        <f t="shared" si="4"/>
        <v>0</v>
      </c>
      <c r="X20" s="113">
        <f t="shared" si="5"/>
        <v>0</v>
      </c>
      <c r="Y20" s="113">
        <v>0</v>
      </c>
      <c r="Z20" s="114">
        <v>0</v>
      </c>
      <c r="AA20" s="11">
        <f t="shared" si="6"/>
        <v>0</v>
      </c>
      <c r="AB20" s="115">
        <f t="shared" si="7"/>
        <v>0</v>
      </c>
      <c r="AC20" s="115">
        <f t="shared" si="8"/>
        <v>636.9</v>
      </c>
      <c r="AD20" s="115">
        <f t="shared" si="9"/>
        <v>0</v>
      </c>
      <c r="AE20" s="11"/>
      <c r="AF20" s="115">
        <f t="shared" si="10"/>
        <v>0</v>
      </c>
      <c r="AG20" s="115">
        <f t="shared" si="11"/>
        <v>0</v>
      </c>
      <c r="AH20" s="115">
        <f t="shared" si="12"/>
        <v>0</v>
      </c>
      <c r="AJ20" s="11">
        <f t="shared" si="13"/>
        <v>636.9</v>
      </c>
    </row>
    <row r="21" spans="1:36">
      <c r="A21" s="116"/>
      <c r="B21" s="116" t="s">
        <v>49</v>
      </c>
      <c r="C21" s="122" t="s">
        <v>55</v>
      </c>
      <c r="D21" s="118" t="s">
        <v>56</v>
      </c>
      <c r="E21" s="98"/>
      <c r="F21" s="99">
        <f>VLOOKUP(D21,'Dec 2012 Revenue'!D:T,17,FALSE)</f>
        <v>0</v>
      </c>
      <c r="G21" s="100"/>
      <c r="H21" s="100"/>
      <c r="I21" s="125">
        <v>3893.47</v>
      </c>
      <c r="J21" s="102">
        <f t="shared" si="0"/>
        <v>3893.47</v>
      </c>
      <c r="K21" s="103"/>
      <c r="L21" s="104"/>
      <c r="M21" s="105"/>
      <c r="N21" s="103">
        <v>0</v>
      </c>
      <c r="O21" s="106"/>
      <c r="P21" s="103">
        <v>0</v>
      </c>
      <c r="Q21" s="107">
        <f t="shared" si="1"/>
        <v>0</v>
      </c>
      <c r="R21" s="108">
        <v>0</v>
      </c>
      <c r="S21" s="119"/>
      <c r="T21" s="110">
        <f t="shared" si="2"/>
        <v>0</v>
      </c>
      <c r="U21" s="103"/>
      <c r="V21" s="112">
        <f t="shared" si="3"/>
        <v>0</v>
      </c>
      <c r="W21" s="112">
        <f t="shared" si="4"/>
        <v>0</v>
      </c>
      <c r="X21" s="113">
        <f t="shared" si="5"/>
        <v>0</v>
      </c>
      <c r="Y21" s="113">
        <v>0</v>
      </c>
      <c r="Z21" s="114">
        <v>0</v>
      </c>
      <c r="AA21" s="11">
        <f t="shared" si="6"/>
        <v>0</v>
      </c>
      <c r="AB21" s="115">
        <f t="shared" si="7"/>
        <v>3893.47</v>
      </c>
      <c r="AC21" s="115">
        <f t="shared" si="8"/>
        <v>0</v>
      </c>
      <c r="AD21" s="115">
        <f t="shared" si="9"/>
        <v>0</v>
      </c>
      <c r="AE21" s="11"/>
      <c r="AF21" s="115">
        <f t="shared" si="10"/>
        <v>0</v>
      </c>
      <c r="AG21" s="115">
        <f t="shared" si="11"/>
        <v>0</v>
      </c>
      <c r="AH21" s="115">
        <f t="shared" si="12"/>
        <v>0</v>
      </c>
      <c r="AJ21" s="11">
        <f t="shared" si="13"/>
        <v>3893.47</v>
      </c>
    </row>
    <row r="22" spans="1:36">
      <c r="A22" s="116"/>
      <c r="B22" s="116" t="s">
        <v>49</v>
      </c>
      <c r="C22" s="122" t="s">
        <v>55</v>
      </c>
      <c r="D22" s="118" t="s">
        <v>57</v>
      </c>
      <c r="E22" s="98"/>
      <c r="F22" s="99">
        <f>VLOOKUP(D22,'Dec 2012 Revenue'!D:T,17,FALSE)</f>
        <v>0</v>
      </c>
      <c r="G22" s="100"/>
      <c r="H22" s="100"/>
      <c r="I22" s="125">
        <v>4997.08</v>
      </c>
      <c r="J22" s="102">
        <f t="shared" si="0"/>
        <v>4997.08</v>
      </c>
      <c r="K22" s="103"/>
      <c r="L22" s="104"/>
      <c r="M22" s="105"/>
      <c r="N22" s="103">
        <v>0</v>
      </c>
      <c r="O22" s="106"/>
      <c r="P22" s="103">
        <v>0</v>
      </c>
      <c r="Q22" s="107">
        <f t="shared" si="1"/>
        <v>0</v>
      </c>
      <c r="R22" s="108">
        <v>0</v>
      </c>
      <c r="S22" s="119"/>
      <c r="T22" s="110">
        <f t="shared" si="2"/>
        <v>0</v>
      </c>
      <c r="U22" s="103"/>
      <c r="V22" s="112">
        <f t="shared" si="3"/>
        <v>0</v>
      </c>
      <c r="W22" s="112">
        <f t="shared" si="4"/>
        <v>0</v>
      </c>
      <c r="X22" s="113">
        <f t="shared" si="5"/>
        <v>0</v>
      </c>
      <c r="Y22" s="113">
        <v>0</v>
      </c>
      <c r="Z22" s="114">
        <v>0</v>
      </c>
      <c r="AA22" s="11">
        <f t="shared" si="6"/>
        <v>0</v>
      </c>
      <c r="AB22" s="115">
        <f t="shared" si="7"/>
        <v>4997.08</v>
      </c>
      <c r="AC22" s="115">
        <f t="shared" si="8"/>
        <v>0</v>
      </c>
      <c r="AD22" s="115">
        <f t="shared" si="9"/>
        <v>0</v>
      </c>
      <c r="AE22" s="11"/>
      <c r="AF22" s="115">
        <f t="shared" si="10"/>
        <v>0</v>
      </c>
      <c r="AG22" s="115">
        <f t="shared" si="11"/>
        <v>0</v>
      </c>
      <c r="AH22" s="115">
        <f t="shared" si="12"/>
        <v>0</v>
      </c>
      <c r="AJ22" s="11">
        <f t="shared" si="13"/>
        <v>4997.08</v>
      </c>
    </row>
    <row r="23" spans="1:36">
      <c r="A23" s="116"/>
      <c r="B23" s="116" t="s">
        <v>49</v>
      </c>
      <c r="C23" s="122" t="s">
        <v>55</v>
      </c>
      <c r="D23" s="118" t="s">
        <v>58</v>
      </c>
      <c r="E23" s="98"/>
      <c r="F23" s="99">
        <f>VLOOKUP(D23,'Dec 2012 Revenue'!D:T,17,FALSE)</f>
        <v>0</v>
      </c>
      <c r="G23" s="100"/>
      <c r="H23" s="100"/>
      <c r="I23" s="125">
        <v>6618.2</v>
      </c>
      <c r="J23" s="102">
        <f t="shared" si="0"/>
        <v>6618.2</v>
      </c>
      <c r="K23" s="103"/>
      <c r="L23" s="104"/>
      <c r="M23" s="105"/>
      <c r="N23" s="103">
        <v>0</v>
      </c>
      <c r="O23" s="106"/>
      <c r="P23" s="103">
        <v>0</v>
      </c>
      <c r="Q23" s="107">
        <f t="shared" si="1"/>
        <v>0</v>
      </c>
      <c r="R23" s="108">
        <v>0</v>
      </c>
      <c r="S23" s="119"/>
      <c r="T23" s="110">
        <f t="shared" si="2"/>
        <v>0</v>
      </c>
      <c r="U23" s="103"/>
      <c r="V23" s="112">
        <f t="shared" si="3"/>
        <v>0</v>
      </c>
      <c r="W23" s="112">
        <f t="shared" si="4"/>
        <v>0</v>
      </c>
      <c r="X23" s="113">
        <f t="shared" si="5"/>
        <v>0</v>
      </c>
      <c r="Y23" s="113">
        <v>0</v>
      </c>
      <c r="Z23" s="114">
        <v>0</v>
      </c>
      <c r="AA23" s="11">
        <f t="shared" si="6"/>
        <v>0</v>
      </c>
      <c r="AB23" s="115">
        <f t="shared" si="7"/>
        <v>6618.2</v>
      </c>
      <c r="AC23" s="115">
        <f t="shared" si="8"/>
        <v>0</v>
      </c>
      <c r="AD23" s="115">
        <f t="shared" si="9"/>
        <v>0</v>
      </c>
      <c r="AE23" s="11"/>
      <c r="AF23" s="115">
        <f t="shared" si="10"/>
        <v>0</v>
      </c>
      <c r="AG23" s="115">
        <f t="shared" si="11"/>
        <v>0</v>
      </c>
      <c r="AH23" s="115">
        <f t="shared" si="12"/>
        <v>0</v>
      </c>
      <c r="AJ23" s="11">
        <f t="shared" si="13"/>
        <v>6618.2</v>
      </c>
    </row>
    <row r="24" spans="1:36" s="124" customFormat="1">
      <c r="A24" s="123" t="s">
        <v>60</v>
      </c>
      <c r="B24" s="123" t="s">
        <v>46</v>
      </c>
      <c r="C24" s="122" t="s">
        <v>61</v>
      </c>
      <c r="D24" s="118" t="s">
        <v>62</v>
      </c>
      <c r="E24" s="98"/>
      <c r="F24" s="99">
        <f>VLOOKUP(D24,'Dec 2012 Revenue'!D:T,17,FALSE)</f>
        <v>-30000</v>
      </c>
      <c r="G24" s="100"/>
      <c r="H24" s="100"/>
      <c r="I24" s="101"/>
      <c r="J24" s="102">
        <f t="shared" si="0"/>
        <v>-30000</v>
      </c>
      <c r="K24" s="103"/>
      <c r="L24" s="104"/>
      <c r="M24" s="105">
        <v>40000</v>
      </c>
      <c r="N24" s="103">
        <v>0</v>
      </c>
      <c r="O24" s="106"/>
      <c r="P24" s="103">
        <v>0</v>
      </c>
      <c r="Q24" s="107">
        <f t="shared" si="1"/>
        <v>40000</v>
      </c>
      <c r="R24" s="108">
        <v>0</v>
      </c>
      <c r="S24" s="119"/>
      <c r="T24" s="110">
        <f t="shared" si="2"/>
        <v>-40000</v>
      </c>
      <c r="U24" s="103"/>
      <c r="V24" s="112">
        <f t="shared" si="3"/>
        <v>0</v>
      </c>
      <c r="W24" s="112">
        <f t="shared" si="4"/>
        <v>40000</v>
      </c>
      <c r="X24" s="113">
        <f t="shared" si="5"/>
        <v>0</v>
      </c>
      <c r="Y24" s="113">
        <v>0</v>
      </c>
      <c r="Z24" s="114">
        <v>0</v>
      </c>
      <c r="AA24" s="11">
        <f t="shared" si="6"/>
        <v>0</v>
      </c>
      <c r="AB24" s="115">
        <f t="shared" si="7"/>
        <v>0</v>
      </c>
      <c r="AC24" s="115">
        <f t="shared" si="8"/>
        <v>-30000</v>
      </c>
      <c r="AD24" s="115">
        <f t="shared" si="9"/>
        <v>0</v>
      </c>
      <c r="AE24" s="11"/>
      <c r="AF24" s="115">
        <f t="shared" si="10"/>
        <v>0</v>
      </c>
      <c r="AG24" s="115">
        <f t="shared" si="11"/>
        <v>40000</v>
      </c>
      <c r="AH24" s="115">
        <f t="shared" si="12"/>
        <v>0</v>
      </c>
      <c r="AJ24" s="11">
        <f t="shared" si="13"/>
        <v>10000</v>
      </c>
    </row>
    <row r="25" spans="1:36">
      <c r="A25" s="116"/>
      <c r="B25" s="116" t="s">
        <v>49</v>
      </c>
      <c r="C25" s="122"/>
      <c r="D25" s="120" t="s">
        <v>406</v>
      </c>
      <c r="E25" s="98"/>
      <c r="F25" s="99">
        <f>VLOOKUP(D25,'Dec 2012 Revenue'!D:T,17,FALSE)</f>
        <v>181.88</v>
      </c>
      <c r="G25" s="100"/>
      <c r="H25" s="100"/>
      <c r="I25" s="125">
        <v>206.59</v>
      </c>
      <c r="J25" s="102">
        <f t="shared" si="0"/>
        <v>388.47</v>
      </c>
      <c r="K25" s="103"/>
      <c r="L25" s="104"/>
      <c r="M25" s="105"/>
      <c r="N25" s="103">
        <v>0</v>
      </c>
      <c r="O25" s="106"/>
      <c r="P25" s="103">
        <v>0</v>
      </c>
      <c r="Q25" s="107">
        <f t="shared" si="1"/>
        <v>0</v>
      </c>
      <c r="R25" s="108">
        <v>0</v>
      </c>
      <c r="S25" s="119"/>
      <c r="T25" s="110">
        <f t="shared" si="2"/>
        <v>0</v>
      </c>
      <c r="U25" s="103"/>
      <c r="V25" s="112">
        <f t="shared" si="3"/>
        <v>0</v>
      </c>
      <c r="W25" s="112">
        <f t="shared" si="4"/>
        <v>0</v>
      </c>
      <c r="X25" s="113">
        <f t="shared" si="5"/>
        <v>0</v>
      </c>
      <c r="Y25" s="113">
        <v>0</v>
      </c>
      <c r="Z25" s="114">
        <v>0</v>
      </c>
      <c r="AA25" s="11">
        <f t="shared" si="6"/>
        <v>0</v>
      </c>
      <c r="AB25" s="115">
        <f t="shared" si="7"/>
        <v>388.47</v>
      </c>
      <c r="AC25" s="115">
        <f t="shared" si="8"/>
        <v>0</v>
      </c>
      <c r="AD25" s="115">
        <f t="shared" si="9"/>
        <v>0</v>
      </c>
      <c r="AE25" s="11"/>
      <c r="AF25" s="115">
        <f t="shared" si="10"/>
        <v>0</v>
      </c>
      <c r="AG25" s="115">
        <f t="shared" si="11"/>
        <v>0</v>
      </c>
      <c r="AH25" s="115">
        <f t="shared" si="12"/>
        <v>0</v>
      </c>
      <c r="AJ25" s="11">
        <f t="shared" si="13"/>
        <v>388.47</v>
      </c>
    </row>
    <row r="26" spans="1:36">
      <c r="A26" s="116"/>
      <c r="B26" s="116" t="s">
        <v>49</v>
      </c>
      <c r="C26" s="122"/>
      <c r="D26" s="120" t="s">
        <v>64</v>
      </c>
      <c r="E26" s="98"/>
      <c r="F26" s="99">
        <f>VLOOKUP(D26,'Dec 2012 Revenue'!D:T,17,FALSE)</f>
        <v>-1867.7099999999991</v>
      </c>
      <c r="G26" s="100"/>
      <c r="H26" s="100"/>
      <c r="I26" s="101"/>
      <c r="J26" s="102">
        <f t="shared" si="0"/>
        <v>-1867.7099999999991</v>
      </c>
      <c r="K26" s="103"/>
      <c r="L26" s="104"/>
      <c r="M26" s="105">
        <v>6000</v>
      </c>
      <c r="N26" s="103">
        <v>0</v>
      </c>
      <c r="O26" s="106"/>
      <c r="P26" s="103">
        <v>0</v>
      </c>
      <c r="Q26" s="107">
        <f t="shared" si="1"/>
        <v>6000</v>
      </c>
      <c r="R26" s="108">
        <v>0</v>
      </c>
      <c r="S26" s="119"/>
      <c r="T26" s="110">
        <f t="shared" si="2"/>
        <v>-6000</v>
      </c>
      <c r="U26" s="103"/>
      <c r="V26" s="112">
        <f t="shared" si="3"/>
        <v>6000</v>
      </c>
      <c r="W26" s="112">
        <f t="shared" si="4"/>
        <v>0</v>
      </c>
      <c r="X26" s="113">
        <f t="shared" si="5"/>
        <v>0</v>
      </c>
      <c r="Y26" s="113">
        <v>0</v>
      </c>
      <c r="Z26" s="114">
        <v>0</v>
      </c>
      <c r="AA26" s="11">
        <f t="shared" si="6"/>
        <v>0</v>
      </c>
      <c r="AB26" s="115">
        <f t="shared" si="7"/>
        <v>-1867.7099999999991</v>
      </c>
      <c r="AC26" s="115">
        <f t="shared" si="8"/>
        <v>0</v>
      </c>
      <c r="AD26" s="115">
        <f t="shared" si="9"/>
        <v>0</v>
      </c>
      <c r="AE26" s="11"/>
      <c r="AF26" s="115">
        <f t="shared" si="10"/>
        <v>6000</v>
      </c>
      <c r="AG26" s="115">
        <f t="shared" si="11"/>
        <v>0</v>
      </c>
      <c r="AH26" s="115">
        <f t="shared" si="12"/>
        <v>0</v>
      </c>
      <c r="AJ26" s="11">
        <f t="shared" si="13"/>
        <v>4132.2900000000009</v>
      </c>
    </row>
    <row r="27" spans="1:36">
      <c r="A27" s="116"/>
      <c r="B27" s="116" t="s">
        <v>49</v>
      </c>
      <c r="C27" s="122"/>
      <c r="D27" s="120" t="s">
        <v>65</v>
      </c>
      <c r="E27" s="98"/>
      <c r="F27" s="99">
        <f>VLOOKUP(D27,'Dec 2012 Revenue'!D:T,17,FALSE)</f>
        <v>0</v>
      </c>
      <c r="G27" s="100"/>
      <c r="H27" s="100"/>
      <c r="I27" s="101"/>
      <c r="J27" s="102">
        <f t="shared" si="0"/>
        <v>0</v>
      </c>
      <c r="K27" s="103"/>
      <c r="L27" s="104"/>
      <c r="M27" s="105"/>
      <c r="N27" s="103">
        <v>0</v>
      </c>
      <c r="O27" s="106"/>
      <c r="P27" s="103">
        <v>0</v>
      </c>
      <c r="Q27" s="107">
        <f t="shared" si="1"/>
        <v>0</v>
      </c>
      <c r="R27" s="108">
        <v>0</v>
      </c>
      <c r="S27" s="119"/>
      <c r="T27" s="110">
        <f t="shared" si="2"/>
        <v>0</v>
      </c>
      <c r="U27" s="103"/>
      <c r="V27" s="112">
        <f t="shared" si="3"/>
        <v>0</v>
      </c>
      <c r="W27" s="112">
        <f t="shared" si="4"/>
        <v>0</v>
      </c>
      <c r="X27" s="113">
        <f t="shared" si="5"/>
        <v>0</v>
      </c>
      <c r="Y27" s="113">
        <v>0</v>
      </c>
      <c r="Z27" s="114">
        <v>0</v>
      </c>
      <c r="AA27" s="11">
        <f t="shared" si="6"/>
        <v>0</v>
      </c>
      <c r="AB27" s="115">
        <f t="shared" si="7"/>
        <v>0</v>
      </c>
      <c r="AC27" s="115">
        <f t="shared" si="8"/>
        <v>0</v>
      </c>
      <c r="AD27" s="115">
        <f t="shared" si="9"/>
        <v>0</v>
      </c>
      <c r="AE27" s="11"/>
      <c r="AF27" s="115">
        <f t="shared" si="10"/>
        <v>0</v>
      </c>
      <c r="AG27" s="115">
        <f t="shared" si="11"/>
        <v>0</v>
      </c>
      <c r="AH27" s="115">
        <f t="shared" si="12"/>
        <v>0</v>
      </c>
      <c r="AJ27" s="11">
        <f t="shared" si="13"/>
        <v>0</v>
      </c>
    </row>
    <row r="28" spans="1:36">
      <c r="A28" s="116"/>
      <c r="B28" s="116" t="s">
        <v>46</v>
      </c>
      <c r="C28" s="122" t="s">
        <v>66</v>
      </c>
      <c r="D28" s="120" t="s">
        <v>67</v>
      </c>
      <c r="E28" s="98"/>
      <c r="F28" s="99">
        <f>VLOOKUP(D28,'Dec 2012 Revenue'!D:T,17,FALSE)</f>
        <v>1699.46</v>
      </c>
      <c r="G28" s="100"/>
      <c r="H28" s="100"/>
      <c r="I28" s="101"/>
      <c r="J28" s="102">
        <f t="shared" si="0"/>
        <v>1699.46</v>
      </c>
      <c r="K28" s="103"/>
      <c r="L28" s="104"/>
      <c r="M28" s="105"/>
      <c r="N28" s="103">
        <v>0</v>
      </c>
      <c r="O28" s="106"/>
      <c r="P28" s="103">
        <v>0</v>
      </c>
      <c r="Q28" s="107">
        <f t="shared" si="1"/>
        <v>0</v>
      </c>
      <c r="R28" s="108">
        <v>1179.32</v>
      </c>
      <c r="S28" s="119"/>
      <c r="T28" s="110">
        <f t="shared" si="2"/>
        <v>1179.32</v>
      </c>
      <c r="U28" s="111"/>
      <c r="V28" s="112">
        <f t="shared" si="3"/>
        <v>0</v>
      </c>
      <c r="W28" s="112">
        <f t="shared" si="4"/>
        <v>0</v>
      </c>
      <c r="X28" s="113">
        <f t="shared" si="5"/>
        <v>0</v>
      </c>
      <c r="Y28" s="113">
        <v>0</v>
      </c>
      <c r="Z28" s="114">
        <v>0</v>
      </c>
      <c r="AA28" s="11">
        <f t="shared" si="6"/>
        <v>0</v>
      </c>
      <c r="AB28" s="115">
        <f t="shared" si="7"/>
        <v>0</v>
      </c>
      <c r="AC28" s="115">
        <f t="shared" si="8"/>
        <v>1699.46</v>
      </c>
      <c r="AD28" s="115">
        <f t="shared" si="9"/>
        <v>0</v>
      </c>
      <c r="AE28" s="11"/>
      <c r="AF28" s="115">
        <f t="shared" si="10"/>
        <v>0</v>
      </c>
      <c r="AG28" s="115">
        <f t="shared" si="11"/>
        <v>0</v>
      </c>
      <c r="AH28" s="115">
        <f t="shared" si="12"/>
        <v>0</v>
      </c>
      <c r="AJ28" s="11">
        <f t="shared" si="13"/>
        <v>1699.46</v>
      </c>
    </row>
    <row r="29" spans="1:36" s="124" customFormat="1">
      <c r="A29" s="123"/>
      <c r="B29" s="123" t="s">
        <v>49</v>
      </c>
      <c r="C29" s="122" t="s">
        <v>68</v>
      </c>
      <c r="D29" s="118" t="s">
        <v>69</v>
      </c>
      <c r="E29" s="98"/>
      <c r="F29" s="99">
        <f>VLOOKUP(D29,'Dec 2012 Revenue'!D:T,17,FALSE)</f>
        <v>-37851.700000000012</v>
      </c>
      <c r="G29" s="100"/>
      <c r="H29" s="100"/>
      <c r="I29" s="101"/>
      <c r="J29" s="102">
        <f t="shared" si="0"/>
        <v>-37851.700000000012</v>
      </c>
      <c r="K29" s="103"/>
      <c r="L29" s="104"/>
      <c r="M29" s="105">
        <v>375000</v>
      </c>
      <c r="N29" s="103">
        <v>0</v>
      </c>
      <c r="O29" s="106"/>
      <c r="P29" s="103">
        <v>0</v>
      </c>
      <c r="Q29" s="107">
        <f t="shared" si="1"/>
        <v>375000</v>
      </c>
      <c r="R29" s="108">
        <v>451538.9</v>
      </c>
      <c r="S29" s="119"/>
      <c r="T29" s="110">
        <f t="shared" si="2"/>
        <v>76538.900000000023</v>
      </c>
      <c r="U29" s="103"/>
      <c r="V29" s="112">
        <f t="shared" si="3"/>
        <v>375000</v>
      </c>
      <c r="W29" s="112">
        <f t="shared" si="4"/>
        <v>0</v>
      </c>
      <c r="X29" s="113">
        <f t="shared" si="5"/>
        <v>0</v>
      </c>
      <c r="Y29" s="113">
        <v>0</v>
      </c>
      <c r="Z29" s="114">
        <v>0</v>
      </c>
      <c r="AA29" s="11">
        <f t="shared" si="6"/>
        <v>0</v>
      </c>
      <c r="AB29" s="115">
        <f t="shared" si="7"/>
        <v>-37851.700000000012</v>
      </c>
      <c r="AC29" s="115">
        <f t="shared" si="8"/>
        <v>0</v>
      </c>
      <c r="AD29" s="115">
        <f t="shared" si="9"/>
        <v>0</v>
      </c>
      <c r="AE29" s="11"/>
      <c r="AF29" s="115">
        <f t="shared" si="10"/>
        <v>375000</v>
      </c>
      <c r="AG29" s="115">
        <f t="shared" si="11"/>
        <v>0</v>
      </c>
      <c r="AH29" s="115">
        <f t="shared" si="12"/>
        <v>0</v>
      </c>
      <c r="AJ29" s="11">
        <f t="shared" si="13"/>
        <v>337148.3</v>
      </c>
    </row>
    <row r="30" spans="1:36" s="124" customFormat="1">
      <c r="A30" s="123"/>
      <c r="B30" s="123" t="s">
        <v>49</v>
      </c>
      <c r="C30" s="122" t="s">
        <v>70</v>
      </c>
      <c r="D30" s="118" t="s">
        <v>71</v>
      </c>
      <c r="E30" s="98"/>
      <c r="F30" s="99">
        <f>VLOOKUP(D30,'Dec 2012 Revenue'!D:T,17,FALSE)</f>
        <v>1570.3399999999965</v>
      </c>
      <c r="G30" s="100"/>
      <c r="H30" s="100"/>
      <c r="I30" s="101"/>
      <c r="J30" s="102">
        <f t="shared" si="0"/>
        <v>1570.3399999999965</v>
      </c>
      <c r="K30" s="103"/>
      <c r="L30" s="104"/>
      <c r="M30" s="105">
        <v>75000</v>
      </c>
      <c r="N30" s="103">
        <v>0</v>
      </c>
      <c r="O30" s="106"/>
      <c r="P30" s="103">
        <v>0</v>
      </c>
      <c r="Q30" s="107">
        <f t="shared" si="1"/>
        <v>75000</v>
      </c>
      <c r="R30" s="108">
        <v>77742.240000000005</v>
      </c>
      <c r="S30" s="119"/>
      <c r="T30" s="110">
        <f t="shared" si="2"/>
        <v>2742.2400000000052</v>
      </c>
      <c r="U30" s="103"/>
      <c r="V30" s="112">
        <f t="shared" si="3"/>
        <v>75000</v>
      </c>
      <c r="W30" s="112">
        <f t="shared" si="4"/>
        <v>0</v>
      </c>
      <c r="X30" s="113">
        <f t="shared" si="5"/>
        <v>0</v>
      </c>
      <c r="Y30" s="113">
        <v>0</v>
      </c>
      <c r="Z30" s="114">
        <v>0</v>
      </c>
      <c r="AA30" s="11">
        <f t="shared" si="6"/>
        <v>0</v>
      </c>
      <c r="AB30" s="115">
        <f t="shared" si="7"/>
        <v>1570.3399999999965</v>
      </c>
      <c r="AC30" s="115">
        <f t="shared" si="8"/>
        <v>0</v>
      </c>
      <c r="AD30" s="115">
        <f t="shared" si="9"/>
        <v>0</v>
      </c>
      <c r="AE30" s="11"/>
      <c r="AF30" s="115">
        <f t="shared" si="10"/>
        <v>75000</v>
      </c>
      <c r="AG30" s="115">
        <f t="shared" si="11"/>
        <v>0</v>
      </c>
      <c r="AH30" s="115">
        <f t="shared" si="12"/>
        <v>0</v>
      </c>
      <c r="AJ30" s="11">
        <f t="shared" si="13"/>
        <v>76570.34</v>
      </c>
    </row>
    <row r="31" spans="1:36" s="124" customFormat="1">
      <c r="A31" s="123"/>
      <c r="B31" s="123" t="s">
        <v>49</v>
      </c>
      <c r="C31" s="122" t="s">
        <v>70</v>
      </c>
      <c r="D31" s="118" t="s">
        <v>72</v>
      </c>
      <c r="E31" s="98"/>
      <c r="F31" s="99">
        <f>VLOOKUP(D31,'Dec 2012 Revenue'!D:T,17,FALSE)</f>
        <v>4281.5500000000029</v>
      </c>
      <c r="G31" s="100"/>
      <c r="H31" s="100"/>
      <c r="I31" s="101"/>
      <c r="J31" s="102">
        <f t="shared" si="0"/>
        <v>4281.5500000000029</v>
      </c>
      <c r="K31" s="103"/>
      <c r="L31" s="104"/>
      <c r="M31" s="105">
        <v>80000</v>
      </c>
      <c r="N31" s="103">
        <v>0</v>
      </c>
      <c r="O31" s="106"/>
      <c r="P31" s="103">
        <v>0</v>
      </c>
      <c r="Q31" s="107">
        <f t="shared" si="1"/>
        <v>80000</v>
      </c>
      <c r="R31" s="108">
        <v>76283.03</v>
      </c>
      <c r="S31" s="119"/>
      <c r="T31" s="110">
        <f t="shared" si="2"/>
        <v>-3716.9700000000012</v>
      </c>
      <c r="U31" s="103"/>
      <c r="V31" s="112">
        <f t="shared" si="3"/>
        <v>80000</v>
      </c>
      <c r="W31" s="112">
        <f t="shared" si="4"/>
        <v>0</v>
      </c>
      <c r="X31" s="113">
        <f t="shared" si="5"/>
        <v>0</v>
      </c>
      <c r="Y31" s="113">
        <v>0</v>
      </c>
      <c r="Z31" s="114">
        <v>0</v>
      </c>
      <c r="AA31" s="11">
        <f t="shared" si="6"/>
        <v>0</v>
      </c>
      <c r="AB31" s="115">
        <f t="shared" si="7"/>
        <v>4281.5500000000029</v>
      </c>
      <c r="AC31" s="115">
        <f t="shared" si="8"/>
        <v>0</v>
      </c>
      <c r="AD31" s="115">
        <f t="shared" si="9"/>
        <v>0</v>
      </c>
      <c r="AE31" s="11"/>
      <c r="AF31" s="115">
        <f t="shared" si="10"/>
        <v>80000</v>
      </c>
      <c r="AG31" s="115">
        <f t="shared" si="11"/>
        <v>0</v>
      </c>
      <c r="AH31" s="115">
        <f t="shared" si="12"/>
        <v>0</v>
      </c>
      <c r="AJ31" s="11">
        <f t="shared" si="13"/>
        <v>84281.55</v>
      </c>
    </row>
    <row r="32" spans="1:36" s="124" customFormat="1">
      <c r="A32" s="123"/>
      <c r="B32" s="123" t="s">
        <v>49</v>
      </c>
      <c r="C32" s="122" t="s">
        <v>70</v>
      </c>
      <c r="D32" s="118" t="s">
        <v>73</v>
      </c>
      <c r="E32" s="98"/>
      <c r="F32" s="99">
        <f>VLOOKUP(D32,'Dec 2012 Revenue'!D:T,17,FALSE)</f>
        <v>4771.0600000000013</v>
      </c>
      <c r="G32" s="100"/>
      <c r="H32" s="100"/>
      <c r="I32" s="101"/>
      <c r="J32" s="102">
        <f t="shared" si="0"/>
        <v>4771.0600000000013</v>
      </c>
      <c r="K32" s="103"/>
      <c r="L32" s="104"/>
      <c r="M32" s="105">
        <v>15000</v>
      </c>
      <c r="N32" s="103">
        <v>0</v>
      </c>
      <c r="O32" s="106"/>
      <c r="P32" s="103">
        <v>0</v>
      </c>
      <c r="Q32" s="107">
        <f t="shared" si="1"/>
        <v>15000</v>
      </c>
      <c r="R32" s="108">
        <v>16461.63</v>
      </c>
      <c r="S32" s="119"/>
      <c r="T32" s="110">
        <f t="shared" si="2"/>
        <v>1461.630000000001</v>
      </c>
      <c r="U32" s="103"/>
      <c r="V32" s="112">
        <f t="shared" si="3"/>
        <v>15000</v>
      </c>
      <c r="W32" s="112">
        <f t="shared" si="4"/>
        <v>0</v>
      </c>
      <c r="X32" s="113">
        <f t="shared" si="5"/>
        <v>0</v>
      </c>
      <c r="Y32" s="113">
        <v>0</v>
      </c>
      <c r="Z32" s="114">
        <v>0</v>
      </c>
      <c r="AA32" s="11">
        <f t="shared" si="6"/>
        <v>0</v>
      </c>
      <c r="AB32" s="115">
        <f t="shared" si="7"/>
        <v>4771.0600000000013</v>
      </c>
      <c r="AC32" s="115">
        <f t="shared" si="8"/>
        <v>0</v>
      </c>
      <c r="AD32" s="115">
        <f t="shared" si="9"/>
        <v>0</v>
      </c>
      <c r="AE32" s="11"/>
      <c r="AF32" s="115">
        <f t="shared" si="10"/>
        <v>15000</v>
      </c>
      <c r="AG32" s="115">
        <f t="shared" si="11"/>
        <v>0</v>
      </c>
      <c r="AH32" s="115">
        <f t="shared" si="12"/>
        <v>0</v>
      </c>
      <c r="AJ32" s="11">
        <f t="shared" si="13"/>
        <v>19771.060000000001</v>
      </c>
    </row>
    <row r="33" spans="1:36" s="124" customFormat="1">
      <c r="A33" s="123"/>
      <c r="B33" s="123" t="s">
        <v>49</v>
      </c>
      <c r="C33" s="122" t="s">
        <v>70</v>
      </c>
      <c r="D33" s="118" t="s">
        <v>74</v>
      </c>
      <c r="E33" s="98"/>
      <c r="F33" s="99">
        <f>VLOOKUP(D33,'Dec 2012 Revenue'!D:T,17,FALSE)</f>
        <v>84.640000000000327</v>
      </c>
      <c r="G33" s="100"/>
      <c r="H33" s="100"/>
      <c r="I33" s="101"/>
      <c r="J33" s="102">
        <f t="shared" si="0"/>
        <v>84.640000000000327</v>
      </c>
      <c r="K33" s="103"/>
      <c r="L33" s="104"/>
      <c r="M33" s="105">
        <v>6000</v>
      </c>
      <c r="N33" s="103">
        <v>0</v>
      </c>
      <c r="O33" s="106"/>
      <c r="P33" s="103">
        <v>0</v>
      </c>
      <c r="Q33" s="107">
        <f t="shared" si="1"/>
        <v>6000</v>
      </c>
      <c r="R33" s="108">
        <v>5639.65</v>
      </c>
      <c r="S33" s="119"/>
      <c r="T33" s="110">
        <f t="shared" si="2"/>
        <v>-360.35000000000036</v>
      </c>
      <c r="U33" s="103"/>
      <c r="V33" s="112">
        <f t="shared" si="3"/>
        <v>6000</v>
      </c>
      <c r="W33" s="112">
        <f t="shared" si="4"/>
        <v>0</v>
      </c>
      <c r="X33" s="113">
        <f t="shared" si="5"/>
        <v>0</v>
      </c>
      <c r="Y33" s="113">
        <v>0</v>
      </c>
      <c r="Z33" s="114">
        <v>0</v>
      </c>
      <c r="AA33" s="11">
        <f t="shared" si="6"/>
        <v>0</v>
      </c>
      <c r="AB33" s="115">
        <f t="shared" si="7"/>
        <v>84.640000000000327</v>
      </c>
      <c r="AC33" s="115">
        <f t="shared" si="8"/>
        <v>0</v>
      </c>
      <c r="AD33" s="115">
        <f t="shared" si="9"/>
        <v>0</v>
      </c>
      <c r="AE33" s="11"/>
      <c r="AF33" s="115">
        <f t="shared" si="10"/>
        <v>6000</v>
      </c>
      <c r="AG33" s="115">
        <f t="shared" si="11"/>
        <v>0</v>
      </c>
      <c r="AH33" s="115">
        <f t="shared" si="12"/>
        <v>0</v>
      </c>
      <c r="AJ33" s="11">
        <f t="shared" si="13"/>
        <v>6084.64</v>
      </c>
    </row>
    <row r="34" spans="1:36" s="124" customFormat="1">
      <c r="A34" s="123"/>
      <c r="B34" s="123" t="s">
        <v>49</v>
      </c>
      <c r="C34" s="122" t="s">
        <v>70</v>
      </c>
      <c r="D34" s="118" t="s">
        <v>75</v>
      </c>
      <c r="E34" s="98"/>
      <c r="F34" s="99">
        <f>VLOOKUP(D34,'Dec 2012 Revenue'!D:T,17,FALSE)</f>
        <v>2859</v>
      </c>
      <c r="G34" s="100"/>
      <c r="H34" s="100"/>
      <c r="I34" s="101"/>
      <c r="J34" s="102">
        <f t="shared" si="0"/>
        <v>2859</v>
      </c>
      <c r="K34" s="103"/>
      <c r="L34" s="104"/>
      <c r="M34" s="105"/>
      <c r="N34" s="103">
        <v>0</v>
      </c>
      <c r="O34" s="106"/>
      <c r="P34" s="103">
        <v>0</v>
      </c>
      <c r="Q34" s="107">
        <f t="shared" si="1"/>
        <v>0</v>
      </c>
      <c r="R34" s="108">
        <v>2413.37</v>
      </c>
      <c r="S34" s="119"/>
      <c r="T34" s="110">
        <f t="shared" si="2"/>
        <v>2413.37</v>
      </c>
      <c r="U34" s="103"/>
      <c r="V34" s="112">
        <f t="shared" si="3"/>
        <v>0</v>
      </c>
      <c r="W34" s="112">
        <f t="shared" si="4"/>
        <v>0</v>
      </c>
      <c r="X34" s="113">
        <f t="shared" si="5"/>
        <v>0</v>
      </c>
      <c r="Y34" s="113">
        <v>0</v>
      </c>
      <c r="Z34" s="114">
        <v>0</v>
      </c>
      <c r="AA34" s="11">
        <f t="shared" si="6"/>
        <v>0</v>
      </c>
      <c r="AB34" s="115">
        <f t="shared" si="7"/>
        <v>2859</v>
      </c>
      <c r="AC34" s="115">
        <f t="shared" si="8"/>
        <v>0</v>
      </c>
      <c r="AD34" s="115">
        <f t="shared" si="9"/>
        <v>0</v>
      </c>
      <c r="AE34" s="11"/>
      <c r="AF34" s="115">
        <f t="shared" si="10"/>
        <v>0</v>
      </c>
      <c r="AG34" s="115">
        <f t="shared" si="11"/>
        <v>0</v>
      </c>
      <c r="AH34" s="115">
        <f t="shared" si="12"/>
        <v>0</v>
      </c>
      <c r="AJ34" s="11">
        <f t="shared" si="13"/>
        <v>2859</v>
      </c>
    </row>
    <row r="35" spans="1:36" s="124" customFormat="1">
      <c r="A35" s="123"/>
      <c r="B35" s="123" t="s">
        <v>49</v>
      </c>
      <c r="C35" s="122" t="s">
        <v>70</v>
      </c>
      <c r="D35" s="118" t="s">
        <v>76</v>
      </c>
      <c r="E35" s="98"/>
      <c r="F35" s="99">
        <f>VLOOKUP(D35,'Dec 2012 Revenue'!D:T,17,FALSE)</f>
        <v>2137.61</v>
      </c>
      <c r="G35" s="100"/>
      <c r="H35" s="100"/>
      <c r="I35" s="101"/>
      <c r="J35" s="102">
        <f t="shared" si="0"/>
        <v>2137.61</v>
      </c>
      <c r="K35" s="103"/>
      <c r="L35" s="104"/>
      <c r="M35" s="105"/>
      <c r="N35" s="103">
        <v>0</v>
      </c>
      <c r="O35" s="106"/>
      <c r="P35" s="103">
        <v>0</v>
      </c>
      <c r="Q35" s="107">
        <f t="shared" si="1"/>
        <v>0</v>
      </c>
      <c r="R35" s="108">
        <v>2163.09</v>
      </c>
      <c r="S35" s="119"/>
      <c r="T35" s="110">
        <f t="shared" si="2"/>
        <v>2163.09</v>
      </c>
      <c r="U35" s="103"/>
      <c r="V35" s="112">
        <f t="shared" si="3"/>
        <v>0</v>
      </c>
      <c r="W35" s="112">
        <f t="shared" si="4"/>
        <v>0</v>
      </c>
      <c r="X35" s="113">
        <f t="shared" si="5"/>
        <v>0</v>
      </c>
      <c r="Y35" s="113">
        <v>0</v>
      </c>
      <c r="Z35" s="114">
        <v>0</v>
      </c>
      <c r="AA35" s="11">
        <f t="shared" si="6"/>
        <v>0</v>
      </c>
      <c r="AB35" s="115">
        <f t="shared" si="7"/>
        <v>2137.61</v>
      </c>
      <c r="AC35" s="115">
        <f t="shared" si="8"/>
        <v>0</v>
      </c>
      <c r="AD35" s="115">
        <f t="shared" si="9"/>
        <v>0</v>
      </c>
      <c r="AE35" s="11"/>
      <c r="AF35" s="115">
        <f t="shared" si="10"/>
        <v>0</v>
      </c>
      <c r="AG35" s="115">
        <f t="shared" si="11"/>
        <v>0</v>
      </c>
      <c r="AH35" s="115">
        <f t="shared" si="12"/>
        <v>0</v>
      </c>
      <c r="AJ35" s="11">
        <f t="shared" si="13"/>
        <v>2137.61</v>
      </c>
    </row>
    <row r="36" spans="1:36" s="124" customFormat="1">
      <c r="A36" s="123"/>
      <c r="B36" s="123" t="s">
        <v>49</v>
      </c>
      <c r="C36" s="122" t="s">
        <v>70</v>
      </c>
      <c r="D36" s="118" t="s">
        <v>77</v>
      </c>
      <c r="E36" s="98"/>
      <c r="F36" s="99">
        <f>VLOOKUP(D36,'Dec 2012 Revenue'!D:T,17,FALSE)</f>
        <v>1753.51</v>
      </c>
      <c r="G36" s="100"/>
      <c r="H36" s="100"/>
      <c r="I36" s="101"/>
      <c r="J36" s="102">
        <f t="shared" si="0"/>
        <v>1753.51</v>
      </c>
      <c r="K36" s="103"/>
      <c r="L36" s="104"/>
      <c r="M36" s="105"/>
      <c r="N36" s="103">
        <v>0</v>
      </c>
      <c r="O36" s="106"/>
      <c r="P36" s="103">
        <v>0</v>
      </c>
      <c r="Q36" s="107">
        <f t="shared" si="1"/>
        <v>0</v>
      </c>
      <c r="R36" s="108">
        <v>1668.98</v>
      </c>
      <c r="S36" s="119"/>
      <c r="T36" s="110">
        <f t="shared" si="2"/>
        <v>1668.98</v>
      </c>
      <c r="U36" s="103"/>
      <c r="V36" s="112">
        <f t="shared" si="3"/>
        <v>0</v>
      </c>
      <c r="W36" s="112">
        <f t="shared" si="4"/>
        <v>0</v>
      </c>
      <c r="X36" s="113">
        <f t="shared" si="5"/>
        <v>0</v>
      </c>
      <c r="Y36" s="113">
        <v>0</v>
      </c>
      <c r="Z36" s="114">
        <v>0</v>
      </c>
      <c r="AA36" s="11">
        <f t="shared" si="6"/>
        <v>0</v>
      </c>
      <c r="AB36" s="115">
        <f t="shared" si="7"/>
        <v>1753.51</v>
      </c>
      <c r="AC36" s="115">
        <f t="shared" si="8"/>
        <v>0</v>
      </c>
      <c r="AD36" s="115">
        <f t="shared" si="9"/>
        <v>0</v>
      </c>
      <c r="AE36" s="11"/>
      <c r="AF36" s="115">
        <f t="shared" si="10"/>
        <v>0</v>
      </c>
      <c r="AG36" s="115">
        <f t="shared" si="11"/>
        <v>0</v>
      </c>
      <c r="AH36" s="115">
        <f t="shared" si="12"/>
        <v>0</v>
      </c>
      <c r="AJ36" s="11">
        <f t="shared" si="13"/>
        <v>1753.51</v>
      </c>
    </row>
    <row r="37" spans="1:36" s="124" customFormat="1">
      <c r="A37" s="123"/>
      <c r="B37" s="123" t="s">
        <v>49</v>
      </c>
      <c r="C37" s="122" t="s">
        <v>70</v>
      </c>
      <c r="D37" s="118" t="s">
        <v>78</v>
      </c>
      <c r="E37" s="98"/>
      <c r="F37" s="99">
        <f>VLOOKUP(D37,'Dec 2012 Revenue'!D:T,17,FALSE)</f>
        <v>8239.66</v>
      </c>
      <c r="G37" s="100"/>
      <c r="H37" s="100"/>
      <c r="I37" s="101"/>
      <c r="J37" s="102">
        <f t="shared" si="0"/>
        <v>8239.66</v>
      </c>
      <c r="K37" s="103"/>
      <c r="L37" s="104"/>
      <c r="M37" s="105">
        <v>20000</v>
      </c>
      <c r="N37" s="103">
        <v>0</v>
      </c>
      <c r="O37" s="106"/>
      <c r="P37" s="103">
        <v>0</v>
      </c>
      <c r="Q37" s="107">
        <f t="shared" si="1"/>
        <v>20000</v>
      </c>
      <c r="R37" s="108">
        <v>23336.44</v>
      </c>
      <c r="S37" s="119"/>
      <c r="T37" s="110">
        <f t="shared" si="2"/>
        <v>3336.4399999999987</v>
      </c>
      <c r="U37" s="103"/>
      <c r="V37" s="112">
        <f t="shared" si="3"/>
        <v>20000</v>
      </c>
      <c r="W37" s="112">
        <f t="shared" si="4"/>
        <v>0</v>
      </c>
      <c r="X37" s="113">
        <f t="shared" si="5"/>
        <v>0</v>
      </c>
      <c r="Y37" s="113">
        <v>0</v>
      </c>
      <c r="Z37" s="114">
        <v>0</v>
      </c>
      <c r="AA37" s="11">
        <f t="shared" si="6"/>
        <v>0</v>
      </c>
      <c r="AB37" s="115">
        <f t="shared" si="7"/>
        <v>8239.66</v>
      </c>
      <c r="AC37" s="115">
        <f t="shared" si="8"/>
        <v>0</v>
      </c>
      <c r="AD37" s="115">
        <f t="shared" si="9"/>
        <v>0</v>
      </c>
      <c r="AE37" s="11"/>
      <c r="AF37" s="115">
        <f t="shared" si="10"/>
        <v>20000</v>
      </c>
      <c r="AG37" s="115">
        <f t="shared" si="11"/>
        <v>0</v>
      </c>
      <c r="AH37" s="115">
        <f t="shared" si="12"/>
        <v>0</v>
      </c>
      <c r="AJ37" s="11">
        <f t="shared" si="13"/>
        <v>28239.66</v>
      </c>
    </row>
    <row r="38" spans="1:36" s="124" customFormat="1">
      <c r="A38" s="123"/>
      <c r="B38" s="123" t="s">
        <v>49</v>
      </c>
      <c r="C38" s="122" t="s">
        <v>68</v>
      </c>
      <c r="D38" s="118" t="s">
        <v>79</v>
      </c>
      <c r="E38" s="98"/>
      <c r="F38" s="99">
        <f>VLOOKUP(D38,'Dec 2012 Revenue'!D:T,17,FALSE)</f>
        <v>0</v>
      </c>
      <c r="G38" s="100"/>
      <c r="H38" s="100"/>
      <c r="I38" s="125">
        <v>35177.269999999997</v>
      </c>
      <c r="J38" s="102">
        <f t="shared" si="0"/>
        <v>35177.269999999997</v>
      </c>
      <c r="K38" s="103"/>
      <c r="L38" s="104"/>
      <c r="M38" s="105"/>
      <c r="N38" s="103">
        <v>0</v>
      </c>
      <c r="O38" s="106"/>
      <c r="P38" s="103">
        <v>0</v>
      </c>
      <c r="Q38" s="107">
        <f t="shared" si="1"/>
        <v>0</v>
      </c>
      <c r="R38" s="108">
        <v>0</v>
      </c>
      <c r="S38" s="119"/>
      <c r="T38" s="110">
        <f t="shared" si="2"/>
        <v>0</v>
      </c>
      <c r="U38" s="103"/>
      <c r="V38" s="112">
        <f t="shared" si="3"/>
        <v>0</v>
      </c>
      <c r="W38" s="112">
        <f t="shared" si="4"/>
        <v>0</v>
      </c>
      <c r="X38" s="113">
        <f t="shared" si="5"/>
        <v>0</v>
      </c>
      <c r="Y38" s="113">
        <v>0</v>
      </c>
      <c r="Z38" s="114">
        <v>0</v>
      </c>
      <c r="AA38" s="11">
        <f t="shared" si="6"/>
        <v>0</v>
      </c>
      <c r="AB38" s="115">
        <f t="shared" si="7"/>
        <v>35177.269999999997</v>
      </c>
      <c r="AC38" s="115">
        <f t="shared" si="8"/>
        <v>0</v>
      </c>
      <c r="AD38" s="115">
        <f t="shared" si="9"/>
        <v>0</v>
      </c>
      <c r="AE38" s="11"/>
      <c r="AF38" s="115">
        <f t="shared" si="10"/>
        <v>0</v>
      </c>
      <c r="AG38" s="115">
        <f t="shared" si="11"/>
        <v>0</v>
      </c>
      <c r="AH38" s="115">
        <f t="shared" si="12"/>
        <v>0</v>
      </c>
      <c r="AJ38" s="11">
        <f t="shared" si="13"/>
        <v>35177.269999999997</v>
      </c>
    </row>
    <row r="39" spans="1:36" s="124" customFormat="1">
      <c r="A39" s="123"/>
      <c r="B39" s="123" t="s">
        <v>49</v>
      </c>
      <c r="C39" s="126" t="s">
        <v>70</v>
      </c>
      <c r="D39" s="118" t="s">
        <v>80</v>
      </c>
      <c r="E39" s="98"/>
      <c r="F39" s="99">
        <f>VLOOKUP(D39,'Dec 2012 Revenue'!D:T,17,FALSE)</f>
        <v>0</v>
      </c>
      <c r="G39" s="100"/>
      <c r="H39" s="100"/>
      <c r="I39" s="125">
        <v>10783.68</v>
      </c>
      <c r="J39" s="102">
        <f t="shared" si="0"/>
        <v>10783.68</v>
      </c>
      <c r="K39" s="103"/>
      <c r="L39" s="104"/>
      <c r="M39" s="105"/>
      <c r="N39" s="103">
        <v>0</v>
      </c>
      <c r="O39" s="106"/>
      <c r="P39" s="103">
        <v>0</v>
      </c>
      <c r="Q39" s="107">
        <f t="shared" si="1"/>
        <v>0</v>
      </c>
      <c r="R39" s="108">
        <v>0</v>
      </c>
      <c r="S39" s="119"/>
      <c r="T39" s="110">
        <f t="shared" si="2"/>
        <v>0</v>
      </c>
      <c r="U39" s="103"/>
      <c r="V39" s="112">
        <f t="shared" si="3"/>
        <v>0</v>
      </c>
      <c r="W39" s="112">
        <f t="shared" si="4"/>
        <v>0</v>
      </c>
      <c r="X39" s="113">
        <f t="shared" si="5"/>
        <v>0</v>
      </c>
      <c r="Y39" s="113">
        <v>0</v>
      </c>
      <c r="Z39" s="114">
        <v>0</v>
      </c>
      <c r="AA39" s="11">
        <f t="shared" si="6"/>
        <v>0</v>
      </c>
      <c r="AB39" s="115">
        <f t="shared" si="7"/>
        <v>10783.68</v>
      </c>
      <c r="AC39" s="115">
        <f t="shared" si="8"/>
        <v>0</v>
      </c>
      <c r="AD39" s="115">
        <f t="shared" si="9"/>
        <v>0</v>
      </c>
      <c r="AE39" s="11"/>
      <c r="AF39" s="115">
        <f t="shared" si="10"/>
        <v>0</v>
      </c>
      <c r="AG39" s="115">
        <f t="shared" si="11"/>
        <v>0</v>
      </c>
      <c r="AH39" s="115">
        <f t="shared" si="12"/>
        <v>0</v>
      </c>
      <c r="AJ39" s="11">
        <f t="shared" si="13"/>
        <v>10783.68</v>
      </c>
    </row>
    <row r="40" spans="1:36" s="124" customFormat="1">
      <c r="A40" s="127"/>
      <c r="B40" s="127" t="s">
        <v>81</v>
      </c>
      <c r="C40" s="96" t="s">
        <v>84</v>
      </c>
      <c r="D40" s="118" t="s">
        <v>83</v>
      </c>
      <c r="E40" s="98"/>
      <c r="F40" s="99">
        <f>VLOOKUP(D40,'Dec 2012 Revenue'!D:T,17,FALSE)</f>
        <v>3726.4599999999991</v>
      </c>
      <c r="G40" s="100"/>
      <c r="H40" s="100"/>
      <c r="I40" s="101"/>
      <c r="J40" s="102">
        <f t="shared" si="0"/>
        <v>3726.4599999999991</v>
      </c>
      <c r="K40" s="103"/>
      <c r="L40" s="104"/>
      <c r="M40" s="105">
        <v>5000</v>
      </c>
      <c r="N40" s="103">
        <v>0</v>
      </c>
      <c r="O40" s="106"/>
      <c r="P40" s="103">
        <v>0</v>
      </c>
      <c r="Q40" s="107">
        <f t="shared" si="1"/>
        <v>5000</v>
      </c>
      <c r="R40" s="108">
        <v>9270.5400000000009</v>
      </c>
      <c r="S40" s="119"/>
      <c r="T40" s="110">
        <f t="shared" si="2"/>
        <v>4270.5400000000009</v>
      </c>
      <c r="U40" s="103"/>
      <c r="V40" s="112">
        <f t="shared" si="3"/>
        <v>0</v>
      </c>
      <c r="W40" s="112">
        <f t="shared" si="4"/>
        <v>0</v>
      </c>
      <c r="X40" s="113">
        <f t="shared" si="5"/>
        <v>5000</v>
      </c>
      <c r="Y40" s="113">
        <v>0</v>
      </c>
      <c r="Z40" s="114">
        <v>0</v>
      </c>
      <c r="AA40" s="11">
        <f t="shared" si="6"/>
        <v>0</v>
      </c>
      <c r="AB40" s="115">
        <f t="shared" si="7"/>
        <v>0</v>
      </c>
      <c r="AC40" s="115">
        <f t="shared" si="8"/>
        <v>0</v>
      </c>
      <c r="AD40" s="115">
        <f t="shared" si="9"/>
        <v>3726.4599999999991</v>
      </c>
      <c r="AE40" s="11"/>
      <c r="AF40" s="115">
        <f t="shared" si="10"/>
        <v>0</v>
      </c>
      <c r="AG40" s="115">
        <f t="shared" si="11"/>
        <v>0</v>
      </c>
      <c r="AH40" s="115">
        <f t="shared" si="12"/>
        <v>5000</v>
      </c>
      <c r="AJ40" s="11">
        <f t="shared" si="13"/>
        <v>8726.4599999999991</v>
      </c>
    </row>
    <row r="41" spans="1:36" s="124" customFormat="1">
      <c r="A41" s="127"/>
      <c r="B41" s="127"/>
      <c r="C41" s="96"/>
      <c r="D41" s="118" t="s">
        <v>85</v>
      </c>
      <c r="E41" s="98"/>
      <c r="F41" s="99"/>
      <c r="G41" s="100"/>
      <c r="H41" s="100"/>
      <c r="I41" s="101"/>
      <c r="J41" s="102"/>
      <c r="K41" s="103"/>
      <c r="L41" s="104"/>
      <c r="M41" s="105"/>
      <c r="N41" s="103"/>
      <c r="O41" s="106"/>
      <c r="P41" s="103"/>
      <c r="Q41" s="107"/>
      <c r="R41" s="108"/>
      <c r="S41" s="119"/>
      <c r="T41" s="110"/>
      <c r="U41" s="103"/>
      <c r="V41" s="112"/>
      <c r="W41" s="112"/>
      <c r="X41" s="113"/>
      <c r="Y41" s="113"/>
      <c r="Z41" s="114"/>
      <c r="AA41" s="11"/>
      <c r="AB41" s="115"/>
      <c r="AC41" s="115"/>
      <c r="AD41" s="115"/>
      <c r="AE41" s="11"/>
      <c r="AF41" s="115"/>
      <c r="AG41" s="115"/>
      <c r="AH41" s="115"/>
      <c r="AJ41" s="11"/>
    </row>
    <row r="42" spans="1:36">
      <c r="A42" s="129"/>
      <c r="B42" s="129" t="s">
        <v>49</v>
      </c>
      <c r="C42" s="96"/>
      <c r="D42" s="120" t="s">
        <v>86</v>
      </c>
      <c r="E42" s="98"/>
      <c r="F42" s="99">
        <f>VLOOKUP(D42,'Dec 2012 Revenue'!D:T,17,FALSE)</f>
        <v>0</v>
      </c>
      <c r="G42" s="100"/>
      <c r="H42" s="100"/>
      <c r="I42" s="101"/>
      <c r="J42" s="102">
        <f t="shared" ref="J42:J61" si="14">SUM(E42:I42)</f>
        <v>0</v>
      </c>
      <c r="K42" s="103"/>
      <c r="L42" s="104"/>
      <c r="M42" s="105"/>
      <c r="N42" s="103">
        <v>0</v>
      </c>
      <c r="O42" s="106"/>
      <c r="P42" s="103">
        <v>0</v>
      </c>
      <c r="Q42" s="107">
        <f t="shared" si="1"/>
        <v>0</v>
      </c>
      <c r="R42" s="108">
        <v>0</v>
      </c>
      <c r="S42" s="119"/>
      <c r="T42" s="110">
        <f t="shared" si="2"/>
        <v>0</v>
      </c>
      <c r="U42" s="103"/>
      <c r="V42" s="112">
        <f t="shared" si="3"/>
        <v>0</v>
      </c>
      <c r="W42" s="112">
        <f t="shared" si="4"/>
        <v>0</v>
      </c>
      <c r="X42" s="113">
        <f t="shared" si="5"/>
        <v>0</v>
      </c>
      <c r="Y42" s="113">
        <v>0</v>
      </c>
      <c r="Z42" s="114">
        <v>0</v>
      </c>
      <c r="AA42" s="11">
        <f t="shared" si="6"/>
        <v>0</v>
      </c>
      <c r="AB42" s="115">
        <f t="shared" si="7"/>
        <v>0</v>
      </c>
      <c r="AC42" s="115">
        <f t="shared" si="8"/>
        <v>0</v>
      </c>
      <c r="AD42" s="115">
        <f t="shared" si="9"/>
        <v>0</v>
      </c>
      <c r="AE42" s="11"/>
      <c r="AF42" s="115">
        <f t="shared" si="10"/>
        <v>0</v>
      </c>
      <c r="AG42" s="115">
        <f t="shared" si="11"/>
        <v>0</v>
      </c>
      <c r="AH42" s="115">
        <f t="shared" si="12"/>
        <v>0</v>
      </c>
      <c r="AJ42" s="11">
        <f t="shared" si="13"/>
        <v>0</v>
      </c>
    </row>
    <row r="43" spans="1:36">
      <c r="A43" s="116"/>
      <c r="B43" s="116" t="s">
        <v>46</v>
      </c>
      <c r="C43" s="122"/>
      <c r="D43" s="120" t="s">
        <v>87</v>
      </c>
      <c r="E43" s="98">
        <v>4053.31</v>
      </c>
      <c r="F43" s="99">
        <f>VLOOKUP(D43,'Dec 2012 Revenue'!D:T,17,FALSE)</f>
        <v>0</v>
      </c>
      <c r="G43" s="100"/>
      <c r="H43" s="100"/>
      <c r="I43" s="101"/>
      <c r="J43" s="102">
        <f t="shared" si="14"/>
        <v>4053.31</v>
      </c>
      <c r="K43" s="103"/>
      <c r="L43" s="104"/>
      <c r="M43" s="105"/>
      <c r="N43" s="103">
        <v>0</v>
      </c>
      <c r="O43" s="106"/>
      <c r="P43" s="103">
        <v>0</v>
      </c>
      <c r="Q43" s="107">
        <f t="shared" si="1"/>
        <v>0</v>
      </c>
      <c r="R43" s="108">
        <v>0</v>
      </c>
      <c r="S43" s="119"/>
      <c r="T43" s="110">
        <f t="shared" si="2"/>
        <v>0</v>
      </c>
      <c r="U43" s="103"/>
      <c r="V43" s="112">
        <f t="shared" si="3"/>
        <v>0</v>
      </c>
      <c r="W43" s="112">
        <f t="shared" si="4"/>
        <v>0</v>
      </c>
      <c r="X43" s="113">
        <f t="shared" si="5"/>
        <v>0</v>
      </c>
      <c r="Y43" s="113">
        <v>0</v>
      </c>
      <c r="Z43" s="114">
        <v>0</v>
      </c>
      <c r="AA43" s="11">
        <f t="shared" si="6"/>
        <v>0</v>
      </c>
      <c r="AB43" s="115">
        <f t="shared" si="7"/>
        <v>0</v>
      </c>
      <c r="AC43" s="115">
        <f t="shared" si="8"/>
        <v>4053.31</v>
      </c>
      <c r="AD43" s="115">
        <f t="shared" si="9"/>
        <v>0</v>
      </c>
      <c r="AE43" s="11"/>
      <c r="AF43" s="115">
        <f t="shared" si="10"/>
        <v>0</v>
      </c>
      <c r="AG43" s="115">
        <f t="shared" si="11"/>
        <v>0</v>
      </c>
      <c r="AH43" s="115">
        <f t="shared" si="12"/>
        <v>0</v>
      </c>
      <c r="AJ43" s="11">
        <f t="shared" si="13"/>
        <v>4053.31</v>
      </c>
    </row>
    <row r="44" spans="1:36">
      <c r="A44" s="116"/>
      <c r="B44" s="116" t="s">
        <v>49</v>
      </c>
      <c r="C44" s="122"/>
      <c r="D44" s="120" t="s">
        <v>88</v>
      </c>
      <c r="E44" s="98"/>
      <c r="F44" s="99">
        <f>VLOOKUP(D44,'Dec 2012 Revenue'!D:T,17,FALSE)</f>
        <v>0</v>
      </c>
      <c r="G44" s="100"/>
      <c r="H44" s="100"/>
      <c r="I44" s="101"/>
      <c r="J44" s="102">
        <f t="shared" si="14"/>
        <v>0</v>
      </c>
      <c r="K44" s="103"/>
      <c r="L44" s="104"/>
      <c r="M44" s="105"/>
      <c r="N44" s="103">
        <v>0</v>
      </c>
      <c r="O44" s="106"/>
      <c r="P44" s="103">
        <v>0</v>
      </c>
      <c r="Q44" s="107">
        <f t="shared" si="1"/>
        <v>0</v>
      </c>
      <c r="R44" s="108">
        <v>0</v>
      </c>
      <c r="S44" s="119"/>
      <c r="T44" s="110">
        <f t="shared" si="2"/>
        <v>0</v>
      </c>
      <c r="U44" s="103"/>
      <c r="V44" s="112">
        <f t="shared" si="3"/>
        <v>0</v>
      </c>
      <c r="W44" s="112">
        <f t="shared" si="4"/>
        <v>0</v>
      </c>
      <c r="X44" s="113">
        <f t="shared" si="5"/>
        <v>0</v>
      </c>
      <c r="Y44" s="113">
        <v>0</v>
      </c>
      <c r="Z44" s="114">
        <v>0</v>
      </c>
      <c r="AA44" s="11">
        <f t="shared" si="6"/>
        <v>0</v>
      </c>
      <c r="AB44" s="115">
        <f t="shared" si="7"/>
        <v>0</v>
      </c>
      <c r="AC44" s="115">
        <f t="shared" si="8"/>
        <v>0</v>
      </c>
      <c r="AD44" s="115">
        <f t="shared" si="9"/>
        <v>0</v>
      </c>
      <c r="AE44" s="11"/>
      <c r="AF44" s="115">
        <f t="shared" si="10"/>
        <v>0</v>
      </c>
      <c r="AG44" s="115">
        <f t="shared" si="11"/>
        <v>0</v>
      </c>
      <c r="AH44" s="115">
        <f t="shared" si="12"/>
        <v>0</v>
      </c>
      <c r="AJ44" s="11">
        <f t="shared" si="13"/>
        <v>0</v>
      </c>
    </row>
    <row r="45" spans="1:36">
      <c r="A45" s="116"/>
      <c r="B45" s="116" t="s">
        <v>49</v>
      </c>
      <c r="C45" s="122"/>
      <c r="D45" s="120" t="s">
        <v>89</v>
      </c>
      <c r="E45" s="98"/>
      <c r="F45" s="99">
        <f>VLOOKUP(D45,'Dec 2012 Revenue'!D:T,17,FALSE)</f>
        <v>-15000</v>
      </c>
      <c r="G45" s="100"/>
      <c r="H45" s="100"/>
      <c r="I45" s="101"/>
      <c r="J45" s="102">
        <f t="shared" si="14"/>
        <v>-15000</v>
      </c>
      <c r="K45" s="103"/>
      <c r="L45" s="104"/>
      <c r="M45" s="105">
        <v>30000</v>
      </c>
      <c r="N45" s="103">
        <v>0</v>
      </c>
      <c r="O45" s="106"/>
      <c r="P45" s="103">
        <v>0</v>
      </c>
      <c r="Q45" s="107">
        <f t="shared" si="1"/>
        <v>30000</v>
      </c>
      <c r="R45" s="108">
        <v>0</v>
      </c>
      <c r="S45" s="119"/>
      <c r="T45" s="110">
        <f t="shared" si="2"/>
        <v>-30000</v>
      </c>
      <c r="U45" s="103"/>
      <c r="V45" s="112">
        <f t="shared" si="3"/>
        <v>30000</v>
      </c>
      <c r="W45" s="112">
        <f t="shared" si="4"/>
        <v>0</v>
      </c>
      <c r="X45" s="113">
        <f t="shared" si="5"/>
        <v>0</v>
      </c>
      <c r="Y45" s="113">
        <v>0</v>
      </c>
      <c r="Z45" s="114">
        <v>0</v>
      </c>
      <c r="AA45" s="11">
        <f t="shared" si="6"/>
        <v>0</v>
      </c>
      <c r="AB45" s="115">
        <f t="shared" si="7"/>
        <v>-15000</v>
      </c>
      <c r="AC45" s="115">
        <f t="shared" si="8"/>
        <v>0</v>
      </c>
      <c r="AD45" s="115">
        <f t="shared" si="9"/>
        <v>0</v>
      </c>
      <c r="AE45" s="11"/>
      <c r="AF45" s="115">
        <f t="shared" si="10"/>
        <v>30000</v>
      </c>
      <c r="AG45" s="115">
        <f t="shared" si="11"/>
        <v>0</v>
      </c>
      <c r="AH45" s="115">
        <f t="shared" si="12"/>
        <v>0</v>
      </c>
      <c r="AJ45" s="11">
        <f t="shared" si="13"/>
        <v>15000</v>
      </c>
    </row>
    <row r="46" spans="1:36">
      <c r="A46" s="116"/>
      <c r="B46" s="116" t="s">
        <v>46</v>
      </c>
      <c r="C46" s="122"/>
      <c r="D46" s="120" t="s">
        <v>90</v>
      </c>
      <c r="E46" s="98"/>
      <c r="F46" s="99">
        <f>VLOOKUP(D46,'Dec 2012 Revenue'!D:T,17,FALSE)</f>
        <v>0</v>
      </c>
      <c r="G46" s="100"/>
      <c r="H46" s="100"/>
      <c r="I46" s="101"/>
      <c r="J46" s="102">
        <f t="shared" si="14"/>
        <v>0</v>
      </c>
      <c r="K46" s="103"/>
      <c r="L46" s="104"/>
      <c r="M46" s="105"/>
      <c r="N46" s="103">
        <v>0</v>
      </c>
      <c r="O46" s="106"/>
      <c r="P46" s="103">
        <v>0</v>
      </c>
      <c r="Q46" s="107">
        <f t="shared" si="1"/>
        <v>0</v>
      </c>
      <c r="R46" s="108">
        <v>5810.93</v>
      </c>
      <c r="S46" s="119"/>
      <c r="T46" s="110">
        <f t="shared" si="2"/>
        <v>5810.93</v>
      </c>
      <c r="U46" s="103"/>
      <c r="V46" s="112">
        <f t="shared" si="3"/>
        <v>0</v>
      </c>
      <c r="W46" s="112">
        <f t="shared" si="4"/>
        <v>0</v>
      </c>
      <c r="X46" s="113">
        <f t="shared" si="5"/>
        <v>0</v>
      </c>
      <c r="Y46" s="113">
        <v>0</v>
      </c>
      <c r="Z46" s="114">
        <v>0</v>
      </c>
      <c r="AA46" s="11">
        <f t="shared" si="6"/>
        <v>0</v>
      </c>
      <c r="AB46" s="115">
        <f t="shared" si="7"/>
        <v>0</v>
      </c>
      <c r="AC46" s="115">
        <f t="shared" si="8"/>
        <v>0</v>
      </c>
      <c r="AD46" s="115">
        <f t="shared" si="9"/>
        <v>0</v>
      </c>
      <c r="AE46" s="11"/>
      <c r="AF46" s="115">
        <f t="shared" si="10"/>
        <v>0</v>
      </c>
      <c r="AG46" s="115">
        <f t="shared" si="11"/>
        <v>0</v>
      </c>
      <c r="AH46" s="115">
        <f t="shared" si="12"/>
        <v>0</v>
      </c>
      <c r="AJ46" s="11">
        <f t="shared" si="13"/>
        <v>0</v>
      </c>
    </row>
    <row r="47" spans="1:36">
      <c r="A47" s="116"/>
      <c r="B47" s="116" t="s">
        <v>49</v>
      </c>
      <c r="C47" s="122" t="s">
        <v>91</v>
      </c>
      <c r="D47" s="120" t="s">
        <v>92</v>
      </c>
      <c r="E47" s="98"/>
      <c r="F47" s="99">
        <f>VLOOKUP(D47,'Dec 2012 Revenue'!D:T,17,FALSE)</f>
        <v>2690.08</v>
      </c>
      <c r="G47" s="100"/>
      <c r="H47" s="100"/>
      <c r="I47" s="101"/>
      <c r="J47" s="102">
        <f t="shared" si="14"/>
        <v>2690.08</v>
      </c>
      <c r="K47" s="103"/>
      <c r="L47" s="104"/>
      <c r="M47" s="105"/>
      <c r="N47" s="103">
        <v>0</v>
      </c>
      <c r="O47" s="106"/>
      <c r="P47" s="103">
        <v>0</v>
      </c>
      <c r="Q47" s="107">
        <f t="shared" si="1"/>
        <v>0</v>
      </c>
      <c r="R47" s="108">
        <v>2397.54</v>
      </c>
      <c r="S47" s="119"/>
      <c r="T47" s="110">
        <f t="shared" si="2"/>
        <v>2397.54</v>
      </c>
      <c r="U47" s="103"/>
      <c r="V47" s="112">
        <f t="shared" si="3"/>
        <v>0</v>
      </c>
      <c r="W47" s="112">
        <f t="shared" si="4"/>
        <v>0</v>
      </c>
      <c r="X47" s="113">
        <f t="shared" si="5"/>
        <v>0</v>
      </c>
      <c r="Y47" s="113">
        <v>0</v>
      </c>
      <c r="Z47" s="114">
        <v>0</v>
      </c>
      <c r="AA47" s="11">
        <f t="shared" si="6"/>
        <v>0</v>
      </c>
      <c r="AB47" s="115">
        <f t="shared" si="7"/>
        <v>2690.08</v>
      </c>
      <c r="AC47" s="115">
        <f t="shared" si="8"/>
        <v>0</v>
      </c>
      <c r="AD47" s="115">
        <f t="shared" si="9"/>
        <v>0</v>
      </c>
      <c r="AE47" s="11"/>
      <c r="AF47" s="115">
        <f t="shared" si="10"/>
        <v>0</v>
      </c>
      <c r="AG47" s="115">
        <f t="shared" si="11"/>
        <v>0</v>
      </c>
      <c r="AH47" s="115">
        <f t="shared" si="12"/>
        <v>0</v>
      </c>
      <c r="AJ47" s="11">
        <f t="shared" si="13"/>
        <v>2690.08</v>
      </c>
    </row>
    <row r="48" spans="1:36">
      <c r="A48" s="116"/>
      <c r="B48" s="116" t="s">
        <v>49</v>
      </c>
      <c r="C48" s="122" t="s">
        <v>93</v>
      </c>
      <c r="D48" s="120" t="s">
        <v>94</v>
      </c>
      <c r="E48" s="98"/>
      <c r="F48" s="99">
        <f>VLOOKUP(D48,'Dec 2012 Revenue'!D:T,17,FALSE)</f>
        <v>0</v>
      </c>
      <c r="G48" s="100"/>
      <c r="H48" s="100"/>
      <c r="I48" s="101"/>
      <c r="J48" s="102">
        <f t="shared" si="14"/>
        <v>0</v>
      </c>
      <c r="K48" s="103"/>
      <c r="L48" s="104"/>
      <c r="M48" s="105"/>
      <c r="N48" s="103">
        <v>0</v>
      </c>
      <c r="O48" s="106"/>
      <c r="P48" s="103">
        <v>0</v>
      </c>
      <c r="Q48" s="107">
        <f t="shared" si="1"/>
        <v>0</v>
      </c>
      <c r="R48" s="108">
        <v>12142.46</v>
      </c>
      <c r="S48" s="119"/>
      <c r="T48" s="110">
        <f t="shared" si="2"/>
        <v>12142.46</v>
      </c>
      <c r="U48" s="103"/>
      <c r="V48" s="112">
        <f t="shared" si="3"/>
        <v>0</v>
      </c>
      <c r="W48" s="112">
        <f t="shared" si="4"/>
        <v>0</v>
      </c>
      <c r="X48" s="113">
        <f t="shared" si="5"/>
        <v>0</v>
      </c>
      <c r="Y48" s="113">
        <v>0</v>
      </c>
      <c r="Z48" s="114">
        <v>0</v>
      </c>
      <c r="AA48" s="11">
        <f t="shared" si="6"/>
        <v>0</v>
      </c>
      <c r="AB48" s="115">
        <f t="shared" si="7"/>
        <v>0</v>
      </c>
      <c r="AC48" s="115">
        <f t="shared" si="8"/>
        <v>0</v>
      </c>
      <c r="AD48" s="115">
        <f t="shared" si="9"/>
        <v>0</v>
      </c>
      <c r="AE48" s="11"/>
      <c r="AF48" s="115">
        <f t="shared" si="10"/>
        <v>0</v>
      </c>
      <c r="AG48" s="115">
        <f t="shared" si="11"/>
        <v>0</v>
      </c>
      <c r="AH48" s="115">
        <f t="shared" si="12"/>
        <v>0</v>
      </c>
      <c r="AJ48" s="11">
        <f t="shared" si="13"/>
        <v>0</v>
      </c>
    </row>
    <row r="49" spans="1:36">
      <c r="A49" s="116" t="s">
        <v>60</v>
      </c>
      <c r="B49" s="116" t="s">
        <v>49</v>
      </c>
      <c r="C49" s="122" t="s">
        <v>95</v>
      </c>
      <c r="D49" s="120" t="s">
        <v>96</v>
      </c>
      <c r="E49" s="98"/>
      <c r="F49" s="99">
        <f>VLOOKUP(D49,'Dec 2012 Revenue'!D:T,17,FALSE)</f>
        <v>3718.9100000000035</v>
      </c>
      <c r="G49" s="100"/>
      <c r="H49" s="100"/>
      <c r="I49" s="101"/>
      <c r="J49" s="102">
        <f t="shared" si="14"/>
        <v>3718.9100000000035</v>
      </c>
      <c r="K49" s="103"/>
      <c r="L49" s="104"/>
      <c r="M49" s="105">
        <v>10000</v>
      </c>
      <c r="N49" s="103">
        <v>0</v>
      </c>
      <c r="O49" s="106"/>
      <c r="P49" s="103">
        <v>0</v>
      </c>
      <c r="Q49" s="107">
        <f t="shared" si="1"/>
        <v>10000</v>
      </c>
      <c r="R49" s="108">
        <v>0</v>
      </c>
      <c r="S49" s="119"/>
      <c r="T49" s="110">
        <f t="shared" si="2"/>
        <v>-10000</v>
      </c>
      <c r="U49" s="103"/>
      <c r="V49" s="112">
        <f t="shared" si="3"/>
        <v>10000</v>
      </c>
      <c r="W49" s="112">
        <f t="shared" si="4"/>
        <v>0</v>
      </c>
      <c r="X49" s="113">
        <f t="shared" si="5"/>
        <v>0</v>
      </c>
      <c r="Y49" s="113">
        <v>0</v>
      </c>
      <c r="Z49" s="114">
        <v>0</v>
      </c>
      <c r="AA49" s="11">
        <f t="shared" si="6"/>
        <v>0</v>
      </c>
      <c r="AB49" s="115">
        <f t="shared" si="7"/>
        <v>3718.9100000000035</v>
      </c>
      <c r="AC49" s="115">
        <f t="shared" si="8"/>
        <v>0</v>
      </c>
      <c r="AD49" s="115">
        <f t="shared" si="9"/>
        <v>0</v>
      </c>
      <c r="AE49" s="11"/>
      <c r="AF49" s="115">
        <f t="shared" si="10"/>
        <v>10000</v>
      </c>
      <c r="AG49" s="115">
        <f t="shared" si="11"/>
        <v>0</v>
      </c>
      <c r="AH49" s="115">
        <f t="shared" si="12"/>
        <v>0</v>
      </c>
      <c r="AJ49" s="11">
        <f t="shared" si="13"/>
        <v>13718.910000000003</v>
      </c>
    </row>
    <row r="50" spans="1:36" s="124" customFormat="1" hidden="1">
      <c r="A50" s="123" t="s">
        <v>154</v>
      </c>
      <c r="B50" s="123" t="s">
        <v>46</v>
      </c>
      <c r="C50" s="122" t="s">
        <v>99</v>
      </c>
      <c r="D50" s="118" t="s">
        <v>395</v>
      </c>
      <c r="E50" s="98"/>
      <c r="F50" s="99">
        <f>VLOOKUP(D50,'Dec 2012 Revenue'!D:T,17,FALSE)</f>
        <v>0</v>
      </c>
      <c r="G50" s="100"/>
      <c r="H50" s="100"/>
      <c r="I50" s="101"/>
      <c r="J50" s="102">
        <f t="shared" si="14"/>
        <v>0</v>
      </c>
      <c r="K50" s="103"/>
      <c r="L50" s="104"/>
      <c r="M50" s="105"/>
      <c r="N50" s="103">
        <v>0</v>
      </c>
      <c r="O50" s="106"/>
      <c r="P50" s="103">
        <v>0</v>
      </c>
      <c r="Q50" s="107">
        <f t="shared" si="1"/>
        <v>0</v>
      </c>
      <c r="R50" s="108">
        <v>0</v>
      </c>
      <c r="S50" s="119"/>
      <c r="T50" s="110">
        <f t="shared" si="2"/>
        <v>0</v>
      </c>
      <c r="U50" s="103"/>
      <c r="V50" s="112">
        <f t="shared" si="3"/>
        <v>0</v>
      </c>
      <c r="W50" s="112">
        <f t="shared" si="4"/>
        <v>0</v>
      </c>
      <c r="X50" s="113">
        <f t="shared" si="5"/>
        <v>0</v>
      </c>
      <c r="Y50" s="113">
        <v>0</v>
      </c>
      <c r="Z50" s="114">
        <v>0</v>
      </c>
      <c r="AA50" s="11">
        <f t="shared" si="6"/>
        <v>0</v>
      </c>
      <c r="AB50" s="115">
        <f t="shared" si="7"/>
        <v>0</v>
      </c>
      <c r="AC50" s="115">
        <f t="shared" si="8"/>
        <v>0</v>
      </c>
      <c r="AD50" s="115">
        <f t="shared" si="9"/>
        <v>0</v>
      </c>
      <c r="AE50" s="11"/>
      <c r="AF50" s="115">
        <f t="shared" si="10"/>
        <v>0</v>
      </c>
      <c r="AG50" s="115">
        <f t="shared" si="11"/>
        <v>0</v>
      </c>
      <c r="AH50" s="115">
        <f t="shared" si="12"/>
        <v>0</v>
      </c>
      <c r="AJ50" s="11">
        <f t="shared" si="13"/>
        <v>0</v>
      </c>
    </row>
    <row r="51" spans="1:36" s="124" customFormat="1" hidden="1">
      <c r="A51" s="123"/>
      <c r="B51" s="123" t="s">
        <v>46</v>
      </c>
      <c r="C51" s="122" t="s">
        <v>99</v>
      </c>
      <c r="D51" s="118" t="s">
        <v>100</v>
      </c>
      <c r="E51" s="98"/>
      <c r="F51" s="99">
        <f>VLOOKUP(D51,'Dec 2012 Revenue'!D:T,17,FALSE)</f>
        <v>0</v>
      </c>
      <c r="G51" s="100"/>
      <c r="H51" s="100"/>
      <c r="I51" s="101"/>
      <c r="J51" s="102">
        <f t="shared" si="14"/>
        <v>0</v>
      </c>
      <c r="K51" s="103"/>
      <c r="L51" s="104"/>
      <c r="M51" s="105"/>
      <c r="N51" s="103">
        <v>0</v>
      </c>
      <c r="O51" s="106"/>
      <c r="P51" s="103">
        <v>0</v>
      </c>
      <c r="Q51" s="107">
        <f t="shared" si="1"/>
        <v>0</v>
      </c>
      <c r="R51" s="108">
        <v>0</v>
      </c>
      <c r="S51" s="119"/>
      <c r="T51" s="110">
        <f t="shared" si="2"/>
        <v>0</v>
      </c>
      <c r="U51" s="103"/>
      <c r="V51" s="112">
        <f t="shared" si="3"/>
        <v>0</v>
      </c>
      <c r="W51" s="112">
        <f t="shared" si="4"/>
        <v>0</v>
      </c>
      <c r="X51" s="113">
        <f t="shared" si="5"/>
        <v>0</v>
      </c>
      <c r="Y51" s="113">
        <v>0</v>
      </c>
      <c r="Z51" s="114">
        <v>0</v>
      </c>
      <c r="AA51" s="11">
        <f t="shared" si="6"/>
        <v>0</v>
      </c>
      <c r="AB51" s="115">
        <f t="shared" si="7"/>
        <v>0</v>
      </c>
      <c r="AC51" s="115">
        <f t="shared" si="8"/>
        <v>0</v>
      </c>
      <c r="AD51" s="115">
        <f t="shared" si="9"/>
        <v>0</v>
      </c>
      <c r="AE51" s="11"/>
      <c r="AF51" s="115">
        <f t="shared" si="10"/>
        <v>0</v>
      </c>
      <c r="AG51" s="115">
        <f t="shared" si="11"/>
        <v>0</v>
      </c>
      <c r="AH51" s="115">
        <f t="shared" si="12"/>
        <v>0</v>
      </c>
      <c r="AJ51" s="11">
        <f t="shared" si="13"/>
        <v>0</v>
      </c>
    </row>
    <row r="52" spans="1:36" s="124" customFormat="1" hidden="1">
      <c r="A52" s="123"/>
      <c r="B52" s="123" t="s">
        <v>46</v>
      </c>
      <c r="C52" s="122" t="s">
        <v>99</v>
      </c>
      <c r="D52" s="118" t="s">
        <v>101</v>
      </c>
      <c r="E52" s="98"/>
      <c r="F52" s="99">
        <f>VLOOKUP(D52,'Dec 2012 Revenue'!D:T,17,FALSE)</f>
        <v>0</v>
      </c>
      <c r="G52" s="100"/>
      <c r="H52" s="100"/>
      <c r="I52" s="101"/>
      <c r="J52" s="102">
        <f t="shared" si="14"/>
        <v>0</v>
      </c>
      <c r="K52" s="103"/>
      <c r="L52" s="104"/>
      <c r="M52" s="105"/>
      <c r="N52" s="103">
        <v>0</v>
      </c>
      <c r="O52" s="106"/>
      <c r="P52" s="103">
        <v>0</v>
      </c>
      <c r="Q52" s="107">
        <f t="shared" si="1"/>
        <v>0</v>
      </c>
      <c r="R52" s="108">
        <v>0</v>
      </c>
      <c r="S52" s="119"/>
      <c r="T52" s="110">
        <f t="shared" si="2"/>
        <v>0</v>
      </c>
      <c r="U52" s="103"/>
      <c r="V52" s="112">
        <f t="shared" si="3"/>
        <v>0</v>
      </c>
      <c r="W52" s="112">
        <f t="shared" si="4"/>
        <v>0</v>
      </c>
      <c r="X52" s="113">
        <f t="shared" si="5"/>
        <v>0</v>
      </c>
      <c r="Y52" s="113">
        <v>0</v>
      </c>
      <c r="Z52" s="114">
        <v>0</v>
      </c>
      <c r="AA52" s="11">
        <f t="shared" si="6"/>
        <v>0</v>
      </c>
      <c r="AB52" s="115">
        <f t="shared" si="7"/>
        <v>0</v>
      </c>
      <c r="AC52" s="115">
        <f t="shared" si="8"/>
        <v>0</v>
      </c>
      <c r="AD52" s="115">
        <f t="shared" si="9"/>
        <v>0</v>
      </c>
      <c r="AE52" s="11"/>
      <c r="AF52" s="115">
        <f t="shared" si="10"/>
        <v>0</v>
      </c>
      <c r="AG52" s="115">
        <f t="shared" si="11"/>
        <v>0</v>
      </c>
      <c r="AH52" s="115">
        <f t="shared" si="12"/>
        <v>0</v>
      </c>
      <c r="AJ52" s="11">
        <f t="shared" si="13"/>
        <v>0</v>
      </c>
    </row>
    <row r="53" spans="1:36" s="124" customFormat="1" hidden="1">
      <c r="A53" s="123"/>
      <c r="B53" s="123" t="s">
        <v>46</v>
      </c>
      <c r="C53" s="122" t="s">
        <v>99</v>
      </c>
      <c r="D53" s="118" t="s">
        <v>102</v>
      </c>
      <c r="E53" s="98"/>
      <c r="F53" s="99">
        <f>VLOOKUP(D53,'Dec 2012 Revenue'!D:T,17,FALSE)</f>
        <v>0</v>
      </c>
      <c r="G53" s="100"/>
      <c r="H53" s="100"/>
      <c r="I53" s="101"/>
      <c r="J53" s="102">
        <f t="shared" si="14"/>
        <v>0</v>
      </c>
      <c r="K53" s="103"/>
      <c r="L53" s="104"/>
      <c r="M53" s="105"/>
      <c r="N53" s="103">
        <v>0</v>
      </c>
      <c r="O53" s="106"/>
      <c r="P53" s="103">
        <v>0</v>
      </c>
      <c r="Q53" s="107">
        <f t="shared" si="1"/>
        <v>0</v>
      </c>
      <c r="R53" s="108">
        <v>0</v>
      </c>
      <c r="S53" s="119"/>
      <c r="T53" s="110">
        <f t="shared" si="2"/>
        <v>0</v>
      </c>
      <c r="U53" s="103"/>
      <c r="V53" s="112">
        <f t="shared" si="3"/>
        <v>0</v>
      </c>
      <c r="W53" s="112">
        <f t="shared" si="4"/>
        <v>0</v>
      </c>
      <c r="X53" s="113">
        <f t="shared" si="5"/>
        <v>0</v>
      </c>
      <c r="Y53" s="113">
        <v>0</v>
      </c>
      <c r="Z53" s="114">
        <v>0</v>
      </c>
      <c r="AA53" s="11">
        <f t="shared" si="6"/>
        <v>0</v>
      </c>
      <c r="AB53" s="115">
        <f t="shared" si="7"/>
        <v>0</v>
      </c>
      <c r="AC53" s="115">
        <f t="shared" si="8"/>
        <v>0</v>
      </c>
      <c r="AD53" s="115">
        <f t="shared" si="9"/>
        <v>0</v>
      </c>
      <c r="AE53" s="11"/>
      <c r="AF53" s="115">
        <f t="shared" si="10"/>
        <v>0</v>
      </c>
      <c r="AG53" s="115">
        <f t="shared" si="11"/>
        <v>0</v>
      </c>
      <c r="AH53" s="115">
        <f t="shared" si="12"/>
        <v>0</v>
      </c>
      <c r="AJ53" s="11">
        <f t="shared" si="13"/>
        <v>0</v>
      </c>
    </row>
    <row r="54" spans="1:36">
      <c r="A54" s="116" t="s">
        <v>60</v>
      </c>
      <c r="B54" s="116" t="s">
        <v>46</v>
      </c>
      <c r="C54" s="122" t="s">
        <v>106</v>
      </c>
      <c r="D54" s="120" t="s">
        <v>107</v>
      </c>
      <c r="E54" s="98"/>
      <c r="F54" s="99">
        <f>VLOOKUP(D54,'Dec 2012 Revenue'!D:T,17,FALSE)</f>
        <v>-15000</v>
      </c>
      <c r="G54" s="100"/>
      <c r="H54" s="100"/>
      <c r="I54" s="101"/>
      <c r="J54" s="102">
        <f t="shared" si="14"/>
        <v>-15000</v>
      </c>
      <c r="K54" s="103"/>
      <c r="L54" s="104"/>
      <c r="M54" s="105">
        <v>16000</v>
      </c>
      <c r="N54" s="103">
        <v>0</v>
      </c>
      <c r="O54" s="106"/>
      <c r="P54" s="103">
        <v>0</v>
      </c>
      <c r="Q54" s="107">
        <f t="shared" si="1"/>
        <v>16000</v>
      </c>
      <c r="R54" s="108">
        <v>0</v>
      </c>
      <c r="S54" s="119"/>
      <c r="T54" s="110">
        <f t="shared" si="2"/>
        <v>-16000</v>
      </c>
      <c r="U54" s="103"/>
      <c r="V54" s="112">
        <f t="shared" si="3"/>
        <v>0</v>
      </c>
      <c r="W54" s="112">
        <f t="shared" si="4"/>
        <v>16000</v>
      </c>
      <c r="X54" s="113">
        <f t="shared" si="5"/>
        <v>0</v>
      </c>
      <c r="Y54" s="113">
        <v>0</v>
      </c>
      <c r="Z54" s="114">
        <v>0</v>
      </c>
      <c r="AA54" s="11">
        <f t="shared" si="6"/>
        <v>0</v>
      </c>
      <c r="AB54" s="115">
        <f t="shared" si="7"/>
        <v>0</v>
      </c>
      <c r="AC54" s="115">
        <f t="shared" si="8"/>
        <v>-15000</v>
      </c>
      <c r="AD54" s="115">
        <f t="shared" si="9"/>
        <v>0</v>
      </c>
      <c r="AE54" s="11"/>
      <c r="AF54" s="115">
        <f t="shared" si="10"/>
        <v>0</v>
      </c>
      <c r="AG54" s="115">
        <f t="shared" si="11"/>
        <v>16000</v>
      </c>
      <c r="AH54" s="115">
        <f t="shared" si="12"/>
        <v>0</v>
      </c>
      <c r="AJ54" s="11">
        <f t="shared" si="13"/>
        <v>1000</v>
      </c>
    </row>
    <row r="55" spans="1:36">
      <c r="A55" s="116" t="s">
        <v>60</v>
      </c>
      <c r="B55" s="116" t="s">
        <v>81</v>
      </c>
      <c r="C55" s="122"/>
      <c r="D55" s="120" t="s">
        <v>109</v>
      </c>
      <c r="E55" s="98"/>
      <c r="F55" s="99">
        <f>VLOOKUP(D55,'Dec 2012 Revenue'!D:T,17,FALSE)</f>
        <v>0</v>
      </c>
      <c r="G55" s="100"/>
      <c r="H55" s="100"/>
      <c r="I55" s="101"/>
      <c r="J55" s="102">
        <f t="shared" si="14"/>
        <v>0</v>
      </c>
      <c r="K55" s="103"/>
      <c r="L55" s="104"/>
      <c r="M55" s="105"/>
      <c r="N55" s="103">
        <v>0</v>
      </c>
      <c r="O55" s="106"/>
      <c r="P55" s="103">
        <v>0</v>
      </c>
      <c r="Q55" s="107">
        <f t="shared" si="1"/>
        <v>0</v>
      </c>
      <c r="R55" s="108">
        <v>0</v>
      </c>
      <c r="S55" s="119"/>
      <c r="T55" s="110">
        <f t="shared" si="2"/>
        <v>0</v>
      </c>
      <c r="U55" s="103"/>
      <c r="V55" s="112">
        <f t="shared" si="3"/>
        <v>0</v>
      </c>
      <c r="W55" s="112">
        <f t="shared" si="4"/>
        <v>0</v>
      </c>
      <c r="X55" s="113">
        <f t="shared" si="5"/>
        <v>0</v>
      </c>
      <c r="Y55" s="113">
        <v>0</v>
      </c>
      <c r="Z55" s="114">
        <v>0</v>
      </c>
      <c r="AA55" s="11">
        <f t="shared" si="6"/>
        <v>0</v>
      </c>
      <c r="AB55" s="115">
        <f t="shared" si="7"/>
        <v>0</v>
      </c>
      <c r="AC55" s="115">
        <f t="shared" si="8"/>
        <v>0</v>
      </c>
      <c r="AD55" s="115">
        <f t="shared" si="9"/>
        <v>0</v>
      </c>
      <c r="AE55" s="11"/>
      <c r="AF55" s="115">
        <f t="shared" si="10"/>
        <v>0</v>
      </c>
      <c r="AG55" s="115">
        <f t="shared" si="11"/>
        <v>0</v>
      </c>
      <c r="AH55" s="115">
        <f t="shared" si="12"/>
        <v>0</v>
      </c>
      <c r="AJ55" s="11">
        <f t="shared" si="13"/>
        <v>0</v>
      </c>
    </row>
    <row r="56" spans="1:36">
      <c r="A56" s="116"/>
      <c r="B56" s="116" t="s">
        <v>46</v>
      </c>
      <c r="C56" s="126" t="s">
        <v>110</v>
      </c>
      <c r="D56" s="120" t="s">
        <v>111</v>
      </c>
      <c r="E56" s="98"/>
      <c r="F56" s="99">
        <f>VLOOKUP(D56,'Dec 2012 Revenue'!D:T,17,FALSE)</f>
        <v>0</v>
      </c>
      <c r="G56" s="100"/>
      <c r="H56" s="100"/>
      <c r="I56" s="101"/>
      <c r="J56" s="102">
        <f t="shared" si="14"/>
        <v>0</v>
      </c>
      <c r="K56" s="103"/>
      <c r="L56" s="104"/>
      <c r="M56" s="105">
        <v>115000</v>
      </c>
      <c r="N56" s="103">
        <v>0</v>
      </c>
      <c r="O56" s="106"/>
      <c r="P56" s="103">
        <v>0</v>
      </c>
      <c r="Q56" s="107">
        <f t="shared" si="1"/>
        <v>115000</v>
      </c>
      <c r="R56" s="98">
        <v>120501.87</v>
      </c>
      <c r="S56" s="119"/>
      <c r="T56" s="110">
        <f t="shared" si="2"/>
        <v>5501.8699999999953</v>
      </c>
      <c r="U56" s="103"/>
      <c r="V56" s="112">
        <f t="shared" si="3"/>
        <v>0</v>
      </c>
      <c r="W56" s="112">
        <f t="shared" si="4"/>
        <v>115000</v>
      </c>
      <c r="X56" s="113">
        <f t="shared" si="5"/>
        <v>0</v>
      </c>
      <c r="Y56" s="113">
        <v>0</v>
      </c>
      <c r="Z56" s="114">
        <v>0</v>
      </c>
      <c r="AA56" s="11">
        <f t="shared" si="6"/>
        <v>0</v>
      </c>
      <c r="AB56" s="115">
        <f t="shared" si="7"/>
        <v>0</v>
      </c>
      <c r="AC56" s="115">
        <f t="shared" si="8"/>
        <v>0</v>
      </c>
      <c r="AD56" s="115">
        <f t="shared" si="9"/>
        <v>0</v>
      </c>
      <c r="AE56" s="11"/>
      <c r="AF56" s="115">
        <f t="shared" si="10"/>
        <v>0</v>
      </c>
      <c r="AG56" s="115">
        <f t="shared" si="11"/>
        <v>115000</v>
      </c>
      <c r="AH56" s="115">
        <f t="shared" si="12"/>
        <v>0</v>
      </c>
      <c r="AJ56" s="11">
        <f t="shared" si="13"/>
        <v>115000</v>
      </c>
    </row>
    <row r="57" spans="1:36">
      <c r="A57" s="116"/>
      <c r="B57" s="116" t="s">
        <v>46</v>
      </c>
      <c r="C57" s="122"/>
      <c r="D57" s="120" t="s">
        <v>112</v>
      </c>
      <c r="E57" s="98"/>
      <c r="F57" s="99">
        <f>VLOOKUP(D57,'Dec 2012 Revenue'!D:T,17,FALSE)</f>
        <v>-5000</v>
      </c>
      <c r="G57" s="100"/>
      <c r="H57" s="100"/>
      <c r="I57" s="101"/>
      <c r="J57" s="102">
        <f t="shared" si="14"/>
        <v>-5000</v>
      </c>
      <c r="K57" s="103"/>
      <c r="L57" s="104"/>
      <c r="M57" s="105">
        <v>10000</v>
      </c>
      <c r="N57" s="103">
        <v>0</v>
      </c>
      <c r="O57" s="106"/>
      <c r="P57" s="103">
        <v>0</v>
      </c>
      <c r="Q57" s="107">
        <f t="shared" si="1"/>
        <v>10000</v>
      </c>
      <c r="R57" s="108">
        <v>0</v>
      </c>
      <c r="S57" s="119"/>
      <c r="T57" s="110">
        <f t="shared" si="2"/>
        <v>-10000</v>
      </c>
      <c r="U57" s="103"/>
      <c r="V57" s="112">
        <f t="shared" si="3"/>
        <v>0</v>
      </c>
      <c r="W57" s="112">
        <f t="shared" si="4"/>
        <v>10000</v>
      </c>
      <c r="X57" s="113">
        <f t="shared" si="5"/>
        <v>0</v>
      </c>
      <c r="Y57" s="113">
        <v>0</v>
      </c>
      <c r="Z57" s="114">
        <v>0</v>
      </c>
      <c r="AA57" s="11">
        <f t="shared" si="6"/>
        <v>0</v>
      </c>
      <c r="AB57" s="115">
        <f t="shared" si="7"/>
        <v>0</v>
      </c>
      <c r="AC57" s="115">
        <f t="shared" si="8"/>
        <v>-5000</v>
      </c>
      <c r="AD57" s="115">
        <f t="shared" si="9"/>
        <v>0</v>
      </c>
      <c r="AE57" s="11"/>
      <c r="AF57" s="115">
        <f t="shared" si="10"/>
        <v>0</v>
      </c>
      <c r="AG57" s="115">
        <f t="shared" si="11"/>
        <v>10000</v>
      </c>
      <c r="AH57" s="115">
        <f t="shared" si="12"/>
        <v>0</v>
      </c>
      <c r="AJ57" s="11">
        <f t="shared" si="13"/>
        <v>5000</v>
      </c>
    </row>
    <row r="58" spans="1:36">
      <c r="A58" s="116"/>
      <c r="B58" s="116" t="s">
        <v>81</v>
      </c>
      <c r="C58" s="122"/>
      <c r="D58" s="120" t="s">
        <v>113</v>
      </c>
      <c r="E58" s="98"/>
      <c r="F58" s="99">
        <f>VLOOKUP(D58,'Dec 2012 Revenue'!D:T,17,FALSE)</f>
        <v>0</v>
      </c>
      <c r="G58" s="100"/>
      <c r="H58" s="100"/>
      <c r="I58" s="101"/>
      <c r="J58" s="102">
        <f t="shared" si="14"/>
        <v>0</v>
      </c>
      <c r="K58" s="103"/>
      <c r="L58" s="104"/>
      <c r="M58" s="105"/>
      <c r="N58" s="103">
        <v>0</v>
      </c>
      <c r="O58" s="106"/>
      <c r="P58" s="103">
        <v>0</v>
      </c>
      <c r="Q58" s="107">
        <f t="shared" si="1"/>
        <v>0</v>
      </c>
      <c r="R58" s="108">
        <v>83.97</v>
      </c>
      <c r="S58" s="119"/>
      <c r="T58" s="110">
        <f t="shared" si="2"/>
        <v>83.97</v>
      </c>
      <c r="U58" s="103"/>
      <c r="V58" s="112">
        <f t="shared" si="3"/>
        <v>0</v>
      </c>
      <c r="W58" s="112">
        <f t="shared" si="4"/>
        <v>0</v>
      </c>
      <c r="X58" s="113">
        <f t="shared" si="5"/>
        <v>0</v>
      </c>
      <c r="Y58" s="113">
        <v>0</v>
      </c>
      <c r="Z58" s="114">
        <v>0</v>
      </c>
      <c r="AA58" s="11">
        <f t="shared" si="6"/>
        <v>0</v>
      </c>
      <c r="AB58" s="115">
        <f t="shared" si="7"/>
        <v>0</v>
      </c>
      <c r="AC58" s="115">
        <f t="shared" si="8"/>
        <v>0</v>
      </c>
      <c r="AD58" s="115">
        <f t="shared" si="9"/>
        <v>0</v>
      </c>
      <c r="AE58" s="11"/>
      <c r="AF58" s="115">
        <f t="shared" si="10"/>
        <v>0</v>
      </c>
      <c r="AG58" s="115">
        <f t="shared" si="11"/>
        <v>0</v>
      </c>
      <c r="AH58" s="115">
        <f t="shared" si="12"/>
        <v>0</v>
      </c>
      <c r="AJ58" s="11">
        <f t="shared" si="13"/>
        <v>0</v>
      </c>
    </row>
    <row r="59" spans="1:36">
      <c r="A59" s="129"/>
      <c r="B59" s="129" t="s">
        <v>49</v>
      </c>
      <c r="C59" s="96" t="s">
        <v>114</v>
      </c>
      <c r="D59" s="118" t="s">
        <v>115</v>
      </c>
      <c r="E59" s="98"/>
      <c r="F59" s="99">
        <f>VLOOKUP(D59,'Dec 2012 Revenue'!D:T,17,FALSE)</f>
        <v>44838.959999999992</v>
      </c>
      <c r="G59" s="100"/>
      <c r="H59" s="100"/>
      <c r="I59" s="101"/>
      <c r="J59" s="102">
        <f t="shared" si="14"/>
        <v>44838.959999999992</v>
      </c>
      <c r="K59" s="103"/>
      <c r="L59" s="104"/>
      <c r="M59" s="105">
        <v>130000</v>
      </c>
      <c r="N59" s="103">
        <v>0</v>
      </c>
      <c r="O59" s="106"/>
      <c r="P59" s="103">
        <v>0</v>
      </c>
      <c r="Q59" s="107">
        <f t="shared" si="1"/>
        <v>130000</v>
      </c>
      <c r="R59" s="108">
        <v>155896.95999999999</v>
      </c>
      <c r="S59" s="119"/>
      <c r="T59" s="110">
        <f t="shared" si="2"/>
        <v>25896.959999999992</v>
      </c>
      <c r="U59" s="103"/>
      <c r="V59" s="112">
        <f t="shared" si="3"/>
        <v>130000</v>
      </c>
      <c r="W59" s="112">
        <f t="shared" si="4"/>
        <v>0</v>
      </c>
      <c r="X59" s="113">
        <f t="shared" si="5"/>
        <v>0</v>
      </c>
      <c r="Y59" s="113">
        <v>0</v>
      </c>
      <c r="Z59" s="114">
        <v>0</v>
      </c>
      <c r="AA59" s="11">
        <f t="shared" si="6"/>
        <v>0</v>
      </c>
      <c r="AB59" s="115">
        <f t="shared" si="7"/>
        <v>44838.959999999992</v>
      </c>
      <c r="AC59" s="115">
        <f t="shared" si="8"/>
        <v>0</v>
      </c>
      <c r="AD59" s="115">
        <f t="shared" si="9"/>
        <v>0</v>
      </c>
      <c r="AE59" s="11"/>
      <c r="AF59" s="115">
        <f t="shared" si="10"/>
        <v>130000</v>
      </c>
      <c r="AG59" s="115">
        <f t="shared" si="11"/>
        <v>0</v>
      </c>
      <c r="AH59" s="115">
        <f t="shared" si="12"/>
        <v>0</v>
      </c>
      <c r="AJ59" s="11">
        <f t="shared" si="13"/>
        <v>174838.96</v>
      </c>
    </row>
    <row r="60" spans="1:36">
      <c r="A60" s="116"/>
      <c r="B60" s="116" t="s">
        <v>49</v>
      </c>
      <c r="C60" s="122" t="s">
        <v>116</v>
      </c>
      <c r="D60" s="120" t="s">
        <v>117</v>
      </c>
      <c r="E60" s="98"/>
      <c r="F60" s="99">
        <f>VLOOKUP(D60,'Dec 2012 Revenue'!D:T,17,FALSE)</f>
        <v>0</v>
      </c>
      <c r="G60" s="100"/>
      <c r="H60" s="100"/>
      <c r="I60" s="101"/>
      <c r="J60" s="102">
        <f t="shared" si="14"/>
        <v>0</v>
      </c>
      <c r="K60" s="103"/>
      <c r="L60" s="104"/>
      <c r="M60" s="105"/>
      <c r="N60" s="103">
        <v>0</v>
      </c>
      <c r="O60" s="106"/>
      <c r="P60" s="103">
        <v>0</v>
      </c>
      <c r="Q60" s="107">
        <f t="shared" si="1"/>
        <v>0</v>
      </c>
      <c r="R60" s="108">
        <v>0</v>
      </c>
      <c r="S60" s="119"/>
      <c r="T60" s="110">
        <f t="shared" si="2"/>
        <v>0</v>
      </c>
      <c r="U60" s="103"/>
      <c r="V60" s="112">
        <f t="shared" si="3"/>
        <v>0</v>
      </c>
      <c r="W60" s="112">
        <f t="shared" si="4"/>
        <v>0</v>
      </c>
      <c r="X60" s="113">
        <f t="shared" si="5"/>
        <v>0</v>
      </c>
      <c r="Y60" s="113">
        <v>0</v>
      </c>
      <c r="Z60" s="114">
        <v>0</v>
      </c>
      <c r="AA60" s="11">
        <f t="shared" si="6"/>
        <v>0</v>
      </c>
      <c r="AB60" s="115">
        <f t="shared" si="7"/>
        <v>0</v>
      </c>
      <c r="AC60" s="115">
        <f t="shared" si="8"/>
        <v>0</v>
      </c>
      <c r="AD60" s="115">
        <f t="shared" si="9"/>
        <v>0</v>
      </c>
      <c r="AE60" s="11"/>
      <c r="AF60" s="115">
        <f t="shared" si="10"/>
        <v>0</v>
      </c>
      <c r="AG60" s="115">
        <f t="shared" si="11"/>
        <v>0</v>
      </c>
      <c r="AH60" s="115">
        <f t="shared" si="12"/>
        <v>0</v>
      </c>
      <c r="AJ60" s="11">
        <f t="shared" si="13"/>
        <v>0</v>
      </c>
    </row>
    <row r="61" spans="1:36">
      <c r="A61" s="129" t="s">
        <v>46</v>
      </c>
      <c r="B61" s="129" t="s">
        <v>49</v>
      </c>
      <c r="C61" s="96"/>
      <c r="D61" s="120" t="s">
        <v>121</v>
      </c>
      <c r="E61" s="98"/>
      <c r="F61" s="99">
        <f>VLOOKUP(D61,'Dec 2012 Revenue'!D:T,17,FALSE)</f>
        <v>0</v>
      </c>
      <c r="G61" s="100"/>
      <c r="H61" s="100"/>
      <c r="I61" s="101"/>
      <c r="J61" s="102">
        <f t="shared" si="14"/>
        <v>0</v>
      </c>
      <c r="K61" s="103"/>
      <c r="L61" s="104"/>
      <c r="M61" s="105"/>
      <c r="N61" s="103">
        <v>0</v>
      </c>
      <c r="O61" s="106"/>
      <c r="P61" s="103">
        <v>0</v>
      </c>
      <c r="Q61" s="107">
        <f t="shared" si="1"/>
        <v>0</v>
      </c>
      <c r="R61" s="108">
        <v>0</v>
      </c>
      <c r="S61" s="119"/>
      <c r="T61" s="110">
        <f t="shared" si="2"/>
        <v>0</v>
      </c>
      <c r="U61" s="103"/>
      <c r="V61" s="112">
        <f t="shared" si="3"/>
        <v>0</v>
      </c>
      <c r="W61" s="112">
        <f t="shared" si="4"/>
        <v>0</v>
      </c>
      <c r="X61" s="113">
        <f t="shared" si="5"/>
        <v>0</v>
      </c>
      <c r="Y61" s="113">
        <v>0</v>
      </c>
      <c r="Z61" s="114">
        <v>0</v>
      </c>
      <c r="AA61" s="11">
        <f t="shared" si="6"/>
        <v>0</v>
      </c>
      <c r="AB61" s="115">
        <f t="shared" si="7"/>
        <v>0</v>
      </c>
      <c r="AC61" s="115">
        <f t="shared" si="8"/>
        <v>0</v>
      </c>
      <c r="AD61" s="115">
        <f t="shared" si="9"/>
        <v>0</v>
      </c>
      <c r="AE61" s="11"/>
      <c r="AF61" s="115">
        <f t="shared" si="10"/>
        <v>0</v>
      </c>
      <c r="AG61" s="115">
        <f t="shared" si="11"/>
        <v>0</v>
      </c>
      <c r="AH61" s="115">
        <f t="shared" si="12"/>
        <v>0</v>
      </c>
      <c r="AJ61" s="11">
        <f t="shared" si="13"/>
        <v>0</v>
      </c>
    </row>
    <row r="62" spans="1:36">
      <c r="A62" s="129"/>
      <c r="B62" s="129" t="s">
        <v>49</v>
      </c>
      <c r="C62" s="96"/>
      <c r="D62" s="120" t="s">
        <v>122</v>
      </c>
      <c r="F62" s="99">
        <f>VLOOKUP(D62,'Dec 2012 Revenue'!D:T,17,FALSE)</f>
        <v>0</v>
      </c>
      <c r="G62" s="100"/>
      <c r="H62" s="100"/>
      <c r="I62" s="101"/>
      <c r="J62" s="102">
        <f>SUM(F62:I62)</f>
        <v>0</v>
      </c>
      <c r="K62" s="103"/>
      <c r="L62" s="104"/>
      <c r="M62" s="105"/>
      <c r="N62" s="103">
        <v>0</v>
      </c>
      <c r="O62" s="106"/>
      <c r="P62" s="103">
        <v>0</v>
      </c>
      <c r="Q62" s="107">
        <f t="shared" si="1"/>
        <v>0</v>
      </c>
      <c r="R62" s="108">
        <v>0</v>
      </c>
      <c r="S62" s="119"/>
      <c r="T62" s="110">
        <f t="shared" si="2"/>
        <v>0</v>
      </c>
      <c r="U62" s="103"/>
      <c r="V62" s="112">
        <f t="shared" si="3"/>
        <v>0</v>
      </c>
      <c r="W62" s="112">
        <f t="shared" si="4"/>
        <v>0</v>
      </c>
      <c r="X62" s="113">
        <f t="shared" si="5"/>
        <v>0</v>
      </c>
      <c r="Y62" s="113">
        <v>0</v>
      </c>
      <c r="Z62" s="114">
        <v>0</v>
      </c>
      <c r="AA62" s="11">
        <f t="shared" si="6"/>
        <v>0</v>
      </c>
      <c r="AB62" s="115">
        <f t="shared" si="7"/>
        <v>0</v>
      </c>
      <c r="AC62" s="115">
        <f t="shared" si="8"/>
        <v>0</v>
      </c>
      <c r="AD62" s="115">
        <f t="shared" si="9"/>
        <v>0</v>
      </c>
      <c r="AE62" s="11"/>
      <c r="AF62" s="115">
        <f t="shared" si="10"/>
        <v>0</v>
      </c>
      <c r="AG62" s="115">
        <f t="shared" si="11"/>
        <v>0</v>
      </c>
      <c r="AH62" s="115">
        <f t="shared" si="12"/>
        <v>0</v>
      </c>
      <c r="AJ62" s="11">
        <f t="shared" si="13"/>
        <v>0</v>
      </c>
    </row>
    <row r="63" spans="1:36">
      <c r="A63" s="129"/>
      <c r="B63" s="129" t="s">
        <v>49</v>
      </c>
      <c r="C63" s="96" t="s">
        <v>413</v>
      </c>
      <c r="D63" s="120" t="s">
        <v>414</v>
      </c>
      <c r="E63" s="98"/>
      <c r="F63" s="99">
        <f>VLOOKUP(D63,'Dec 2012 Revenue'!D:T,17,FALSE)</f>
        <v>0</v>
      </c>
      <c r="G63" s="100"/>
      <c r="H63" s="100"/>
      <c r="I63" s="101"/>
      <c r="J63" s="102">
        <f t="shared" ref="J63:J126" si="15">SUM(E63:I63)</f>
        <v>0</v>
      </c>
      <c r="K63" s="103"/>
      <c r="L63" s="104"/>
      <c r="M63" s="105"/>
      <c r="N63" s="103">
        <v>0</v>
      </c>
      <c r="O63" s="106"/>
      <c r="P63" s="103">
        <v>0</v>
      </c>
      <c r="Q63" s="107">
        <f t="shared" si="1"/>
        <v>0</v>
      </c>
      <c r="R63" s="108">
        <v>0</v>
      </c>
      <c r="S63" s="119"/>
      <c r="T63" s="110">
        <f t="shared" si="2"/>
        <v>0</v>
      </c>
      <c r="U63" s="103"/>
      <c r="V63" s="112">
        <f t="shared" si="3"/>
        <v>0</v>
      </c>
      <c r="W63" s="112">
        <f t="shared" si="4"/>
        <v>0</v>
      </c>
      <c r="X63" s="113">
        <f t="shared" si="5"/>
        <v>0</v>
      </c>
      <c r="Y63" s="113">
        <v>0</v>
      </c>
      <c r="Z63" s="114">
        <v>0</v>
      </c>
      <c r="AA63" s="11">
        <f t="shared" si="6"/>
        <v>0</v>
      </c>
      <c r="AB63" s="115">
        <f t="shared" si="7"/>
        <v>0</v>
      </c>
      <c r="AC63" s="115">
        <f t="shared" si="8"/>
        <v>0</v>
      </c>
      <c r="AD63" s="115">
        <f t="shared" si="9"/>
        <v>0</v>
      </c>
      <c r="AE63" s="11"/>
      <c r="AF63" s="115">
        <f t="shared" si="10"/>
        <v>0</v>
      </c>
      <c r="AG63" s="115">
        <f t="shared" si="11"/>
        <v>0</v>
      </c>
      <c r="AH63" s="115">
        <f t="shared" si="12"/>
        <v>0</v>
      </c>
      <c r="AJ63" s="11">
        <f t="shared" si="13"/>
        <v>0</v>
      </c>
    </row>
    <row r="64" spans="1:36" s="124" customFormat="1">
      <c r="A64" s="123" t="s">
        <v>60</v>
      </c>
      <c r="B64" s="123" t="s">
        <v>49</v>
      </c>
      <c r="C64" s="122" t="s">
        <v>124</v>
      </c>
      <c r="D64" s="118" t="s">
        <v>125</v>
      </c>
      <c r="E64" s="98"/>
      <c r="F64" s="99">
        <f>VLOOKUP(D64,'Dec 2012 Revenue'!D:T,17,FALSE)</f>
        <v>0</v>
      </c>
      <c r="G64" s="100"/>
      <c r="H64" s="100"/>
      <c r="I64" s="101"/>
      <c r="J64" s="102">
        <f t="shared" si="15"/>
        <v>0</v>
      </c>
      <c r="K64" s="103"/>
      <c r="L64" s="104"/>
      <c r="M64" s="105">
        <v>100000</v>
      </c>
      <c r="N64" s="103">
        <v>0</v>
      </c>
      <c r="O64" s="106"/>
      <c r="P64" s="103">
        <v>0</v>
      </c>
      <c r="Q64" s="107">
        <f t="shared" si="1"/>
        <v>100000</v>
      </c>
      <c r="R64" s="108">
        <v>0</v>
      </c>
      <c r="S64" s="119"/>
      <c r="T64" s="110">
        <f t="shared" si="2"/>
        <v>-100000</v>
      </c>
      <c r="U64" s="103"/>
      <c r="V64" s="112">
        <f t="shared" si="3"/>
        <v>100000</v>
      </c>
      <c r="W64" s="112">
        <f t="shared" si="4"/>
        <v>0</v>
      </c>
      <c r="X64" s="113">
        <f t="shared" si="5"/>
        <v>0</v>
      </c>
      <c r="Y64" s="113">
        <v>0</v>
      </c>
      <c r="Z64" s="114">
        <v>0</v>
      </c>
      <c r="AA64" s="11">
        <f t="shared" si="6"/>
        <v>0</v>
      </c>
      <c r="AB64" s="115">
        <f t="shared" si="7"/>
        <v>0</v>
      </c>
      <c r="AC64" s="115">
        <f t="shared" si="8"/>
        <v>0</v>
      </c>
      <c r="AD64" s="115">
        <f t="shared" si="9"/>
        <v>0</v>
      </c>
      <c r="AE64" s="11"/>
      <c r="AF64" s="115">
        <f t="shared" si="10"/>
        <v>100000</v>
      </c>
      <c r="AG64" s="115">
        <f t="shared" si="11"/>
        <v>0</v>
      </c>
      <c r="AH64" s="115">
        <f t="shared" si="12"/>
        <v>0</v>
      </c>
      <c r="AJ64" s="11">
        <f t="shared" si="13"/>
        <v>100000</v>
      </c>
    </row>
    <row r="65" spans="1:36" s="124" customFormat="1">
      <c r="A65" s="123" t="s">
        <v>60</v>
      </c>
      <c r="B65" s="123" t="s">
        <v>49</v>
      </c>
      <c r="C65" s="122" t="s">
        <v>124</v>
      </c>
      <c r="D65" s="118" t="s">
        <v>126</v>
      </c>
      <c r="E65" s="98"/>
      <c r="F65" s="99">
        <f>VLOOKUP(D65,'Dec 2012 Revenue'!D:T,17,FALSE)</f>
        <v>0</v>
      </c>
      <c r="G65" s="100"/>
      <c r="H65" s="100"/>
      <c r="I65" s="101"/>
      <c r="J65" s="102">
        <f t="shared" si="15"/>
        <v>0</v>
      </c>
      <c r="K65" s="103"/>
      <c r="L65" s="104"/>
      <c r="M65" s="105"/>
      <c r="N65" s="103">
        <v>0</v>
      </c>
      <c r="O65" s="106"/>
      <c r="P65" s="103">
        <v>0</v>
      </c>
      <c r="Q65" s="107">
        <f t="shared" si="1"/>
        <v>0</v>
      </c>
      <c r="R65" s="108">
        <v>0</v>
      </c>
      <c r="S65" s="119"/>
      <c r="T65" s="110">
        <f t="shared" si="2"/>
        <v>0</v>
      </c>
      <c r="U65" s="103"/>
      <c r="V65" s="112">
        <f t="shared" si="3"/>
        <v>0</v>
      </c>
      <c r="W65" s="112">
        <f t="shared" si="4"/>
        <v>0</v>
      </c>
      <c r="X65" s="113">
        <f t="shared" si="5"/>
        <v>0</v>
      </c>
      <c r="Y65" s="113">
        <v>0</v>
      </c>
      <c r="Z65" s="114">
        <v>0</v>
      </c>
      <c r="AA65" s="11">
        <f t="shared" si="6"/>
        <v>0</v>
      </c>
      <c r="AB65" s="115">
        <f t="shared" si="7"/>
        <v>0</v>
      </c>
      <c r="AC65" s="115">
        <f t="shared" si="8"/>
        <v>0</v>
      </c>
      <c r="AD65" s="115">
        <f t="shared" si="9"/>
        <v>0</v>
      </c>
      <c r="AE65" s="11"/>
      <c r="AF65" s="115">
        <f t="shared" si="10"/>
        <v>0</v>
      </c>
      <c r="AG65" s="115">
        <f t="shared" si="11"/>
        <v>0</v>
      </c>
      <c r="AH65" s="115">
        <f t="shared" si="12"/>
        <v>0</v>
      </c>
      <c r="AJ65" s="11">
        <f t="shared" si="13"/>
        <v>0</v>
      </c>
    </row>
    <row r="66" spans="1:36" s="124" customFormat="1" hidden="1">
      <c r="A66" s="123" t="s">
        <v>60</v>
      </c>
      <c r="B66" s="123" t="s">
        <v>49</v>
      </c>
      <c r="C66" s="122" t="s">
        <v>124</v>
      </c>
      <c r="D66" s="118" t="s">
        <v>127</v>
      </c>
      <c r="E66" s="98"/>
      <c r="F66" s="99">
        <f>VLOOKUP(D66,'Dec 2012 Revenue'!D:T,17,FALSE)</f>
        <v>0</v>
      </c>
      <c r="G66" s="100"/>
      <c r="H66" s="100"/>
      <c r="I66" s="101"/>
      <c r="J66" s="102">
        <f t="shared" si="15"/>
        <v>0</v>
      </c>
      <c r="K66" s="103"/>
      <c r="L66" s="104"/>
      <c r="M66" s="105"/>
      <c r="N66" s="103">
        <v>0</v>
      </c>
      <c r="O66" s="106"/>
      <c r="P66" s="103">
        <v>0</v>
      </c>
      <c r="Q66" s="107">
        <f t="shared" si="1"/>
        <v>0</v>
      </c>
      <c r="R66" s="108">
        <v>0</v>
      </c>
      <c r="S66" s="119"/>
      <c r="T66" s="110">
        <f t="shared" si="2"/>
        <v>0</v>
      </c>
      <c r="U66" s="103"/>
      <c r="V66" s="112">
        <f t="shared" si="3"/>
        <v>0</v>
      </c>
      <c r="W66" s="112">
        <f t="shared" si="4"/>
        <v>0</v>
      </c>
      <c r="X66" s="113">
        <f t="shared" si="5"/>
        <v>0</v>
      </c>
      <c r="Y66" s="113">
        <v>0</v>
      </c>
      <c r="Z66" s="114">
        <v>0</v>
      </c>
      <c r="AA66" s="11">
        <f t="shared" si="6"/>
        <v>0</v>
      </c>
      <c r="AB66" s="115">
        <f t="shared" si="7"/>
        <v>0</v>
      </c>
      <c r="AC66" s="115">
        <f t="shared" si="8"/>
        <v>0</v>
      </c>
      <c r="AD66" s="115">
        <f t="shared" si="9"/>
        <v>0</v>
      </c>
      <c r="AE66" s="11"/>
      <c r="AF66" s="115">
        <f t="shared" si="10"/>
        <v>0</v>
      </c>
      <c r="AG66" s="115">
        <f t="shared" si="11"/>
        <v>0</v>
      </c>
      <c r="AH66" s="115">
        <f t="shared" si="12"/>
        <v>0</v>
      </c>
      <c r="AJ66" s="11">
        <f t="shared" si="13"/>
        <v>0</v>
      </c>
    </row>
    <row r="67" spans="1:36" s="124" customFormat="1" hidden="1">
      <c r="A67" s="123" t="s">
        <v>60</v>
      </c>
      <c r="B67" s="123" t="s">
        <v>49</v>
      </c>
      <c r="C67" s="122" t="s">
        <v>124</v>
      </c>
      <c r="D67" s="118" t="s">
        <v>128</v>
      </c>
      <c r="E67" s="98"/>
      <c r="F67" s="99">
        <f>VLOOKUP(D67,'Dec 2012 Revenue'!D:T,17,FALSE)</f>
        <v>0</v>
      </c>
      <c r="G67" s="100"/>
      <c r="H67" s="100"/>
      <c r="I67" s="101"/>
      <c r="J67" s="102">
        <f t="shared" si="15"/>
        <v>0</v>
      </c>
      <c r="K67" s="103"/>
      <c r="L67" s="104"/>
      <c r="M67" s="105"/>
      <c r="N67" s="103">
        <v>0</v>
      </c>
      <c r="O67" s="106"/>
      <c r="P67" s="103">
        <v>0</v>
      </c>
      <c r="Q67" s="107">
        <f t="shared" si="1"/>
        <v>0</v>
      </c>
      <c r="R67" s="108">
        <v>0</v>
      </c>
      <c r="S67" s="119"/>
      <c r="T67" s="110">
        <f t="shared" si="2"/>
        <v>0</v>
      </c>
      <c r="U67" s="103"/>
      <c r="V67" s="112">
        <f t="shared" si="3"/>
        <v>0</v>
      </c>
      <c r="W67" s="112">
        <f t="shared" si="4"/>
        <v>0</v>
      </c>
      <c r="X67" s="113">
        <f t="shared" si="5"/>
        <v>0</v>
      </c>
      <c r="Y67" s="113">
        <v>0</v>
      </c>
      <c r="Z67" s="114">
        <v>0</v>
      </c>
      <c r="AA67" s="11">
        <f t="shared" si="6"/>
        <v>0</v>
      </c>
      <c r="AB67" s="115">
        <f t="shared" si="7"/>
        <v>0</v>
      </c>
      <c r="AC67" s="115">
        <f t="shared" si="8"/>
        <v>0</v>
      </c>
      <c r="AD67" s="115">
        <f t="shared" si="9"/>
        <v>0</v>
      </c>
      <c r="AE67" s="11"/>
      <c r="AF67" s="115">
        <f t="shared" si="10"/>
        <v>0</v>
      </c>
      <c r="AG67" s="115">
        <f t="shared" si="11"/>
        <v>0</v>
      </c>
      <c r="AH67" s="115">
        <f t="shared" si="12"/>
        <v>0</v>
      </c>
      <c r="AJ67" s="11">
        <f t="shared" si="13"/>
        <v>0</v>
      </c>
    </row>
    <row r="68" spans="1:36" s="124" customFormat="1" hidden="1">
      <c r="A68" s="123" t="s">
        <v>60</v>
      </c>
      <c r="B68" s="123" t="s">
        <v>49</v>
      </c>
      <c r="C68" s="122" t="s">
        <v>124</v>
      </c>
      <c r="D68" s="118" t="s">
        <v>129</v>
      </c>
      <c r="E68" s="98"/>
      <c r="F68" s="99">
        <f>VLOOKUP(D68,'Dec 2012 Revenue'!D:T,17,FALSE)</f>
        <v>0</v>
      </c>
      <c r="G68" s="100"/>
      <c r="H68" s="100"/>
      <c r="I68" s="101"/>
      <c r="J68" s="102">
        <f t="shared" si="15"/>
        <v>0</v>
      </c>
      <c r="K68" s="103"/>
      <c r="L68" s="104"/>
      <c r="M68" s="105"/>
      <c r="N68" s="103">
        <v>0</v>
      </c>
      <c r="O68" s="106"/>
      <c r="P68" s="103">
        <v>0</v>
      </c>
      <c r="Q68" s="107">
        <f t="shared" si="1"/>
        <v>0</v>
      </c>
      <c r="R68" s="108">
        <v>0</v>
      </c>
      <c r="S68" s="119"/>
      <c r="T68" s="110">
        <f t="shared" si="2"/>
        <v>0</v>
      </c>
      <c r="U68" s="103"/>
      <c r="V68" s="112">
        <f t="shared" si="3"/>
        <v>0</v>
      </c>
      <c r="W68" s="112">
        <f t="shared" si="4"/>
        <v>0</v>
      </c>
      <c r="X68" s="113">
        <f t="shared" si="5"/>
        <v>0</v>
      </c>
      <c r="Y68" s="113">
        <v>0</v>
      </c>
      <c r="Z68" s="114">
        <v>0</v>
      </c>
      <c r="AA68" s="11">
        <f t="shared" si="6"/>
        <v>0</v>
      </c>
      <c r="AB68" s="115">
        <f t="shared" si="7"/>
        <v>0</v>
      </c>
      <c r="AC68" s="115">
        <f t="shared" si="8"/>
        <v>0</v>
      </c>
      <c r="AD68" s="115">
        <f t="shared" si="9"/>
        <v>0</v>
      </c>
      <c r="AE68" s="11"/>
      <c r="AF68" s="115">
        <f t="shared" si="10"/>
        <v>0</v>
      </c>
      <c r="AG68" s="115">
        <f t="shared" si="11"/>
        <v>0</v>
      </c>
      <c r="AH68" s="115">
        <f t="shared" si="12"/>
        <v>0</v>
      </c>
      <c r="AJ68" s="11">
        <f t="shared" si="13"/>
        <v>0</v>
      </c>
    </row>
    <row r="69" spans="1:36" s="124" customFormat="1" hidden="1">
      <c r="A69" s="123" t="s">
        <v>60</v>
      </c>
      <c r="B69" s="123" t="s">
        <v>49</v>
      </c>
      <c r="C69" s="122" t="s">
        <v>124</v>
      </c>
      <c r="D69" s="118" t="s">
        <v>130</v>
      </c>
      <c r="E69" s="98"/>
      <c r="F69" s="99">
        <f>VLOOKUP(D69,'Dec 2012 Revenue'!D:T,17,FALSE)</f>
        <v>0</v>
      </c>
      <c r="G69" s="100"/>
      <c r="H69" s="100"/>
      <c r="I69" s="101"/>
      <c r="J69" s="102">
        <f t="shared" si="15"/>
        <v>0</v>
      </c>
      <c r="K69" s="103"/>
      <c r="L69" s="104"/>
      <c r="M69" s="105"/>
      <c r="N69" s="103">
        <v>0</v>
      </c>
      <c r="O69" s="106"/>
      <c r="P69" s="103">
        <v>0</v>
      </c>
      <c r="Q69" s="107">
        <f t="shared" si="1"/>
        <v>0</v>
      </c>
      <c r="R69" s="108">
        <v>0</v>
      </c>
      <c r="S69" s="119"/>
      <c r="T69" s="110">
        <f t="shared" si="2"/>
        <v>0</v>
      </c>
      <c r="U69" s="103"/>
      <c r="V69" s="112">
        <f t="shared" si="3"/>
        <v>0</v>
      </c>
      <c r="W69" s="112">
        <f t="shared" si="4"/>
        <v>0</v>
      </c>
      <c r="X69" s="113">
        <f t="shared" si="5"/>
        <v>0</v>
      </c>
      <c r="Y69" s="113">
        <v>0</v>
      </c>
      <c r="Z69" s="114">
        <v>0</v>
      </c>
      <c r="AA69" s="11">
        <f t="shared" si="6"/>
        <v>0</v>
      </c>
      <c r="AB69" s="115">
        <f t="shared" si="7"/>
        <v>0</v>
      </c>
      <c r="AC69" s="115">
        <f t="shared" si="8"/>
        <v>0</v>
      </c>
      <c r="AD69" s="115">
        <f t="shared" si="9"/>
        <v>0</v>
      </c>
      <c r="AE69" s="11"/>
      <c r="AF69" s="115">
        <f t="shared" si="10"/>
        <v>0</v>
      </c>
      <c r="AG69" s="115">
        <f t="shared" si="11"/>
        <v>0</v>
      </c>
      <c r="AH69" s="115">
        <f t="shared" si="12"/>
        <v>0</v>
      </c>
      <c r="AJ69" s="11">
        <f t="shared" si="13"/>
        <v>0</v>
      </c>
    </row>
    <row r="70" spans="1:36" s="124" customFormat="1">
      <c r="A70" s="123"/>
      <c r="B70" s="123" t="s">
        <v>46</v>
      </c>
      <c r="C70" s="140"/>
      <c r="D70" s="121" t="s">
        <v>131</v>
      </c>
      <c r="E70" s="98"/>
      <c r="F70" s="99">
        <f>VLOOKUP(D70,'Dec 2012 Revenue'!D:T,17,FALSE)</f>
        <v>0</v>
      </c>
      <c r="G70" s="100"/>
      <c r="H70" s="100"/>
      <c r="I70" s="101"/>
      <c r="J70" s="102">
        <f t="shared" si="15"/>
        <v>0</v>
      </c>
      <c r="K70" s="103"/>
      <c r="L70" s="104"/>
      <c r="M70" s="105"/>
      <c r="N70" s="103">
        <v>0</v>
      </c>
      <c r="O70" s="106"/>
      <c r="P70" s="103">
        <v>0</v>
      </c>
      <c r="Q70" s="107">
        <f t="shared" si="1"/>
        <v>0</v>
      </c>
      <c r="R70" s="108">
        <v>0</v>
      </c>
      <c r="S70" s="119"/>
      <c r="T70" s="110">
        <f t="shared" si="2"/>
        <v>0</v>
      </c>
      <c r="U70" s="103"/>
      <c r="V70" s="112">
        <f t="shared" si="3"/>
        <v>0</v>
      </c>
      <c r="W70" s="112">
        <f t="shared" si="4"/>
        <v>0</v>
      </c>
      <c r="X70" s="113">
        <f t="shared" si="5"/>
        <v>0</v>
      </c>
      <c r="Y70" s="113">
        <v>0</v>
      </c>
      <c r="Z70" s="114">
        <v>0</v>
      </c>
      <c r="AA70" s="11">
        <f t="shared" si="6"/>
        <v>0</v>
      </c>
      <c r="AB70" s="115">
        <f t="shared" si="7"/>
        <v>0</v>
      </c>
      <c r="AC70" s="115">
        <f t="shared" si="8"/>
        <v>0</v>
      </c>
      <c r="AD70" s="115">
        <f t="shared" si="9"/>
        <v>0</v>
      </c>
      <c r="AE70" s="11"/>
      <c r="AF70" s="115">
        <f t="shared" si="10"/>
        <v>0</v>
      </c>
      <c r="AG70" s="115">
        <f t="shared" si="11"/>
        <v>0</v>
      </c>
      <c r="AH70" s="115">
        <f t="shared" si="12"/>
        <v>0</v>
      </c>
      <c r="AJ70" s="11">
        <f t="shared" si="13"/>
        <v>0</v>
      </c>
    </row>
    <row r="71" spans="1:36">
      <c r="A71" s="116"/>
      <c r="B71" s="116" t="s">
        <v>49</v>
      </c>
      <c r="C71" s="122"/>
      <c r="D71" s="120" t="s">
        <v>132</v>
      </c>
      <c r="E71" s="98"/>
      <c r="F71" s="99">
        <f>VLOOKUP(D71,'Dec 2012 Revenue'!D:T,17,FALSE)</f>
        <v>0</v>
      </c>
      <c r="G71" s="100"/>
      <c r="H71" s="100"/>
      <c r="I71" s="101"/>
      <c r="J71" s="102">
        <f t="shared" si="15"/>
        <v>0</v>
      </c>
      <c r="K71" s="103"/>
      <c r="L71" s="104"/>
      <c r="M71" s="105">
        <v>8000</v>
      </c>
      <c r="N71" s="103">
        <v>0</v>
      </c>
      <c r="O71" s="106"/>
      <c r="P71" s="103">
        <v>0</v>
      </c>
      <c r="Q71" s="107">
        <f t="shared" si="1"/>
        <v>8000</v>
      </c>
      <c r="R71" s="108">
        <v>0</v>
      </c>
      <c r="S71" s="119"/>
      <c r="T71" s="110">
        <f t="shared" si="2"/>
        <v>-8000</v>
      </c>
      <c r="U71" s="103"/>
      <c r="V71" s="112">
        <f t="shared" si="3"/>
        <v>8000</v>
      </c>
      <c r="W71" s="112">
        <f t="shared" si="4"/>
        <v>0</v>
      </c>
      <c r="X71" s="113">
        <f t="shared" si="5"/>
        <v>0</v>
      </c>
      <c r="Y71" s="113">
        <v>0</v>
      </c>
      <c r="Z71" s="114">
        <v>0</v>
      </c>
      <c r="AA71" s="11">
        <f t="shared" si="6"/>
        <v>0</v>
      </c>
      <c r="AB71" s="115">
        <f t="shared" si="7"/>
        <v>0</v>
      </c>
      <c r="AC71" s="115">
        <f t="shared" si="8"/>
        <v>0</v>
      </c>
      <c r="AD71" s="115">
        <f t="shared" si="9"/>
        <v>0</v>
      </c>
      <c r="AE71" s="11"/>
      <c r="AF71" s="115">
        <f t="shared" si="10"/>
        <v>8000</v>
      </c>
      <c r="AG71" s="115">
        <f t="shared" si="11"/>
        <v>0</v>
      </c>
      <c r="AH71" s="115">
        <f t="shared" si="12"/>
        <v>0</v>
      </c>
      <c r="AJ71" s="11">
        <f t="shared" si="13"/>
        <v>8000</v>
      </c>
    </row>
    <row r="72" spans="1:36">
      <c r="A72" s="116"/>
      <c r="B72" s="116" t="s">
        <v>49</v>
      </c>
      <c r="C72" s="122"/>
      <c r="D72" s="120" t="s">
        <v>133</v>
      </c>
      <c r="E72" s="98"/>
      <c r="F72" s="99">
        <f>VLOOKUP(D72,'Dec 2012 Revenue'!D:T,17,FALSE)</f>
        <v>0</v>
      </c>
      <c r="G72" s="100"/>
      <c r="H72" s="100"/>
      <c r="I72" s="101"/>
      <c r="J72" s="102">
        <f t="shared" si="15"/>
        <v>0</v>
      </c>
      <c r="K72" s="103"/>
      <c r="L72" s="104"/>
      <c r="M72" s="105"/>
      <c r="N72" s="103">
        <v>0</v>
      </c>
      <c r="O72" s="106"/>
      <c r="P72" s="103">
        <v>0</v>
      </c>
      <c r="Q72" s="107">
        <f t="shared" si="1"/>
        <v>0</v>
      </c>
      <c r="R72" s="108">
        <v>289.95999999999998</v>
      </c>
      <c r="S72" s="119"/>
      <c r="T72" s="110">
        <f t="shared" si="2"/>
        <v>289.95999999999998</v>
      </c>
      <c r="U72" s="103"/>
      <c r="V72" s="112">
        <f t="shared" si="3"/>
        <v>0</v>
      </c>
      <c r="W72" s="112">
        <f t="shared" si="4"/>
        <v>0</v>
      </c>
      <c r="X72" s="113">
        <f t="shared" si="5"/>
        <v>0</v>
      </c>
      <c r="Y72" s="113">
        <v>0</v>
      </c>
      <c r="Z72" s="114">
        <v>0</v>
      </c>
      <c r="AA72" s="11">
        <f t="shared" si="6"/>
        <v>0</v>
      </c>
      <c r="AB72" s="115">
        <f t="shared" si="7"/>
        <v>0</v>
      </c>
      <c r="AC72" s="115">
        <f t="shared" si="8"/>
        <v>0</v>
      </c>
      <c r="AD72" s="115">
        <f t="shared" si="9"/>
        <v>0</v>
      </c>
      <c r="AE72" s="11"/>
      <c r="AF72" s="115">
        <f t="shared" si="10"/>
        <v>0</v>
      </c>
      <c r="AG72" s="115">
        <f t="shared" si="11"/>
        <v>0</v>
      </c>
      <c r="AH72" s="115">
        <f t="shared" si="12"/>
        <v>0</v>
      </c>
      <c r="AJ72" s="11">
        <f t="shared" si="13"/>
        <v>0</v>
      </c>
    </row>
    <row r="73" spans="1:36">
      <c r="A73" s="116" t="s">
        <v>46</v>
      </c>
      <c r="B73" s="116" t="s">
        <v>46</v>
      </c>
      <c r="C73" s="122" t="s">
        <v>136</v>
      </c>
      <c r="D73" s="120" t="s">
        <v>137</v>
      </c>
      <c r="E73" s="98">
        <v>1913.46</v>
      </c>
      <c r="F73" s="99">
        <f>VLOOKUP(D73,'Dec 2012 Revenue'!D:T,17,FALSE)</f>
        <v>0</v>
      </c>
      <c r="G73" s="100"/>
      <c r="H73" s="100"/>
      <c r="I73" s="101"/>
      <c r="J73" s="102">
        <f t="shared" si="15"/>
        <v>1913.46</v>
      </c>
      <c r="K73" s="103"/>
      <c r="L73" s="104"/>
      <c r="M73" s="105"/>
      <c r="N73" s="103">
        <v>0</v>
      </c>
      <c r="O73" s="106"/>
      <c r="P73" s="103">
        <v>0</v>
      </c>
      <c r="Q73" s="107">
        <f t="shared" si="1"/>
        <v>0</v>
      </c>
      <c r="R73" s="108">
        <v>0</v>
      </c>
      <c r="S73" s="119"/>
      <c r="T73" s="110">
        <f t="shared" si="2"/>
        <v>0</v>
      </c>
      <c r="U73" s="103"/>
      <c r="V73" s="112">
        <f t="shared" si="3"/>
        <v>0</v>
      </c>
      <c r="W73" s="112">
        <f t="shared" si="4"/>
        <v>0</v>
      </c>
      <c r="X73" s="113">
        <f t="shared" si="5"/>
        <v>0</v>
      </c>
      <c r="Y73" s="113">
        <v>0</v>
      </c>
      <c r="Z73" s="114">
        <v>0</v>
      </c>
      <c r="AA73" s="11">
        <f t="shared" si="6"/>
        <v>0</v>
      </c>
      <c r="AB73" s="115">
        <f t="shared" si="7"/>
        <v>0</v>
      </c>
      <c r="AC73" s="115">
        <f t="shared" si="8"/>
        <v>1913.46</v>
      </c>
      <c r="AD73" s="115">
        <f t="shared" si="9"/>
        <v>0</v>
      </c>
      <c r="AE73" s="11"/>
      <c r="AF73" s="115">
        <f t="shared" si="10"/>
        <v>0</v>
      </c>
      <c r="AG73" s="115">
        <f t="shared" si="11"/>
        <v>0</v>
      </c>
      <c r="AH73" s="115">
        <f t="shared" si="12"/>
        <v>0</v>
      </c>
      <c r="AJ73" s="11">
        <f t="shared" si="13"/>
        <v>1913.46</v>
      </c>
    </row>
    <row r="74" spans="1:36">
      <c r="A74" s="116"/>
      <c r="B74" s="116" t="s">
        <v>46</v>
      </c>
      <c r="C74" s="122"/>
      <c r="D74" s="120" t="s">
        <v>138</v>
      </c>
      <c r="E74" s="98"/>
      <c r="F74" s="99">
        <f>VLOOKUP(D74,'Dec 2012 Revenue'!D:T,17,FALSE)</f>
        <v>0</v>
      </c>
      <c r="G74" s="100"/>
      <c r="H74" s="100"/>
      <c r="I74" s="101"/>
      <c r="J74" s="102">
        <f t="shared" si="15"/>
        <v>0</v>
      </c>
      <c r="K74" s="103"/>
      <c r="L74" s="104"/>
      <c r="M74" s="105"/>
      <c r="N74" s="103">
        <v>0</v>
      </c>
      <c r="O74" s="106"/>
      <c r="P74" s="103">
        <v>0</v>
      </c>
      <c r="Q74" s="107">
        <f t="shared" si="1"/>
        <v>0</v>
      </c>
      <c r="R74" s="108">
        <v>0</v>
      </c>
      <c r="S74" s="119"/>
      <c r="T74" s="110">
        <f t="shared" si="2"/>
        <v>0</v>
      </c>
      <c r="U74" s="103"/>
      <c r="V74" s="112">
        <f t="shared" si="3"/>
        <v>0</v>
      </c>
      <c r="W74" s="112">
        <f t="shared" si="4"/>
        <v>0</v>
      </c>
      <c r="X74" s="113">
        <f t="shared" si="5"/>
        <v>0</v>
      </c>
      <c r="Y74" s="113">
        <v>0</v>
      </c>
      <c r="Z74" s="114">
        <v>0</v>
      </c>
      <c r="AA74" s="11">
        <f t="shared" si="6"/>
        <v>0</v>
      </c>
      <c r="AB74" s="115">
        <f t="shared" si="7"/>
        <v>0</v>
      </c>
      <c r="AC74" s="115">
        <f t="shared" si="8"/>
        <v>0</v>
      </c>
      <c r="AD74" s="115">
        <f t="shared" si="9"/>
        <v>0</v>
      </c>
      <c r="AE74" s="11"/>
      <c r="AF74" s="115">
        <f t="shared" si="10"/>
        <v>0</v>
      </c>
      <c r="AG74" s="115">
        <f t="shared" si="11"/>
        <v>0</v>
      </c>
      <c r="AH74" s="115">
        <f t="shared" si="12"/>
        <v>0</v>
      </c>
      <c r="AJ74" s="11">
        <f t="shared" si="13"/>
        <v>0</v>
      </c>
    </row>
    <row r="75" spans="1:36">
      <c r="A75" s="116"/>
      <c r="B75" s="116" t="s">
        <v>49</v>
      </c>
      <c r="C75" s="122"/>
      <c r="D75" s="120" t="s">
        <v>139</v>
      </c>
      <c r="E75" s="98"/>
      <c r="F75" s="99">
        <f>VLOOKUP(D75,'Dec 2012 Revenue'!D:T,17,FALSE)</f>
        <v>38643.049999999988</v>
      </c>
      <c r="G75" s="100"/>
      <c r="H75" s="100"/>
      <c r="I75" s="101"/>
      <c r="J75" s="102">
        <f t="shared" si="15"/>
        <v>38643.049999999988</v>
      </c>
      <c r="K75" s="103"/>
      <c r="L75" s="104"/>
      <c r="M75" s="105">
        <v>110000</v>
      </c>
      <c r="N75" s="103">
        <v>0</v>
      </c>
      <c r="O75" s="106"/>
      <c r="P75" s="103">
        <v>0</v>
      </c>
      <c r="Q75" s="107">
        <f t="shared" si="1"/>
        <v>110000</v>
      </c>
      <c r="R75" s="108">
        <f>93445.22+19937.4+14194.61</f>
        <v>127577.23</v>
      </c>
      <c r="S75" s="119"/>
      <c r="T75" s="110">
        <f t="shared" si="2"/>
        <v>17577.229999999996</v>
      </c>
      <c r="U75" s="103"/>
      <c r="V75" s="112">
        <f t="shared" si="3"/>
        <v>110000</v>
      </c>
      <c r="W75" s="112">
        <f t="shared" si="4"/>
        <v>0</v>
      </c>
      <c r="X75" s="113">
        <f t="shared" si="5"/>
        <v>0</v>
      </c>
      <c r="Y75" s="113">
        <v>0</v>
      </c>
      <c r="Z75" s="114">
        <v>0</v>
      </c>
      <c r="AA75" s="11">
        <f t="shared" si="6"/>
        <v>0</v>
      </c>
      <c r="AB75" s="115">
        <f t="shared" si="7"/>
        <v>38643.049999999988</v>
      </c>
      <c r="AC75" s="115">
        <f t="shared" si="8"/>
        <v>0</v>
      </c>
      <c r="AD75" s="115">
        <f t="shared" si="9"/>
        <v>0</v>
      </c>
      <c r="AE75" s="11"/>
      <c r="AF75" s="115">
        <f t="shared" si="10"/>
        <v>110000</v>
      </c>
      <c r="AG75" s="115">
        <f t="shared" si="11"/>
        <v>0</v>
      </c>
      <c r="AH75" s="115">
        <f t="shared" si="12"/>
        <v>0</v>
      </c>
      <c r="AJ75" s="11">
        <f t="shared" si="13"/>
        <v>148643.04999999999</v>
      </c>
    </row>
    <row r="76" spans="1:36" s="124" customFormat="1">
      <c r="A76" s="123"/>
      <c r="B76" s="123" t="s">
        <v>46</v>
      </c>
      <c r="C76" s="122" t="s">
        <v>140</v>
      </c>
      <c r="D76" s="97" t="s">
        <v>141</v>
      </c>
      <c r="E76" s="98">
        <v>19074.509999999998</v>
      </c>
      <c r="F76" s="99">
        <f>VLOOKUP(D76,'Dec 2012 Revenue'!D:T,17,FALSE)</f>
        <v>16913.849999999999</v>
      </c>
      <c r="G76" s="100"/>
      <c r="H76" s="100"/>
      <c r="I76" s="101"/>
      <c r="J76" s="102">
        <f t="shared" si="15"/>
        <v>35988.36</v>
      </c>
      <c r="K76" s="103"/>
      <c r="L76" s="104"/>
      <c r="M76" s="105">
        <v>20000</v>
      </c>
      <c r="N76" s="103">
        <v>0</v>
      </c>
      <c r="O76" s="106"/>
      <c r="P76" s="103">
        <v>0</v>
      </c>
      <c r="Q76" s="107">
        <f t="shared" si="1"/>
        <v>20000</v>
      </c>
      <c r="R76" s="108">
        <v>20241.13</v>
      </c>
      <c r="S76" s="119"/>
      <c r="T76" s="110">
        <f t="shared" si="2"/>
        <v>241.13000000000102</v>
      </c>
      <c r="U76" s="103"/>
      <c r="V76" s="112">
        <f t="shared" si="3"/>
        <v>0</v>
      </c>
      <c r="W76" s="112">
        <f t="shared" si="4"/>
        <v>20000</v>
      </c>
      <c r="X76" s="113">
        <f t="shared" si="5"/>
        <v>0</v>
      </c>
      <c r="Y76" s="113">
        <v>0</v>
      </c>
      <c r="Z76" s="114">
        <v>0</v>
      </c>
      <c r="AA76" s="11">
        <f t="shared" si="6"/>
        <v>0</v>
      </c>
      <c r="AB76" s="115">
        <f t="shared" si="7"/>
        <v>0</v>
      </c>
      <c r="AC76" s="115">
        <f t="shared" si="8"/>
        <v>35988.36</v>
      </c>
      <c r="AD76" s="115">
        <f t="shared" si="9"/>
        <v>0</v>
      </c>
      <c r="AE76" s="11"/>
      <c r="AF76" s="115">
        <f t="shared" si="10"/>
        <v>0</v>
      </c>
      <c r="AG76" s="115">
        <f t="shared" si="11"/>
        <v>20000</v>
      </c>
      <c r="AH76" s="115">
        <f t="shared" si="12"/>
        <v>0</v>
      </c>
      <c r="AJ76" s="11">
        <f t="shared" si="13"/>
        <v>55988.36</v>
      </c>
    </row>
    <row r="77" spans="1:36" s="124" customFormat="1">
      <c r="A77" s="123"/>
      <c r="B77" s="123" t="s">
        <v>46</v>
      </c>
      <c r="C77" s="122" t="s">
        <v>140</v>
      </c>
      <c r="D77" s="97" t="s">
        <v>142</v>
      </c>
      <c r="E77" s="98"/>
      <c r="F77" s="99">
        <f>VLOOKUP(D77,'Dec 2012 Revenue'!D:T,17,FALSE)</f>
        <v>53.909999999999854</v>
      </c>
      <c r="G77" s="100"/>
      <c r="H77" s="100"/>
      <c r="I77" s="101"/>
      <c r="J77" s="102">
        <f t="shared" si="15"/>
        <v>53.909999999999854</v>
      </c>
      <c r="K77" s="103"/>
      <c r="L77" s="104"/>
      <c r="M77" s="105"/>
      <c r="N77" s="103">
        <v>0</v>
      </c>
      <c r="O77" s="106"/>
      <c r="P77" s="103">
        <v>0</v>
      </c>
      <c r="Q77" s="107">
        <f t="shared" si="1"/>
        <v>0</v>
      </c>
      <c r="R77" s="108">
        <v>0</v>
      </c>
      <c r="S77" s="119"/>
      <c r="T77" s="110">
        <f t="shared" si="2"/>
        <v>0</v>
      </c>
      <c r="U77" s="103"/>
      <c r="V77" s="112">
        <f t="shared" si="3"/>
        <v>0</v>
      </c>
      <c r="W77" s="112">
        <f t="shared" si="4"/>
        <v>0</v>
      </c>
      <c r="X77" s="113">
        <f t="shared" si="5"/>
        <v>0</v>
      </c>
      <c r="Y77" s="113">
        <v>0</v>
      </c>
      <c r="Z77" s="114">
        <v>0</v>
      </c>
      <c r="AA77" s="11">
        <f t="shared" si="6"/>
        <v>0</v>
      </c>
      <c r="AB77" s="115">
        <f t="shared" si="7"/>
        <v>0</v>
      </c>
      <c r="AC77" s="115">
        <f t="shared" si="8"/>
        <v>53.909999999999854</v>
      </c>
      <c r="AD77" s="115">
        <f t="shared" si="9"/>
        <v>0</v>
      </c>
      <c r="AE77" s="11"/>
      <c r="AF77" s="115">
        <f t="shared" si="10"/>
        <v>0</v>
      </c>
      <c r="AG77" s="115">
        <f t="shared" si="11"/>
        <v>0</v>
      </c>
      <c r="AH77" s="115">
        <f t="shared" si="12"/>
        <v>0</v>
      </c>
      <c r="AJ77" s="11">
        <f t="shared" si="13"/>
        <v>53.909999999999854</v>
      </c>
    </row>
    <row r="78" spans="1:36" s="124" customFormat="1">
      <c r="A78" s="123"/>
      <c r="B78" s="123" t="s">
        <v>46</v>
      </c>
      <c r="C78" s="122" t="s">
        <v>140</v>
      </c>
      <c r="D78" s="97" t="s">
        <v>143</v>
      </c>
      <c r="E78" s="98"/>
      <c r="F78" s="99">
        <f>VLOOKUP(D78,'Dec 2012 Revenue'!D:T,17,FALSE)</f>
        <v>0</v>
      </c>
      <c r="G78" s="100"/>
      <c r="H78" s="100"/>
      <c r="I78" s="101"/>
      <c r="J78" s="102">
        <f t="shared" si="15"/>
        <v>0</v>
      </c>
      <c r="K78" s="103"/>
      <c r="L78" s="104"/>
      <c r="M78" s="105"/>
      <c r="N78" s="103">
        <v>0</v>
      </c>
      <c r="O78" s="106"/>
      <c r="P78" s="103">
        <v>0</v>
      </c>
      <c r="Q78" s="107">
        <f t="shared" si="1"/>
        <v>0</v>
      </c>
      <c r="R78" s="108">
        <v>0</v>
      </c>
      <c r="S78" s="119"/>
      <c r="T78" s="110">
        <f t="shared" si="2"/>
        <v>0</v>
      </c>
      <c r="U78" s="103"/>
      <c r="V78" s="112">
        <f t="shared" si="3"/>
        <v>0</v>
      </c>
      <c r="W78" s="112">
        <f t="shared" si="4"/>
        <v>0</v>
      </c>
      <c r="X78" s="113">
        <f t="shared" si="5"/>
        <v>0</v>
      </c>
      <c r="Y78" s="113">
        <v>0</v>
      </c>
      <c r="Z78" s="114">
        <v>0</v>
      </c>
      <c r="AA78" s="11">
        <f t="shared" si="6"/>
        <v>0</v>
      </c>
      <c r="AB78" s="115">
        <f t="shared" si="7"/>
        <v>0</v>
      </c>
      <c r="AC78" s="115">
        <f t="shared" si="8"/>
        <v>0</v>
      </c>
      <c r="AD78" s="115">
        <f t="shared" si="9"/>
        <v>0</v>
      </c>
      <c r="AE78" s="11"/>
      <c r="AF78" s="115">
        <f t="shared" si="10"/>
        <v>0</v>
      </c>
      <c r="AG78" s="115">
        <f t="shared" si="11"/>
        <v>0</v>
      </c>
      <c r="AH78" s="115">
        <f t="shared" si="12"/>
        <v>0</v>
      </c>
      <c r="AJ78" s="11">
        <f t="shared" ref="AJ78:AJ143" si="16">SUM(AB78:AH78)</f>
        <v>0</v>
      </c>
    </row>
    <row r="79" spans="1:36">
      <c r="A79" s="116"/>
      <c r="B79" s="116" t="s">
        <v>49</v>
      </c>
      <c r="C79" s="122" t="s">
        <v>144</v>
      </c>
      <c r="D79" s="121" t="s">
        <v>145</v>
      </c>
      <c r="E79" s="98"/>
      <c r="F79" s="99">
        <f>VLOOKUP(D79,'Dec 2012 Revenue'!D:T,17,FALSE)</f>
        <v>0</v>
      </c>
      <c r="G79" s="100"/>
      <c r="H79" s="100"/>
      <c r="I79" s="101"/>
      <c r="J79" s="102">
        <f t="shared" si="15"/>
        <v>0</v>
      </c>
      <c r="K79" s="103"/>
      <c r="L79" s="104"/>
      <c r="M79" s="105"/>
      <c r="N79" s="103">
        <v>0</v>
      </c>
      <c r="O79" s="106"/>
      <c r="P79" s="103">
        <v>0</v>
      </c>
      <c r="Q79" s="107">
        <f t="shared" si="1"/>
        <v>0</v>
      </c>
      <c r="R79" s="108">
        <v>0</v>
      </c>
      <c r="S79" s="119"/>
      <c r="T79" s="110">
        <f t="shared" si="2"/>
        <v>0</v>
      </c>
      <c r="U79" s="103"/>
      <c r="V79" s="112">
        <f t="shared" si="3"/>
        <v>0</v>
      </c>
      <c r="W79" s="112">
        <f t="shared" si="4"/>
        <v>0</v>
      </c>
      <c r="X79" s="113">
        <f t="shared" si="5"/>
        <v>0</v>
      </c>
      <c r="Y79" s="113">
        <v>0</v>
      </c>
      <c r="Z79" s="114">
        <v>0</v>
      </c>
      <c r="AA79" s="11">
        <f t="shared" si="6"/>
        <v>0</v>
      </c>
      <c r="AB79" s="115">
        <f t="shared" si="7"/>
        <v>0</v>
      </c>
      <c r="AC79" s="115">
        <f t="shared" si="8"/>
        <v>0</v>
      </c>
      <c r="AD79" s="115">
        <f t="shared" si="9"/>
        <v>0</v>
      </c>
      <c r="AE79" s="11"/>
      <c r="AF79" s="115">
        <f t="shared" si="10"/>
        <v>0</v>
      </c>
      <c r="AG79" s="115">
        <f t="shared" si="11"/>
        <v>0</v>
      </c>
      <c r="AH79" s="115">
        <f t="shared" si="12"/>
        <v>0</v>
      </c>
      <c r="AJ79" s="11">
        <f t="shared" si="16"/>
        <v>0</v>
      </c>
    </row>
    <row r="80" spans="1:36">
      <c r="A80" s="116"/>
      <c r="B80" s="116" t="s">
        <v>49</v>
      </c>
      <c r="C80" s="122" t="s">
        <v>144</v>
      </c>
      <c r="D80" s="121" t="s">
        <v>146</v>
      </c>
      <c r="E80" s="98"/>
      <c r="F80" s="99">
        <f>VLOOKUP(D80,'Dec 2012 Revenue'!D:T,17,FALSE)</f>
        <v>0</v>
      </c>
      <c r="G80" s="100"/>
      <c r="H80" s="100"/>
      <c r="I80" s="101"/>
      <c r="J80" s="102">
        <f t="shared" si="15"/>
        <v>0</v>
      </c>
      <c r="K80" s="103"/>
      <c r="L80" s="104"/>
      <c r="M80" s="105"/>
      <c r="N80" s="103">
        <v>0</v>
      </c>
      <c r="O80" s="106"/>
      <c r="P80" s="103">
        <v>0</v>
      </c>
      <c r="Q80" s="107">
        <f t="shared" si="1"/>
        <v>0</v>
      </c>
      <c r="R80" s="108">
        <v>0</v>
      </c>
      <c r="S80" s="119"/>
      <c r="T80" s="110">
        <f t="shared" si="2"/>
        <v>0</v>
      </c>
      <c r="U80" s="103"/>
      <c r="V80" s="112">
        <f t="shared" ref="V80:V144" si="17">IF(B80="D",Q80,0)</f>
        <v>0</v>
      </c>
      <c r="W80" s="112">
        <f t="shared" ref="W80:W144" si="18">IF(B80="M",Q80,0)</f>
        <v>0</v>
      </c>
      <c r="X80" s="113">
        <f t="shared" ref="X80:X144" si="19">IF(B80="V",Q80,0)</f>
        <v>0</v>
      </c>
      <c r="Y80" s="113">
        <v>0</v>
      </c>
      <c r="Z80" s="114">
        <v>0</v>
      </c>
      <c r="AA80" s="11">
        <f t="shared" ref="AA80:AA144" si="20">(L80+M80)-(V80+W80+X80+Y80+Z80)</f>
        <v>0</v>
      </c>
      <c r="AB80" s="115">
        <f t="shared" ref="AB80:AB143" si="21">IF(B80="D",J80,0)</f>
        <v>0</v>
      </c>
      <c r="AC80" s="115">
        <f t="shared" ref="AC80:AC143" si="22">IF(B80="M",J80,0)</f>
        <v>0</v>
      </c>
      <c r="AD80" s="115">
        <f t="shared" ref="AD80:AD143" si="23">IF(B80="V",J80,0)</f>
        <v>0</v>
      </c>
      <c r="AE80" s="11"/>
      <c r="AF80" s="115">
        <f t="shared" ref="AF80:AF145" si="24">IF(B80="D",Q80,0)</f>
        <v>0</v>
      </c>
      <c r="AG80" s="115">
        <f t="shared" ref="AG80:AG145" si="25">IF(B80="M",Q80,0)</f>
        <v>0</v>
      </c>
      <c r="AH80" s="115">
        <f t="shared" ref="AH80:AH145" si="26">IF(B80="V",Q80,0)</f>
        <v>0</v>
      </c>
      <c r="AJ80" s="11">
        <f t="shared" si="16"/>
        <v>0</v>
      </c>
    </row>
    <row r="81" spans="1:36">
      <c r="A81" s="116"/>
      <c r="B81" s="116" t="s">
        <v>49</v>
      </c>
      <c r="C81" s="122" t="s">
        <v>147</v>
      </c>
      <c r="D81" s="120" t="s">
        <v>148</v>
      </c>
      <c r="E81" s="98"/>
      <c r="F81" s="99">
        <f>VLOOKUP(D81,'Dec 2012 Revenue'!D:T,17,FALSE)</f>
        <v>0</v>
      </c>
      <c r="G81" s="100"/>
      <c r="H81" s="100"/>
      <c r="I81" s="101"/>
      <c r="J81" s="102">
        <f t="shared" si="15"/>
        <v>0</v>
      </c>
      <c r="K81" s="103"/>
      <c r="L81" s="104"/>
      <c r="M81" s="105"/>
      <c r="N81" s="103">
        <v>0</v>
      </c>
      <c r="O81" s="106"/>
      <c r="P81" s="103">
        <v>0</v>
      </c>
      <c r="Q81" s="107">
        <f t="shared" si="1"/>
        <v>0</v>
      </c>
      <c r="R81" s="108">
        <v>393.7</v>
      </c>
      <c r="S81" s="119"/>
      <c r="T81" s="110">
        <f t="shared" ref="T81:T144" si="27">IF(R81="","",R81-Q81)</f>
        <v>393.7</v>
      </c>
      <c r="U81" s="103"/>
      <c r="V81" s="112">
        <f t="shared" si="17"/>
        <v>0</v>
      </c>
      <c r="W81" s="112">
        <f t="shared" si="18"/>
        <v>0</v>
      </c>
      <c r="X81" s="113">
        <f t="shared" si="19"/>
        <v>0</v>
      </c>
      <c r="Y81" s="113">
        <v>0</v>
      </c>
      <c r="Z81" s="114">
        <v>0</v>
      </c>
      <c r="AA81" s="11">
        <f t="shared" si="20"/>
        <v>0</v>
      </c>
      <c r="AB81" s="115">
        <f t="shared" si="21"/>
        <v>0</v>
      </c>
      <c r="AC81" s="115">
        <f t="shared" si="22"/>
        <v>0</v>
      </c>
      <c r="AD81" s="115">
        <f t="shared" si="23"/>
        <v>0</v>
      </c>
      <c r="AE81" s="11"/>
      <c r="AF81" s="115">
        <f t="shared" si="24"/>
        <v>0</v>
      </c>
      <c r="AG81" s="115">
        <f t="shared" si="25"/>
        <v>0</v>
      </c>
      <c r="AH81" s="115">
        <f t="shared" si="26"/>
        <v>0</v>
      </c>
      <c r="AJ81" s="11">
        <f t="shared" si="16"/>
        <v>0</v>
      </c>
    </row>
    <row r="82" spans="1:36">
      <c r="A82" s="116"/>
      <c r="B82" s="116" t="s">
        <v>49</v>
      </c>
      <c r="C82" s="122" t="s">
        <v>149</v>
      </c>
      <c r="D82" s="120" t="s">
        <v>150</v>
      </c>
      <c r="E82" s="98"/>
      <c r="F82" s="99">
        <f>VLOOKUP(D82,'Dec 2012 Revenue'!D:T,17,FALSE)</f>
        <v>0</v>
      </c>
      <c r="G82" s="100"/>
      <c r="H82" s="100"/>
      <c r="I82" s="101"/>
      <c r="J82" s="102">
        <f t="shared" si="15"/>
        <v>0</v>
      </c>
      <c r="K82" s="103"/>
      <c r="L82" s="104"/>
      <c r="M82" s="105"/>
      <c r="N82" s="103">
        <v>0</v>
      </c>
      <c r="O82" s="106"/>
      <c r="P82" s="103">
        <v>0</v>
      </c>
      <c r="Q82" s="107">
        <f t="shared" si="1"/>
        <v>0</v>
      </c>
      <c r="R82" s="108">
        <v>0</v>
      </c>
      <c r="S82" s="119"/>
      <c r="T82" s="110">
        <f t="shared" si="27"/>
        <v>0</v>
      </c>
      <c r="U82" s="103"/>
      <c r="V82" s="112">
        <f t="shared" si="17"/>
        <v>0</v>
      </c>
      <c r="W82" s="112">
        <f t="shared" si="18"/>
        <v>0</v>
      </c>
      <c r="X82" s="113">
        <f t="shared" si="19"/>
        <v>0</v>
      </c>
      <c r="Y82" s="113">
        <v>0</v>
      </c>
      <c r="Z82" s="114">
        <v>0</v>
      </c>
      <c r="AA82" s="11">
        <f t="shared" si="20"/>
        <v>0</v>
      </c>
      <c r="AB82" s="115">
        <f t="shared" si="21"/>
        <v>0</v>
      </c>
      <c r="AC82" s="115">
        <f t="shared" si="22"/>
        <v>0</v>
      </c>
      <c r="AD82" s="115">
        <f t="shared" si="23"/>
        <v>0</v>
      </c>
      <c r="AE82" s="11"/>
      <c r="AF82" s="115">
        <f t="shared" si="24"/>
        <v>0</v>
      </c>
      <c r="AG82" s="115">
        <f t="shared" si="25"/>
        <v>0</v>
      </c>
      <c r="AH82" s="115">
        <f t="shared" si="26"/>
        <v>0</v>
      </c>
      <c r="AJ82" s="11">
        <f t="shared" si="16"/>
        <v>0</v>
      </c>
    </row>
    <row r="83" spans="1:36">
      <c r="A83" s="116"/>
      <c r="B83" s="116" t="s">
        <v>49</v>
      </c>
      <c r="C83" s="122" t="s">
        <v>149</v>
      </c>
      <c r="D83" s="120" t="s">
        <v>151</v>
      </c>
      <c r="E83" s="98"/>
      <c r="F83" s="99">
        <f>VLOOKUP(D83,'Dec 2012 Revenue'!D:T,17,FALSE)</f>
        <v>0</v>
      </c>
      <c r="G83" s="100"/>
      <c r="H83" s="100"/>
      <c r="I83" s="101"/>
      <c r="J83" s="102">
        <f t="shared" si="15"/>
        <v>0</v>
      </c>
      <c r="K83" s="103"/>
      <c r="L83" s="104"/>
      <c r="M83" s="105"/>
      <c r="N83" s="103">
        <v>0</v>
      </c>
      <c r="O83" s="106"/>
      <c r="P83" s="103">
        <v>0</v>
      </c>
      <c r="Q83" s="107">
        <f t="shared" si="1"/>
        <v>0</v>
      </c>
      <c r="R83" s="108">
        <v>0</v>
      </c>
      <c r="S83" s="119"/>
      <c r="T83" s="110">
        <f t="shared" si="27"/>
        <v>0</v>
      </c>
      <c r="U83" s="103"/>
      <c r="V83" s="112">
        <f t="shared" si="17"/>
        <v>0</v>
      </c>
      <c r="W83" s="112">
        <f t="shared" si="18"/>
        <v>0</v>
      </c>
      <c r="X83" s="113">
        <f t="shared" si="19"/>
        <v>0</v>
      </c>
      <c r="Y83" s="113">
        <v>0</v>
      </c>
      <c r="Z83" s="114">
        <v>0</v>
      </c>
      <c r="AA83" s="11">
        <f t="shared" si="20"/>
        <v>0</v>
      </c>
      <c r="AB83" s="115">
        <f t="shared" si="21"/>
        <v>0</v>
      </c>
      <c r="AC83" s="115">
        <f t="shared" si="22"/>
        <v>0</v>
      </c>
      <c r="AD83" s="115">
        <f t="shared" si="23"/>
        <v>0</v>
      </c>
      <c r="AE83" s="11"/>
      <c r="AF83" s="115">
        <f t="shared" si="24"/>
        <v>0</v>
      </c>
      <c r="AG83" s="115">
        <f t="shared" si="25"/>
        <v>0</v>
      </c>
      <c r="AH83" s="115">
        <f t="shared" si="26"/>
        <v>0</v>
      </c>
      <c r="AJ83" s="11">
        <f t="shared" si="16"/>
        <v>0</v>
      </c>
    </row>
    <row r="84" spans="1:36">
      <c r="A84" s="116"/>
      <c r="B84" s="116" t="s">
        <v>49</v>
      </c>
      <c r="C84" s="122" t="s">
        <v>149</v>
      </c>
      <c r="D84" s="120" t="s">
        <v>152</v>
      </c>
      <c r="E84" s="98"/>
      <c r="F84" s="99">
        <f>VLOOKUP(D84,'Dec 2012 Revenue'!D:T,17,FALSE)</f>
        <v>0</v>
      </c>
      <c r="G84" s="100"/>
      <c r="H84" s="100"/>
      <c r="I84" s="101"/>
      <c r="J84" s="102">
        <f t="shared" si="15"/>
        <v>0</v>
      </c>
      <c r="K84" s="103"/>
      <c r="L84" s="104"/>
      <c r="M84" s="105"/>
      <c r="N84" s="103">
        <v>0</v>
      </c>
      <c r="O84" s="106"/>
      <c r="P84" s="103">
        <v>0</v>
      </c>
      <c r="Q84" s="107">
        <f t="shared" si="1"/>
        <v>0</v>
      </c>
      <c r="R84" s="108">
        <v>0</v>
      </c>
      <c r="S84" s="119"/>
      <c r="T84" s="110">
        <f t="shared" si="27"/>
        <v>0</v>
      </c>
      <c r="U84" s="103"/>
      <c r="V84" s="112">
        <f t="shared" si="17"/>
        <v>0</v>
      </c>
      <c r="W84" s="112">
        <f t="shared" si="18"/>
        <v>0</v>
      </c>
      <c r="X84" s="113">
        <f t="shared" si="19"/>
        <v>0</v>
      </c>
      <c r="Y84" s="113">
        <v>0</v>
      </c>
      <c r="Z84" s="114">
        <v>0</v>
      </c>
      <c r="AA84" s="11">
        <f t="shared" si="20"/>
        <v>0</v>
      </c>
      <c r="AB84" s="115">
        <f t="shared" si="21"/>
        <v>0</v>
      </c>
      <c r="AC84" s="115">
        <f t="shared" si="22"/>
        <v>0</v>
      </c>
      <c r="AD84" s="115">
        <f t="shared" si="23"/>
        <v>0</v>
      </c>
      <c r="AE84" s="11"/>
      <c r="AF84" s="115">
        <f t="shared" si="24"/>
        <v>0</v>
      </c>
      <c r="AG84" s="115">
        <f t="shared" si="25"/>
        <v>0</v>
      </c>
      <c r="AH84" s="115">
        <f t="shared" si="26"/>
        <v>0</v>
      </c>
      <c r="AJ84" s="11">
        <f t="shared" si="16"/>
        <v>0</v>
      </c>
    </row>
    <row r="85" spans="1:36">
      <c r="A85" s="116" t="s">
        <v>154</v>
      </c>
      <c r="B85" s="116" t="s">
        <v>81</v>
      </c>
      <c r="C85" s="122"/>
      <c r="D85" s="120" t="s">
        <v>155</v>
      </c>
      <c r="E85" s="98"/>
      <c r="F85" s="99">
        <f>VLOOKUP(D85,'Dec 2012 Revenue'!D:T,17,FALSE)</f>
        <v>3956.0200000000004</v>
      </c>
      <c r="G85" s="100"/>
      <c r="H85" s="100"/>
      <c r="I85" s="101"/>
      <c r="J85" s="102">
        <f t="shared" si="15"/>
        <v>3956.0200000000004</v>
      </c>
      <c r="K85" s="103"/>
      <c r="L85" s="104"/>
      <c r="M85" s="105">
        <v>11000</v>
      </c>
      <c r="N85" s="103">
        <v>0</v>
      </c>
      <c r="O85" s="106"/>
      <c r="P85" s="103">
        <v>0</v>
      </c>
      <c r="Q85" s="107">
        <f t="shared" si="1"/>
        <v>11000</v>
      </c>
      <c r="R85" s="108">
        <v>20274.41</v>
      </c>
      <c r="S85" s="119"/>
      <c r="T85" s="110">
        <f t="shared" si="27"/>
        <v>9274.41</v>
      </c>
      <c r="U85" s="103"/>
      <c r="V85" s="112">
        <f t="shared" si="17"/>
        <v>0</v>
      </c>
      <c r="W85" s="112">
        <f t="shared" si="18"/>
        <v>0</v>
      </c>
      <c r="X85" s="113">
        <f t="shared" si="19"/>
        <v>11000</v>
      </c>
      <c r="Y85" s="113">
        <v>0</v>
      </c>
      <c r="Z85" s="114">
        <v>0</v>
      </c>
      <c r="AA85" s="11">
        <f t="shared" si="20"/>
        <v>0</v>
      </c>
      <c r="AB85" s="115">
        <f t="shared" si="21"/>
        <v>0</v>
      </c>
      <c r="AC85" s="115">
        <f t="shared" si="22"/>
        <v>0</v>
      </c>
      <c r="AD85" s="115">
        <f t="shared" si="23"/>
        <v>3956.0200000000004</v>
      </c>
      <c r="AE85" s="11"/>
      <c r="AF85" s="115">
        <f t="shared" si="24"/>
        <v>0</v>
      </c>
      <c r="AG85" s="115">
        <f t="shared" si="25"/>
        <v>0</v>
      </c>
      <c r="AH85" s="115">
        <f t="shared" si="26"/>
        <v>11000</v>
      </c>
      <c r="AJ85" s="11">
        <f t="shared" si="16"/>
        <v>14956.02</v>
      </c>
    </row>
    <row r="86" spans="1:36">
      <c r="A86" s="116" t="s">
        <v>154</v>
      </c>
      <c r="B86" s="116" t="s">
        <v>81</v>
      </c>
      <c r="C86" s="122"/>
      <c r="D86" s="120" t="s">
        <v>156</v>
      </c>
      <c r="E86" s="98"/>
      <c r="F86" s="99">
        <f>VLOOKUP(D86,'Dec 2012 Revenue'!D:T,17,FALSE)</f>
        <v>0</v>
      </c>
      <c r="G86" s="100"/>
      <c r="H86" s="100"/>
      <c r="I86" s="101"/>
      <c r="J86" s="102">
        <f t="shared" si="15"/>
        <v>0</v>
      </c>
      <c r="K86" s="103"/>
      <c r="L86" s="104"/>
      <c r="M86" s="105"/>
      <c r="N86" s="103"/>
      <c r="O86" s="106"/>
      <c r="P86" s="103"/>
      <c r="Q86" s="107">
        <f t="shared" si="1"/>
        <v>0</v>
      </c>
      <c r="R86" s="108">
        <v>0</v>
      </c>
      <c r="S86" s="119"/>
      <c r="T86" s="110">
        <f t="shared" si="27"/>
        <v>0</v>
      </c>
      <c r="U86" s="103"/>
      <c r="V86" s="112">
        <f t="shared" si="17"/>
        <v>0</v>
      </c>
      <c r="W86" s="112">
        <f t="shared" si="18"/>
        <v>0</v>
      </c>
      <c r="X86" s="113">
        <f t="shared" si="19"/>
        <v>0</v>
      </c>
      <c r="Y86" s="113">
        <v>0</v>
      </c>
      <c r="Z86" s="114">
        <v>0</v>
      </c>
      <c r="AA86" s="11">
        <f t="shared" si="20"/>
        <v>0</v>
      </c>
      <c r="AB86" s="115">
        <f t="shared" si="21"/>
        <v>0</v>
      </c>
      <c r="AC86" s="115">
        <f t="shared" si="22"/>
        <v>0</v>
      </c>
      <c r="AD86" s="115">
        <f t="shared" si="23"/>
        <v>0</v>
      </c>
      <c r="AE86" s="11"/>
      <c r="AF86" s="115">
        <f t="shared" si="24"/>
        <v>0</v>
      </c>
      <c r="AG86" s="115">
        <f t="shared" si="25"/>
        <v>0</v>
      </c>
      <c r="AH86" s="115">
        <f t="shared" si="26"/>
        <v>0</v>
      </c>
      <c r="AJ86" s="11">
        <f t="shared" si="16"/>
        <v>0</v>
      </c>
    </row>
    <row r="87" spans="1:36">
      <c r="A87" s="116" t="s">
        <v>46</v>
      </c>
      <c r="B87" s="116" t="s">
        <v>46</v>
      </c>
      <c r="C87" s="122" t="s">
        <v>157</v>
      </c>
      <c r="D87" s="120" t="s">
        <v>158</v>
      </c>
      <c r="E87" s="98"/>
      <c r="F87" s="99">
        <f>VLOOKUP(D87,'Dec 2012 Revenue'!D:T,17,FALSE)</f>
        <v>92.08</v>
      </c>
      <c r="G87" s="100"/>
      <c r="H87" s="100"/>
      <c r="I87" s="101"/>
      <c r="J87" s="102">
        <f t="shared" si="15"/>
        <v>92.08</v>
      </c>
      <c r="K87" s="103"/>
      <c r="L87" s="104"/>
      <c r="M87" s="105"/>
      <c r="N87" s="103">
        <v>0</v>
      </c>
      <c r="O87" s="106"/>
      <c r="P87" s="103">
        <v>0</v>
      </c>
      <c r="Q87" s="107">
        <f t="shared" si="1"/>
        <v>0</v>
      </c>
      <c r="R87" s="108">
        <v>0</v>
      </c>
      <c r="S87" s="119"/>
      <c r="T87" s="110">
        <f t="shared" si="27"/>
        <v>0</v>
      </c>
      <c r="U87" s="103"/>
      <c r="V87" s="112">
        <f t="shared" si="17"/>
        <v>0</v>
      </c>
      <c r="W87" s="112">
        <f t="shared" si="18"/>
        <v>0</v>
      </c>
      <c r="X87" s="113">
        <f t="shared" si="19"/>
        <v>0</v>
      </c>
      <c r="Y87" s="113">
        <v>0</v>
      </c>
      <c r="Z87" s="114">
        <v>0</v>
      </c>
      <c r="AA87" s="11">
        <f t="shared" si="20"/>
        <v>0</v>
      </c>
      <c r="AB87" s="115">
        <f t="shared" si="21"/>
        <v>0</v>
      </c>
      <c r="AC87" s="115">
        <f t="shared" si="22"/>
        <v>92.08</v>
      </c>
      <c r="AD87" s="115">
        <f t="shared" si="23"/>
        <v>0</v>
      </c>
      <c r="AE87" s="11"/>
      <c r="AF87" s="115">
        <f t="shared" si="24"/>
        <v>0</v>
      </c>
      <c r="AG87" s="115">
        <f t="shared" si="25"/>
        <v>0</v>
      </c>
      <c r="AH87" s="115">
        <f t="shared" si="26"/>
        <v>0</v>
      </c>
      <c r="AJ87" s="11">
        <f t="shared" si="16"/>
        <v>92.08</v>
      </c>
    </row>
    <row r="88" spans="1:36">
      <c r="A88" s="129" t="s">
        <v>60</v>
      </c>
      <c r="B88" s="129" t="s">
        <v>46</v>
      </c>
      <c r="C88" s="96" t="s">
        <v>159</v>
      </c>
      <c r="D88" s="120" t="s">
        <v>160</v>
      </c>
      <c r="E88" s="98"/>
      <c r="F88" s="99">
        <f>VLOOKUP(D88,'Dec 2012 Revenue'!D:T,17,FALSE)</f>
        <v>-20000</v>
      </c>
      <c r="G88" s="100"/>
      <c r="H88" s="100"/>
      <c r="I88" s="101"/>
      <c r="J88" s="102">
        <f t="shared" si="15"/>
        <v>-20000</v>
      </c>
      <c r="K88" s="103"/>
      <c r="L88" s="104"/>
      <c r="M88" s="105">
        <v>22000</v>
      </c>
      <c r="N88" s="103">
        <v>0</v>
      </c>
      <c r="O88" s="106"/>
      <c r="P88" s="103">
        <v>0</v>
      </c>
      <c r="Q88" s="107">
        <f t="shared" si="1"/>
        <v>22000</v>
      </c>
      <c r="R88" s="108">
        <v>0</v>
      </c>
      <c r="S88" s="119"/>
      <c r="T88" s="110">
        <f t="shared" si="27"/>
        <v>-22000</v>
      </c>
      <c r="U88" s="103"/>
      <c r="V88" s="112">
        <f t="shared" si="17"/>
        <v>0</v>
      </c>
      <c r="W88" s="112">
        <f t="shared" si="18"/>
        <v>22000</v>
      </c>
      <c r="X88" s="113">
        <f t="shared" si="19"/>
        <v>0</v>
      </c>
      <c r="Y88" s="113">
        <v>0</v>
      </c>
      <c r="Z88" s="114">
        <v>0</v>
      </c>
      <c r="AA88" s="11">
        <f t="shared" si="20"/>
        <v>0</v>
      </c>
      <c r="AB88" s="115">
        <f t="shared" si="21"/>
        <v>0</v>
      </c>
      <c r="AC88" s="115">
        <f t="shared" si="22"/>
        <v>-20000</v>
      </c>
      <c r="AD88" s="115">
        <f t="shared" si="23"/>
        <v>0</v>
      </c>
      <c r="AE88" s="11"/>
      <c r="AF88" s="115">
        <f t="shared" si="24"/>
        <v>0</v>
      </c>
      <c r="AG88" s="115">
        <f t="shared" si="25"/>
        <v>22000</v>
      </c>
      <c r="AH88" s="115">
        <f t="shared" si="26"/>
        <v>0</v>
      </c>
      <c r="AJ88" s="11">
        <f t="shared" si="16"/>
        <v>2000</v>
      </c>
    </row>
    <row r="89" spans="1:36">
      <c r="A89" s="129" t="s">
        <v>60</v>
      </c>
      <c r="B89" s="129" t="s">
        <v>49</v>
      </c>
      <c r="C89" s="96"/>
      <c r="D89" s="120" t="s">
        <v>161</v>
      </c>
      <c r="E89" s="98"/>
      <c r="F89" s="99">
        <f>VLOOKUP(D89,'Dec 2012 Revenue'!D:T,17,FALSE)</f>
        <v>0</v>
      </c>
      <c r="G89" s="100"/>
      <c r="H89" s="100"/>
      <c r="I89" s="101"/>
      <c r="J89" s="102">
        <f t="shared" si="15"/>
        <v>0</v>
      </c>
      <c r="K89" s="103"/>
      <c r="L89" s="104"/>
      <c r="M89" s="105"/>
      <c r="N89" s="103">
        <v>0</v>
      </c>
      <c r="O89" s="106"/>
      <c r="P89" s="103">
        <v>0</v>
      </c>
      <c r="Q89" s="107">
        <f t="shared" si="1"/>
        <v>0</v>
      </c>
      <c r="R89" s="108">
        <v>0</v>
      </c>
      <c r="S89" s="119"/>
      <c r="T89" s="110">
        <f t="shared" si="27"/>
        <v>0</v>
      </c>
      <c r="U89" s="103"/>
      <c r="V89" s="112">
        <f t="shared" si="17"/>
        <v>0</v>
      </c>
      <c r="W89" s="112">
        <f t="shared" si="18"/>
        <v>0</v>
      </c>
      <c r="X89" s="113">
        <f t="shared" si="19"/>
        <v>0</v>
      </c>
      <c r="Y89" s="113">
        <v>0</v>
      </c>
      <c r="Z89" s="114">
        <v>0</v>
      </c>
      <c r="AA89" s="11">
        <f t="shared" si="20"/>
        <v>0</v>
      </c>
      <c r="AB89" s="115">
        <f t="shared" si="21"/>
        <v>0</v>
      </c>
      <c r="AC89" s="115">
        <f t="shared" si="22"/>
        <v>0</v>
      </c>
      <c r="AD89" s="115">
        <f t="shared" si="23"/>
        <v>0</v>
      </c>
      <c r="AE89" s="11"/>
      <c r="AF89" s="115">
        <f t="shared" si="24"/>
        <v>0</v>
      </c>
      <c r="AG89" s="115">
        <f t="shared" si="25"/>
        <v>0</v>
      </c>
      <c r="AH89" s="115">
        <f t="shared" si="26"/>
        <v>0</v>
      </c>
      <c r="AJ89" s="11">
        <f t="shared" si="16"/>
        <v>0</v>
      </c>
    </row>
    <row r="90" spans="1:36">
      <c r="A90" s="116" t="s">
        <v>60</v>
      </c>
      <c r="B90" s="116" t="s">
        <v>46</v>
      </c>
      <c r="C90" s="122" t="s">
        <v>162</v>
      </c>
      <c r="D90" s="120" t="s">
        <v>163</v>
      </c>
      <c r="E90" s="98"/>
      <c r="F90" s="99">
        <f>VLOOKUP(D90,'Dec 2012 Revenue'!D:T,17,FALSE)</f>
        <v>2354.94</v>
      </c>
      <c r="G90" s="100"/>
      <c r="H90" s="100"/>
      <c r="I90" s="101"/>
      <c r="J90" s="102">
        <f t="shared" si="15"/>
        <v>2354.94</v>
      </c>
      <c r="K90" s="103"/>
      <c r="L90" s="104"/>
      <c r="M90" s="105"/>
      <c r="N90" s="103">
        <v>0</v>
      </c>
      <c r="O90" s="106"/>
      <c r="P90" s="103">
        <v>0</v>
      </c>
      <c r="Q90" s="107">
        <f t="shared" si="1"/>
        <v>0</v>
      </c>
      <c r="R90" s="108">
        <v>0</v>
      </c>
      <c r="S90" s="119"/>
      <c r="T90" s="110">
        <f t="shared" si="27"/>
        <v>0</v>
      </c>
      <c r="U90" s="103"/>
      <c r="V90" s="112">
        <f t="shared" si="17"/>
        <v>0</v>
      </c>
      <c r="W90" s="112">
        <f t="shared" si="18"/>
        <v>0</v>
      </c>
      <c r="X90" s="113">
        <f t="shared" si="19"/>
        <v>0</v>
      </c>
      <c r="Y90" s="113">
        <v>0</v>
      </c>
      <c r="Z90" s="114">
        <v>0</v>
      </c>
      <c r="AA90" s="11">
        <f t="shared" si="20"/>
        <v>0</v>
      </c>
      <c r="AB90" s="115">
        <f t="shared" si="21"/>
        <v>0</v>
      </c>
      <c r="AC90" s="115">
        <f t="shared" si="22"/>
        <v>2354.94</v>
      </c>
      <c r="AD90" s="115">
        <f t="shared" si="23"/>
        <v>0</v>
      </c>
      <c r="AE90" s="11"/>
      <c r="AF90" s="115">
        <f t="shared" si="24"/>
        <v>0</v>
      </c>
      <c r="AG90" s="115">
        <f t="shared" si="25"/>
        <v>0</v>
      </c>
      <c r="AH90" s="115">
        <f t="shared" si="26"/>
        <v>0</v>
      </c>
      <c r="AJ90" s="11">
        <f t="shared" si="16"/>
        <v>2354.94</v>
      </c>
    </row>
    <row r="91" spans="1:36">
      <c r="A91" s="116" t="s">
        <v>60</v>
      </c>
      <c r="B91" s="116" t="s">
        <v>46</v>
      </c>
      <c r="C91" s="122" t="s">
        <v>162</v>
      </c>
      <c r="D91" s="120" t="s">
        <v>164</v>
      </c>
      <c r="E91" s="98"/>
      <c r="F91" s="99">
        <f>VLOOKUP(D91,'Dec 2012 Revenue'!D:T,17,FALSE)</f>
        <v>97.56</v>
      </c>
      <c r="G91" s="100"/>
      <c r="H91" s="100"/>
      <c r="I91" s="101"/>
      <c r="J91" s="102">
        <f t="shared" si="15"/>
        <v>97.56</v>
      </c>
      <c r="K91" s="103"/>
      <c r="L91" s="104"/>
      <c r="M91" s="105"/>
      <c r="N91" s="103">
        <v>0</v>
      </c>
      <c r="O91" s="106"/>
      <c r="P91" s="103">
        <v>0</v>
      </c>
      <c r="Q91" s="107">
        <f t="shared" si="1"/>
        <v>0</v>
      </c>
      <c r="R91" s="108">
        <v>0</v>
      </c>
      <c r="S91" s="119"/>
      <c r="T91" s="110">
        <f t="shared" si="27"/>
        <v>0</v>
      </c>
      <c r="U91" s="103"/>
      <c r="V91" s="112">
        <f t="shared" si="17"/>
        <v>0</v>
      </c>
      <c r="W91" s="112">
        <f t="shared" si="18"/>
        <v>0</v>
      </c>
      <c r="X91" s="113">
        <f t="shared" si="19"/>
        <v>0</v>
      </c>
      <c r="Y91" s="113">
        <v>0</v>
      </c>
      <c r="Z91" s="114">
        <v>0</v>
      </c>
      <c r="AA91" s="11">
        <f t="shared" si="20"/>
        <v>0</v>
      </c>
      <c r="AB91" s="115">
        <f t="shared" si="21"/>
        <v>0</v>
      </c>
      <c r="AC91" s="115">
        <f t="shared" si="22"/>
        <v>97.56</v>
      </c>
      <c r="AD91" s="115">
        <f t="shared" si="23"/>
        <v>0</v>
      </c>
      <c r="AE91" s="11"/>
      <c r="AF91" s="115">
        <f t="shared" si="24"/>
        <v>0</v>
      </c>
      <c r="AG91" s="115">
        <f t="shared" si="25"/>
        <v>0</v>
      </c>
      <c r="AH91" s="115">
        <f t="shared" si="26"/>
        <v>0</v>
      </c>
      <c r="AJ91" s="11">
        <f t="shared" si="16"/>
        <v>97.56</v>
      </c>
    </row>
    <row r="92" spans="1:36">
      <c r="A92" s="116" t="s">
        <v>46</v>
      </c>
      <c r="B92" s="116" t="s">
        <v>46</v>
      </c>
      <c r="C92" s="122"/>
      <c r="D92" s="120" t="s">
        <v>166</v>
      </c>
      <c r="E92" s="98"/>
      <c r="F92" s="99">
        <f>VLOOKUP(D92,'Dec 2012 Revenue'!D:T,17,FALSE)</f>
        <v>0</v>
      </c>
      <c r="G92" s="100"/>
      <c r="H92" s="100"/>
      <c r="I92" s="101"/>
      <c r="J92" s="102">
        <f t="shared" si="15"/>
        <v>0</v>
      </c>
      <c r="K92" s="103"/>
      <c r="L92" s="104"/>
      <c r="M92" s="105"/>
      <c r="N92" s="103">
        <v>0</v>
      </c>
      <c r="O92" s="106"/>
      <c r="P92" s="103">
        <v>0</v>
      </c>
      <c r="Q92" s="107">
        <f t="shared" si="1"/>
        <v>0</v>
      </c>
      <c r="R92" s="108">
        <v>0</v>
      </c>
      <c r="S92" s="119"/>
      <c r="T92" s="110">
        <f t="shared" si="27"/>
        <v>0</v>
      </c>
      <c r="U92" s="103"/>
      <c r="V92" s="112">
        <f t="shared" si="17"/>
        <v>0</v>
      </c>
      <c r="W92" s="112">
        <f t="shared" si="18"/>
        <v>0</v>
      </c>
      <c r="X92" s="113">
        <f t="shared" si="19"/>
        <v>0</v>
      </c>
      <c r="Y92" s="113">
        <v>0</v>
      </c>
      <c r="Z92" s="114">
        <v>0</v>
      </c>
      <c r="AA92" s="11">
        <f t="shared" si="20"/>
        <v>0</v>
      </c>
      <c r="AB92" s="115">
        <f t="shared" si="21"/>
        <v>0</v>
      </c>
      <c r="AC92" s="115">
        <f t="shared" si="22"/>
        <v>0</v>
      </c>
      <c r="AD92" s="115">
        <f t="shared" si="23"/>
        <v>0</v>
      </c>
      <c r="AE92" s="11"/>
      <c r="AF92" s="115">
        <f t="shared" si="24"/>
        <v>0</v>
      </c>
      <c r="AG92" s="115">
        <f t="shared" si="25"/>
        <v>0</v>
      </c>
      <c r="AH92" s="115">
        <f t="shared" si="26"/>
        <v>0</v>
      </c>
      <c r="AJ92" s="11">
        <f t="shared" si="16"/>
        <v>0</v>
      </c>
    </row>
    <row r="93" spans="1:36">
      <c r="A93" s="129"/>
      <c r="B93" s="129" t="s">
        <v>49</v>
      </c>
      <c r="C93" s="96"/>
      <c r="D93" s="120" t="s">
        <v>167</v>
      </c>
      <c r="E93" s="98"/>
      <c r="F93" s="99">
        <f>VLOOKUP(D93,'Dec 2012 Revenue'!D:T,17,FALSE)</f>
        <v>0</v>
      </c>
      <c r="G93" s="100"/>
      <c r="H93" s="100"/>
      <c r="I93" s="101"/>
      <c r="J93" s="102">
        <f t="shared" si="15"/>
        <v>0</v>
      </c>
      <c r="K93" s="103"/>
      <c r="L93" s="104"/>
      <c r="M93" s="105"/>
      <c r="N93" s="103">
        <v>0</v>
      </c>
      <c r="O93" s="106"/>
      <c r="P93" s="103">
        <v>0</v>
      </c>
      <c r="Q93" s="107">
        <f t="shared" si="1"/>
        <v>0</v>
      </c>
      <c r="R93" s="108">
        <v>0</v>
      </c>
      <c r="S93" s="119"/>
      <c r="T93" s="110">
        <f t="shared" si="27"/>
        <v>0</v>
      </c>
      <c r="U93" s="103"/>
      <c r="V93" s="112">
        <f t="shared" si="17"/>
        <v>0</v>
      </c>
      <c r="W93" s="112">
        <f t="shared" si="18"/>
        <v>0</v>
      </c>
      <c r="X93" s="113">
        <f t="shared" si="19"/>
        <v>0</v>
      </c>
      <c r="Y93" s="113">
        <v>0</v>
      </c>
      <c r="Z93" s="114">
        <v>0</v>
      </c>
      <c r="AA93" s="11">
        <f t="shared" si="20"/>
        <v>0</v>
      </c>
      <c r="AB93" s="115">
        <f t="shared" si="21"/>
        <v>0</v>
      </c>
      <c r="AC93" s="115">
        <f t="shared" si="22"/>
        <v>0</v>
      </c>
      <c r="AD93" s="115">
        <f t="shared" si="23"/>
        <v>0</v>
      </c>
      <c r="AE93" s="11"/>
      <c r="AF93" s="115">
        <f t="shared" si="24"/>
        <v>0</v>
      </c>
      <c r="AG93" s="115">
        <f t="shared" si="25"/>
        <v>0</v>
      </c>
      <c r="AH93" s="115">
        <f t="shared" si="26"/>
        <v>0</v>
      </c>
      <c r="AJ93" s="11">
        <f t="shared" si="16"/>
        <v>0</v>
      </c>
    </row>
    <row r="94" spans="1:36">
      <c r="A94" s="129"/>
      <c r="B94" s="129" t="s">
        <v>49</v>
      </c>
      <c r="C94" s="96" t="s">
        <v>170</v>
      </c>
      <c r="D94" s="120" t="s">
        <v>169</v>
      </c>
      <c r="E94" s="98"/>
      <c r="F94" s="99">
        <f>VLOOKUP(D94,'Dec 2012 Revenue'!D:T,17,FALSE)</f>
        <v>0</v>
      </c>
      <c r="G94" s="100"/>
      <c r="H94" s="100"/>
      <c r="I94" s="101"/>
      <c r="J94" s="102">
        <f t="shared" si="15"/>
        <v>0</v>
      </c>
      <c r="K94" s="103"/>
      <c r="L94" s="104"/>
      <c r="M94" s="105"/>
      <c r="N94" s="103">
        <v>0</v>
      </c>
      <c r="O94" s="106"/>
      <c r="P94" s="103">
        <v>0</v>
      </c>
      <c r="Q94" s="107">
        <f t="shared" si="1"/>
        <v>0</v>
      </c>
      <c r="R94" s="108">
        <v>0</v>
      </c>
      <c r="S94" s="119"/>
      <c r="T94" s="110">
        <f t="shared" si="27"/>
        <v>0</v>
      </c>
      <c r="U94" s="103"/>
      <c r="V94" s="112">
        <f t="shared" si="17"/>
        <v>0</v>
      </c>
      <c r="W94" s="112">
        <f t="shared" si="18"/>
        <v>0</v>
      </c>
      <c r="X94" s="113">
        <f t="shared" si="19"/>
        <v>0</v>
      </c>
      <c r="Y94" s="113">
        <v>0</v>
      </c>
      <c r="Z94" s="114">
        <v>0</v>
      </c>
      <c r="AA94" s="11">
        <f t="shared" si="20"/>
        <v>0</v>
      </c>
      <c r="AB94" s="115">
        <f t="shared" si="21"/>
        <v>0</v>
      </c>
      <c r="AC94" s="115">
        <f t="shared" si="22"/>
        <v>0</v>
      </c>
      <c r="AD94" s="115">
        <f t="shared" si="23"/>
        <v>0</v>
      </c>
      <c r="AE94" s="11"/>
      <c r="AF94" s="115">
        <f t="shared" si="24"/>
        <v>0</v>
      </c>
      <c r="AG94" s="115">
        <f t="shared" si="25"/>
        <v>0</v>
      </c>
      <c r="AH94" s="115">
        <f t="shared" si="26"/>
        <v>0</v>
      </c>
      <c r="AJ94" s="11">
        <f t="shared" si="16"/>
        <v>0</v>
      </c>
    </row>
    <row r="95" spans="1:36">
      <c r="A95" s="129"/>
      <c r="B95" s="129" t="s">
        <v>49</v>
      </c>
      <c r="C95" s="96" t="s">
        <v>170</v>
      </c>
      <c r="D95" s="120" t="s">
        <v>171</v>
      </c>
      <c r="E95" s="98"/>
      <c r="F95" s="99">
        <f>VLOOKUP(D95,'Dec 2012 Revenue'!D:T,17,FALSE)</f>
        <v>0</v>
      </c>
      <c r="G95" s="100"/>
      <c r="H95" s="100"/>
      <c r="I95" s="101"/>
      <c r="J95" s="102">
        <f t="shared" si="15"/>
        <v>0</v>
      </c>
      <c r="K95" s="103"/>
      <c r="L95" s="104"/>
      <c r="M95" s="105"/>
      <c r="N95" s="103">
        <v>0</v>
      </c>
      <c r="O95" s="106"/>
      <c r="P95" s="103">
        <v>0</v>
      </c>
      <c r="Q95" s="107">
        <f t="shared" si="1"/>
        <v>0</v>
      </c>
      <c r="R95" s="108">
        <v>0</v>
      </c>
      <c r="S95" s="119"/>
      <c r="T95" s="110">
        <f t="shared" si="27"/>
        <v>0</v>
      </c>
      <c r="U95" s="103"/>
      <c r="V95" s="112">
        <f t="shared" si="17"/>
        <v>0</v>
      </c>
      <c r="W95" s="112">
        <f t="shared" si="18"/>
        <v>0</v>
      </c>
      <c r="X95" s="113">
        <f t="shared" si="19"/>
        <v>0</v>
      </c>
      <c r="Y95" s="113">
        <v>0</v>
      </c>
      <c r="Z95" s="114">
        <v>0</v>
      </c>
      <c r="AA95" s="11">
        <f t="shared" si="20"/>
        <v>0</v>
      </c>
      <c r="AB95" s="115">
        <f t="shared" si="21"/>
        <v>0</v>
      </c>
      <c r="AC95" s="115">
        <f t="shared" si="22"/>
        <v>0</v>
      </c>
      <c r="AD95" s="115">
        <f t="shared" si="23"/>
        <v>0</v>
      </c>
      <c r="AE95" s="11"/>
      <c r="AF95" s="115">
        <f t="shared" si="24"/>
        <v>0</v>
      </c>
      <c r="AG95" s="115">
        <f t="shared" si="25"/>
        <v>0</v>
      </c>
      <c r="AH95" s="115">
        <f t="shared" si="26"/>
        <v>0</v>
      </c>
      <c r="AJ95" s="11">
        <f t="shared" si="16"/>
        <v>0</v>
      </c>
    </row>
    <row r="96" spans="1:36">
      <c r="A96" s="116" t="s">
        <v>60</v>
      </c>
      <c r="B96" s="116" t="s">
        <v>49</v>
      </c>
      <c r="C96" s="122"/>
      <c r="D96" s="97" t="s">
        <v>173</v>
      </c>
      <c r="E96" s="98"/>
      <c r="F96" s="99">
        <f>VLOOKUP(D96,'Dec 2012 Revenue'!D:T,17,FALSE)</f>
        <v>0</v>
      </c>
      <c r="G96" s="100"/>
      <c r="H96" s="100"/>
      <c r="I96" s="125">
        <v>1149.52</v>
      </c>
      <c r="J96" s="102">
        <f t="shared" si="15"/>
        <v>1149.52</v>
      </c>
      <c r="K96" s="103"/>
      <c r="L96" s="104"/>
      <c r="M96" s="105"/>
      <c r="N96" s="103">
        <v>0</v>
      </c>
      <c r="O96" s="106"/>
      <c r="P96" s="103">
        <v>0</v>
      </c>
      <c r="Q96" s="107">
        <f t="shared" si="1"/>
        <v>0</v>
      </c>
      <c r="R96" s="108">
        <v>0</v>
      </c>
      <c r="S96" s="119"/>
      <c r="T96" s="110">
        <f t="shared" si="27"/>
        <v>0</v>
      </c>
      <c r="U96" s="103"/>
      <c r="V96" s="112">
        <f t="shared" si="17"/>
        <v>0</v>
      </c>
      <c r="W96" s="112">
        <f t="shared" si="18"/>
        <v>0</v>
      </c>
      <c r="X96" s="113">
        <f t="shared" si="19"/>
        <v>0</v>
      </c>
      <c r="Y96" s="113">
        <v>0</v>
      </c>
      <c r="Z96" s="114">
        <v>0</v>
      </c>
      <c r="AA96" s="11">
        <f t="shared" si="20"/>
        <v>0</v>
      </c>
      <c r="AB96" s="115">
        <f t="shared" si="21"/>
        <v>1149.52</v>
      </c>
      <c r="AC96" s="115">
        <f t="shared" si="22"/>
        <v>0</v>
      </c>
      <c r="AD96" s="115">
        <f t="shared" si="23"/>
        <v>0</v>
      </c>
      <c r="AE96" s="11"/>
      <c r="AF96" s="115">
        <f t="shared" si="24"/>
        <v>0</v>
      </c>
      <c r="AG96" s="115">
        <f t="shared" si="25"/>
        <v>0</v>
      </c>
      <c r="AH96" s="115">
        <f t="shared" si="26"/>
        <v>0</v>
      </c>
      <c r="AJ96" s="11">
        <f t="shared" si="16"/>
        <v>1149.52</v>
      </c>
    </row>
    <row r="97" spans="1:36">
      <c r="A97" s="116"/>
      <c r="B97" s="116" t="s">
        <v>49</v>
      </c>
      <c r="C97" s="122"/>
      <c r="D97" s="97" t="s">
        <v>174</v>
      </c>
      <c r="E97" s="98"/>
      <c r="F97" s="99">
        <f>VLOOKUP(D97,'Dec 2012 Revenue'!D:T,17,FALSE)</f>
        <v>0</v>
      </c>
      <c r="G97" s="100"/>
      <c r="H97" s="100"/>
      <c r="I97" s="101"/>
      <c r="J97" s="102">
        <f t="shared" si="15"/>
        <v>0</v>
      </c>
      <c r="K97" s="103"/>
      <c r="L97" s="104"/>
      <c r="M97" s="105"/>
      <c r="N97" s="103">
        <v>0</v>
      </c>
      <c r="O97" s="106"/>
      <c r="P97" s="103">
        <v>0</v>
      </c>
      <c r="Q97" s="107">
        <f t="shared" si="1"/>
        <v>0</v>
      </c>
      <c r="R97" s="108">
        <v>0</v>
      </c>
      <c r="S97" s="119"/>
      <c r="T97" s="110">
        <f t="shared" si="27"/>
        <v>0</v>
      </c>
      <c r="U97" s="103"/>
      <c r="V97" s="112">
        <f t="shared" si="17"/>
        <v>0</v>
      </c>
      <c r="W97" s="112">
        <f t="shared" si="18"/>
        <v>0</v>
      </c>
      <c r="X97" s="113">
        <f t="shared" si="19"/>
        <v>0</v>
      </c>
      <c r="Y97" s="113">
        <v>0</v>
      </c>
      <c r="Z97" s="114">
        <v>0</v>
      </c>
      <c r="AA97" s="11">
        <f t="shared" si="20"/>
        <v>0</v>
      </c>
      <c r="AB97" s="115">
        <f t="shared" si="21"/>
        <v>0</v>
      </c>
      <c r="AC97" s="115">
        <f t="shared" si="22"/>
        <v>0</v>
      </c>
      <c r="AD97" s="115">
        <f t="shared" si="23"/>
        <v>0</v>
      </c>
      <c r="AE97" s="11"/>
      <c r="AF97" s="115">
        <f t="shared" si="24"/>
        <v>0</v>
      </c>
      <c r="AG97" s="115">
        <f t="shared" si="25"/>
        <v>0</v>
      </c>
      <c r="AH97" s="115">
        <f t="shared" si="26"/>
        <v>0</v>
      </c>
      <c r="AJ97" s="11">
        <f t="shared" si="16"/>
        <v>0</v>
      </c>
    </row>
    <row r="98" spans="1:36" s="124" customFormat="1">
      <c r="A98" s="123"/>
      <c r="B98" s="123" t="s">
        <v>49</v>
      </c>
      <c r="C98" s="122"/>
      <c r="D98" s="118" t="s">
        <v>416</v>
      </c>
      <c r="E98" s="98"/>
      <c r="F98" s="99">
        <f>VLOOKUP(D98,'Dec 2012 Revenue'!D:T,17,FALSE)</f>
        <v>0</v>
      </c>
      <c r="G98" s="100"/>
      <c r="H98" s="100"/>
      <c r="I98" s="125">
        <v>3139521.96</v>
      </c>
      <c r="J98" s="102">
        <f t="shared" si="15"/>
        <v>3139521.96</v>
      </c>
      <c r="K98" s="103"/>
      <c r="L98" s="104"/>
      <c r="M98" s="105"/>
      <c r="N98" s="103">
        <v>0</v>
      </c>
      <c r="O98" s="106"/>
      <c r="P98" s="103">
        <v>0</v>
      </c>
      <c r="Q98" s="107">
        <f t="shared" si="1"/>
        <v>0</v>
      </c>
      <c r="R98" s="108">
        <v>0</v>
      </c>
      <c r="S98" s="119"/>
      <c r="T98" s="110">
        <f t="shared" si="27"/>
        <v>0</v>
      </c>
      <c r="U98" s="103"/>
      <c r="V98" s="112">
        <f t="shared" si="17"/>
        <v>0</v>
      </c>
      <c r="W98" s="112">
        <f t="shared" si="18"/>
        <v>0</v>
      </c>
      <c r="X98" s="113">
        <f t="shared" si="19"/>
        <v>0</v>
      </c>
      <c r="Y98" s="113">
        <v>0</v>
      </c>
      <c r="Z98" s="114">
        <v>0</v>
      </c>
      <c r="AA98" s="11">
        <f t="shared" si="20"/>
        <v>0</v>
      </c>
      <c r="AB98" s="115">
        <f t="shared" si="21"/>
        <v>3139521.96</v>
      </c>
      <c r="AC98" s="115">
        <f t="shared" si="22"/>
        <v>0</v>
      </c>
      <c r="AD98" s="115">
        <f t="shared" si="23"/>
        <v>0</v>
      </c>
      <c r="AE98" s="11"/>
      <c r="AF98" s="115">
        <f t="shared" si="24"/>
        <v>0</v>
      </c>
      <c r="AG98" s="115">
        <f t="shared" si="25"/>
        <v>0</v>
      </c>
      <c r="AH98" s="115">
        <f t="shared" si="26"/>
        <v>0</v>
      </c>
      <c r="AJ98" s="11">
        <f t="shared" si="16"/>
        <v>3139521.96</v>
      </c>
    </row>
    <row r="99" spans="1:36" s="124" customFormat="1">
      <c r="A99" s="123"/>
      <c r="B99" s="123" t="s">
        <v>49</v>
      </c>
      <c r="C99" s="122"/>
      <c r="D99" s="118" t="s">
        <v>417</v>
      </c>
      <c r="E99" s="98"/>
      <c r="F99" s="99">
        <f>VLOOKUP(D99,'Dec 2012 Revenue'!D:T,17,FALSE)</f>
        <v>0</v>
      </c>
      <c r="G99" s="100"/>
      <c r="H99" s="100"/>
      <c r="I99" s="125">
        <v>27025.88</v>
      </c>
      <c r="J99" s="102">
        <f t="shared" si="15"/>
        <v>27025.88</v>
      </c>
      <c r="K99" s="103"/>
      <c r="L99" s="104"/>
      <c r="M99" s="105"/>
      <c r="N99" s="103">
        <v>0</v>
      </c>
      <c r="O99" s="106"/>
      <c r="P99" s="103">
        <v>0</v>
      </c>
      <c r="Q99" s="107">
        <f t="shared" si="1"/>
        <v>0</v>
      </c>
      <c r="R99" s="108">
        <v>0</v>
      </c>
      <c r="S99" s="119"/>
      <c r="T99" s="110">
        <f t="shared" si="27"/>
        <v>0</v>
      </c>
      <c r="U99" s="103"/>
      <c r="V99" s="112">
        <f t="shared" si="17"/>
        <v>0</v>
      </c>
      <c r="W99" s="112">
        <f t="shared" si="18"/>
        <v>0</v>
      </c>
      <c r="X99" s="113">
        <f t="shared" si="19"/>
        <v>0</v>
      </c>
      <c r="Y99" s="113">
        <v>0</v>
      </c>
      <c r="Z99" s="114">
        <v>0</v>
      </c>
      <c r="AA99" s="11">
        <f t="shared" si="20"/>
        <v>0</v>
      </c>
      <c r="AB99" s="115">
        <f t="shared" si="21"/>
        <v>27025.88</v>
      </c>
      <c r="AC99" s="115">
        <f t="shared" si="22"/>
        <v>0</v>
      </c>
      <c r="AD99" s="115">
        <f t="shared" si="23"/>
        <v>0</v>
      </c>
      <c r="AE99" s="11"/>
      <c r="AF99" s="115">
        <f t="shared" si="24"/>
        <v>0</v>
      </c>
      <c r="AG99" s="115">
        <f t="shared" si="25"/>
        <v>0</v>
      </c>
      <c r="AH99" s="115">
        <f t="shared" si="26"/>
        <v>0</v>
      </c>
      <c r="AJ99" s="11">
        <f t="shared" si="16"/>
        <v>27025.88</v>
      </c>
    </row>
    <row r="100" spans="1:36" s="124" customFormat="1">
      <c r="A100" s="123"/>
      <c r="B100" s="123" t="s">
        <v>49</v>
      </c>
      <c r="C100" s="122"/>
      <c r="D100" s="285" t="s">
        <v>418</v>
      </c>
      <c r="E100" s="98"/>
      <c r="F100" s="99">
        <f>VLOOKUP(D100,'Dec 2012 Revenue'!D:T,17,FALSE)</f>
        <v>0</v>
      </c>
      <c r="G100" s="100"/>
      <c r="H100" s="100"/>
      <c r="I100" s="125">
        <v>1690631.37</v>
      </c>
      <c r="J100" s="102">
        <f t="shared" si="15"/>
        <v>1690631.37</v>
      </c>
      <c r="K100" s="103"/>
      <c r="L100" s="104"/>
      <c r="M100" s="105"/>
      <c r="N100" s="103">
        <v>0</v>
      </c>
      <c r="O100" s="106"/>
      <c r="P100" s="103">
        <v>0</v>
      </c>
      <c r="Q100" s="107">
        <f t="shared" si="1"/>
        <v>0</v>
      </c>
      <c r="R100" s="108">
        <v>0</v>
      </c>
      <c r="S100" s="119"/>
      <c r="T100" s="110">
        <f t="shared" si="27"/>
        <v>0</v>
      </c>
      <c r="U100" s="103"/>
      <c r="V100" s="112">
        <f t="shared" si="17"/>
        <v>0</v>
      </c>
      <c r="W100" s="112">
        <f t="shared" si="18"/>
        <v>0</v>
      </c>
      <c r="X100" s="113">
        <f t="shared" si="19"/>
        <v>0</v>
      </c>
      <c r="Y100" s="113">
        <v>0</v>
      </c>
      <c r="Z100" s="114">
        <v>0</v>
      </c>
      <c r="AA100" s="11">
        <f t="shared" si="20"/>
        <v>0</v>
      </c>
      <c r="AB100" s="115">
        <f t="shared" si="21"/>
        <v>1690631.37</v>
      </c>
      <c r="AC100" s="115">
        <f t="shared" si="22"/>
        <v>0</v>
      </c>
      <c r="AD100" s="115">
        <f t="shared" si="23"/>
        <v>0</v>
      </c>
      <c r="AE100" s="11"/>
      <c r="AF100" s="115">
        <f t="shared" si="24"/>
        <v>0</v>
      </c>
      <c r="AG100" s="115">
        <f t="shared" si="25"/>
        <v>0</v>
      </c>
      <c r="AH100" s="115">
        <f t="shared" si="26"/>
        <v>0</v>
      </c>
      <c r="AJ100" s="11">
        <f t="shared" si="16"/>
        <v>1690631.37</v>
      </c>
    </row>
    <row r="101" spans="1:36" s="124" customFormat="1">
      <c r="A101" s="123"/>
      <c r="B101" s="123" t="s">
        <v>49</v>
      </c>
      <c r="C101" s="122"/>
      <c r="D101" s="118" t="s">
        <v>419</v>
      </c>
      <c r="E101" s="98"/>
      <c r="F101" s="99">
        <f>VLOOKUP(D101,'Dec 2012 Revenue'!D:T,17,FALSE)</f>
        <v>0</v>
      </c>
      <c r="G101" s="100"/>
      <c r="H101" s="100"/>
      <c r="I101" s="125">
        <v>1085.23</v>
      </c>
      <c r="J101" s="102">
        <f t="shared" si="15"/>
        <v>1085.23</v>
      </c>
      <c r="K101" s="103"/>
      <c r="L101" s="104"/>
      <c r="M101" s="105"/>
      <c r="N101" s="103">
        <v>0</v>
      </c>
      <c r="O101" s="106"/>
      <c r="P101" s="103">
        <v>0</v>
      </c>
      <c r="Q101" s="107">
        <f t="shared" si="1"/>
        <v>0</v>
      </c>
      <c r="R101" s="108">
        <v>0</v>
      </c>
      <c r="S101" s="119"/>
      <c r="T101" s="110">
        <f t="shared" si="27"/>
        <v>0</v>
      </c>
      <c r="U101" s="103"/>
      <c r="V101" s="112">
        <f t="shared" si="17"/>
        <v>0</v>
      </c>
      <c r="W101" s="112">
        <f t="shared" si="18"/>
        <v>0</v>
      </c>
      <c r="X101" s="113">
        <f t="shared" si="19"/>
        <v>0</v>
      </c>
      <c r="Y101" s="113">
        <v>0</v>
      </c>
      <c r="Z101" s="114">
        <v>0</v>
      </c>
      <c r="AA101" s="11">
        <f t="shared" si="20"/>
        <v>0</v>
      </c>
      <c r="AB101" s="115">
        <f t="shared" si="21"/>
        <v>1085.23</v>
      </c>
      <c r="AC101" s="115">
        <f t="shared" si="22"/>
        <v>0</v>
      </c>
      <c r="AD101" s="115">
        <f t="shared" si="23"/>
        <v>0</v>
      </c>
      <c r="AE101" s="11"/>
      <c r="AF101" s="115">
        <f t="shared" si="24"/>
        <v>0</v>
      </c>
      <c r="AG101" s="115">
        <f t="shared" si="25"/>
        <v>0</v>
      </c>
      <c r="AH101" s="115">
        <f t="shared" si="26"/>
        <v>0</v>
      </c>
      <c r="AJ101" s="11">
        <f t="shared" si="16"/>
        <v>1085.23</v>
      </c>
    </row>
    <row r="102" spans="1:36" s="124" customFormat="1">
      <c r="A102" s="123"/>
      <c r="B102" s="123" t="s">
        <v>49</v>
      </c>
      <c r="C102" s="122"/>
      <c r="D102" s="118" t="s">
        <v>420</v>
      </c>
      <c r="E102" s="98"/>
      <c r="F102" s="99">
        <f>VLOOKUP(D102,'Dec 2012 Revenue'!D:T,17,FALSE)</f>
        <v>0</v>
      </c>
      <c r="G102" s="100"/>
      <c r="H102" s="100"/>
      <c r="I102" s="125">
        <v>399335.28</v>
      </c>
      <c r="J102" s="102">
        <f t="shared" si="15"/>
        <v>399335.28</v>
      </c>
      <c r="K102" s="103"/>
      <c r="L102" s="104"/>
      <c r="M102" s="105"/>
      <c r="N102" s="103">
        <v>0</v>
      </c>
      <c r="O102" s="106"/>
      <c r="P102" s="103">
        <v>0</v>
      </c>
      <c r="Q102" s="107">
        <f t="shared" si="1"/>
        <v>0</v>
      </c>
      <c r="R102" s="108">
        <v>0</v>
      </c>
      <c r="S102" s="119"/>
      <c r="T102" s="110">
        <f t="shared" si="27"/>
        <v>0</v>
      </c>
      <c r="U102" s="103"/>
      <c r="V102" s="112">
        <f t="shared" si="17"/>
        <v>0</v>
      </c>
      <c r="W102" s="112">
        <f t="shared" si="18"/>
        <v>0</v>
      </c>
      <c r="X102" s="113">
        <f t="shared" si="19"/>
        <v>0</v>
      </c>
      <c r="Y102" s="113">
        <v>0</v>
      </c>
      <c r="Z102" s="114">
        <v>0</v>
      </c>
      <c r="AA102" s="11">
        <f t="shared" si="20"/>
        <v>0</v>
      </c>
      <c r="AB102" s="115">
        <f t="shared" si="21"/>
        <v>399335.28</v>
      </c>
      <c r="AC102" s="115">
        <f t="shared" si="22"/>
        <v>0</v>
      </c>
      <c r="AD102" s="115">
        <f t="shared" si="23"/>
        <v>0</v>
      </c>
      <c r="AE102" s="11"/>
      <c r="AF102" s="115">
        <f t="shared" si="24"/>
        <v>0</v>
      </c>
      <c r="AG102" s="115">
        <f t="shared" si="25"/>
        <v>0</v>
      </c>
      <c r="AH102" s="115">
        <f t="shared" si="26"/>
        <v>0</v>
      </c>
      <c r="AJ102" s="11">
        <f t="shared" si="16"/>
        <v>399335.28</v>
      </c>
    </row>
    <row r="103" spans="1:36" s="124" customFormat="1">
      <c r="A103" s="123"/>
      <c r="B103" s="123" t="s">
        <v>49</v>
      </c>
      <c r="C103" s="122"/>
      <c r="D103" s="118" t="s">
        <v>421</v>
      </c>
      <c r="E103" s="98"/>
      <c r="F103" s="99">
        <f>VLOOKUP(D103,'Dec 2012 Revenue'!D:T,17,FALSE)</f>
        <v>0</v>
      </c>
      <c r="G103" s="100"/>
      <c r="H103" s="100"/>
      <c r="I103" s="125">
        <v>946.49</v>
      </c>
      <c r="J103" s="102">
        <f t="shared" si="15"/>
        <v>946.49</v>
      </c>
      <c r="K103" s="103"/>
      <c r="L103" s="104"/>
      <c r="M103" s="105"/>
      <c r="N103" s="103">
        <v>0</v>
      </c>
      <c r="O103" s="106"/>
      <c r="P103" s="103">
        <v>0</v>
      </c>
      <c r="Q103" s="107">
        <f t="shared" si="1"/>
        <v>0</v>
      </c>
      <c r="R103" s="108">
        <v>0</v>
      </c>
      <c r="S103" s="119"/>
      <c r="T103" s="110">
        <f t="shared" si="27"/>
        <v>0</v>
      </c>
      <c r="U103" s="103"/>
      <c r="V103" s="112">
        <f t="shared" si="17"/>
        <v>0</v>
      </c>
      <c r="W103" s="112">
        <f t="shared" si="18"/>
        <v>0</v>
      </c>
      <c r="X103" s="113">
        <f t="shared" si="19"/>
        <v>0</v>
      </c>
      <c r="Y103" s="113">
        <v>0</v>
      </c>
      <c r="Z103" s="114">
        <v>0</v>
      </c>
      <c r="AA103" s="11">
        <f t="shared" si="20"/>
        <v>0</v>
      </c>
      <c r="AB103" s="115">
        <f t="shared" si="21"/>
        <v>946.49</v>
      </c>
      <c r="AC103" s="115">
        <f t="shared" si="22"/>
        <v>0</v>
      </c>
      <c r="AD103" s="115">
        <f t="shared" si="23"/>
        <v>0</v>
      </c>
      <c r="AE103" s="11"/>
      <c r="AF103" s="115">
        <f t="shared" si="24"/>
        <v>0</v>
      </c>
      <c r="AG103" s="115">
        <f t="shared" si="25"/>
        <v>0</v>
      </c>
      <c r="AH103" s="115">
        <f t="shared" si="26"/>
        <v>0</v>
      </c>
      <c r="AJ103" s="11">
        <f t="shared" si="16"/>
        <v>946.49</v>
      </c>
    </row>
    <row r="104" spans="1:36" s="124" customFormat="1">
      <c r="A104" s="123"/>
      <c r="B104" s="123" t="s">
        <v>49</v>
      </c>
      <c r="C104" s="122"/>
      <c r="D104" s="118" t="s">
        <v>422</v>
      </c>
      <c r="E104" s="98"/>
      <c r="F104" s="99">
        <f>VLOOKUP(D104,'Dec 2012 Revenue'!D:T,17,FALSE)</f>
        <v>0</v>
      </c>
      <c r="G104" s="100"/>
      <c r="H104" s="100"/>
      <c r="I104" s="125">
        <v>404402.85</v>
      </c>
      <c r="J104" s="102">
        <f t="shared" si="15"/>
        <v>404402.85</v>
      </c>
      <c r="K104" s="103"/>
      <c r="L104" s="104"/>
      <c r="M104" s="105"/>
      <c r="N104" s="103">
        <v>0</v>
      </c>
      <c r="O104" s="106"/>
      <c r="P104" s="103">
        <v>0</v>
      </c>
      <c r="Q104" s="107">
        <f t="shared" si="1"/>
        <v>0</v>
      </c>
      <c r="R104" s="108">
        <v>0</v>
      </c>
      <c r="S104" s="119"/>
      <c r="T104" s="110">
        <f t="shared" si="27"/>
        <v>0</v>
      </c>
      <c r="U104" s="103"/>
      <c r="V104" s="112">
        <f t="shared" si="17"/>
        <v>0</v>
      </c>
      <c r="W104" s="112">
        <f t="shared" si="18"/>
        <v>0</v>
      </c>
      <c r="X104" s="113">
        <f t="shared" si="19"/>
        <v>0</v>
      </c>
      <c r="Y104" s="113">
        <v>0</v>
      </c>
      <c r="Z104" s="114">
        <v>0</v>
      </c>
      <c r="AA104" s="11">
        <f t="shared" si="20"/>
        <v>0</v>
      </c>
      <c r="AB104" s="115">
        <f t="shared" si="21"/>
        <v>404402.85</v>
      </c>
      <c r="AC104" s="115">
        <f t="shared" si="22"/>
        <v>0</v>
      </c>
      <c r="AD104" s="115">
        <f t="shared" si="23"/>
        <v>0</v>
      </c>
      <c r="AE104" s="11"/>
      <c r="AF104" s="115">
        <f t="shared" si="24"/>
        <v>0</v>
      </c>
      <c r="AG104" s="115">
        <f t="shared" si="25"/>
        <v>0</v>
      </c>
      <c r="AH104" s="115">
        <f t="shared" si="26"/>
        <v>0</v>
      </c>
      <c r="AJ104" s="11">
        <f t="shared" si="16"/>
        <v>404402.85</v>
      </c>
    </row>
    <row r="105" spans="1:36" s="124" customFormat="1">
      <c r="A105" s="123"/>
      <c r="B105" s="123" t="s">
        <v>49</v>
      </c>
      <c r="C105" s="122"/>
      <c r="D105" s="118" t="s">
        <v>423</v>
      </c>
      <c r="E105" s="98"/>
      <c r="F105" s="99">
        <f>VLOOKUP(D105,'Dec 2012 Revenue'!D:T,17,FALSE)</f>
        <v>0</v>
      </c>
      <c r="G105" s="100"/>
      <c r="H105" s="100"/>
      <c r="I105" s="125">
        <v>709.57</v>
      </c>
      <c r="J105" s="102">
        <f t="shared" si="15"/>
        <v>709.57</v>
      </c>
      <c r="K105" s="103"/>
      <c r="L105" s="104"/>
      <c r="M105" s="105"/>
      <c r="N105" s="103">
        <v>0</v>
      </c>
      <c r="O105" s="106"/>
      <c r="P105" s="103">
        <v>0</v>
      </c>
      <c r="Q105" s="107">
        <f t="shared" si="1"/>
        <v>0</v>
      </c>
      <c r="R105" s="108">
        <v>0</v>
      </c>
      <c r="S105" s="119"/>
      <c r="T105" s="110">
        <f t="shared" si="27"/>
        <v>0</v>
      </c>
      <c r="U105" s="103"/>
      <c r="V105" s="112">
        <f t="shared" si="17"/>
        <v>0</v>
      </c>
      <c r="W105" s="112">
        <f t="shared" si="18"/>
        <v>0</v>
      </c>
      <c r="X105" s="113">
        <f t="shared" si="19"/>
        <v>0</v>
      </c>
      <c r="Y105" s="113">
        <v>0</v>
      </c>
      <c r="Z105" s="114">
        <v>0</v>
      </c>
      <c r="AA105" s="11">
        <f t="shared" si="20"/>
        <v>0</v>
      </c>
      <c r="AB105" s="115">
        <f t="shared" si="21"/>
        <v>709.57</v>
      </c>
      <c r="AC105" s="115">
        <f t="shared" si="22"/>
        <v>0</v>
      </c>
      <c r="AD105" s="115">
        <f t="shared" si="23"/>
        <v>0</v>
      </c>
      <c r="AE105" s="11"/>
      <c r="AF105" s="115">
        <f t="shared" si="24"/>
        <v>0</v>
      </c>
      <c r="AG105" s="115">
        <f t="shared" si="25"/>
        <v>0</v>
      </c>
      <c r="AH105" s="115">
        <f t="shared" si="26"/>
        <v>0</v>
      </c>
      <c r="AJ105" s="11">
        <f t="shared" si="16"/>
        <v>709.57</v>
      </c>
    </row>
    <row r="106" spans="1:36" s="124" customFormat="1">
      <c r="A106" s="123"/>
      <c r="B106" s="123" t="s">
        <v>49</v>
      </c>
      <c r="C106" s="122"/>
      <c r="D106" s="118" t="s">
        <v>424</v>
      </c>
      <c r="E106" s="98"/>
      <c r="F106" s="99">
        <f>VLOOKUP(D106,'Dec 2012 Revenue'!D:T,17,FALSE)</f>
        <v>0</v>
      </c>
      <c r="G106" s="100"/>
      <c r="H106" s="100"/>
      <c r="I106" s="125">
        <v>126048.22</v>
      </c>
      <c r="J106" s="102">
        <f t="shared" si="15"/>
        <v>126048.22</v>
      </c>
      <c r="K106" s="103"/>
      <c r="L106" s="104"/>
      <c r="M106" s="105"/>
      <c r="N106" s="103">
        <v>0</v>
      </c>
      <c r="O106" s="106"/>
      <c r="P106" s="103">
        <v>0</v>
      </c>
      <c r="Q106" s="107">
        <f t="shared" si="1"/>
        <v>0</v>
      </c>
      <c r="R106" s="108">
        <v>0</v>
      </c>
      <c r="S106" s="119"/>
      <c r="T106" s="110">
        <f t="shared" si="27"/>
        <v>0</v>
      </c>
      <c r="U106" s="103"/>
      <c r="V106" s="112">
        <f t="shared" si="17"/>
        <v>0</v>
      </c>
      <c r="W106" s="112">
        <f t="shared" si="18"/>
        <v>0</v>
      </c>
      <c r="X106" s="113">
        <f t="shared" si="19"/>
        <v>0</v>
      </c>
      <c r="Y106" s="113">
        <v>0</v>
      </c>
      <c r="Z106" s="114">
        <v>0</v>
      </c>
      <c r="AA106" s="11">
        <f t="shared" si="20"/>
        <v>0</v>
      </c>
      <c r="AB106" s="115">
        <f t="shared" si="21"/>
        <v>126048.22</v>
      </c>
      <c r="AC106" s="115">
        <f t="shared" si="22"/>
        <v>0</v>
      </c>
      <c r="AD106" s="115">
        <f t="shared" si="23"/>
        <v>0</v>
      </c>
      <c r="AE106" s="11"/>
      <c r="AF106" s="115">
        <f t="shared" si="24"/>
        <v>0</v>
      </c>
      <c r="AG106" s="115">
        <f t="shared" si="25"/>
        <v>0</v>
      </c>
      <c r="AH106" s="115">
        <f t="shared" si="26"/>
        <v>0</v>
      </c>
      <c r="AJ106" s="11">
        <f t="shared" si="16"/>
        <v>126048.22</v>
      </c>
    </row>
    <row r="107" spans="1:36" s="124" customFormat="1">
      <c r="A107" s="123"/>
      <c r="B107" s="123" t="s">
        <v>49</v>
      </c>
      <c r="C107" s="122"/>
      <c r="D107" s="118" t="s">
        <v>425</v>
      </c>
      <c r="E107" s="98"/>
      <c r="F107" s="99">
        <f>VLOOKUP(D107,'Dec 2012 Revenue'!D:T,17,FALSE)</f>
        <v>0</v>
      </c>
      <c r="G107" s="100"/>
      <c r="H107" s="100"/>
      <c r="I107" s="125">
        <v>126261.14</v>
      </c>
      <c r="J107" s="102">
        <f t="shared" si="15"/>
        <v>126261.14</v>
      </c>
      <c r="K107" s="103"/>
      <c r="L107" s="104"/>
      <c r="M107" s="105"/>
      <c r="N107" s="103">
        <v>0</v>
      </c>
      <c r="O107" s="106"/>
      <c r="P107" s="103">
        <v>0</v>
      </c>
      <c r="Q107" s="107">
        <f t="shared" si="1"/>
        <v>0</v>
      </c>
      <c r="R107" s="108">
        <v>0</v>
      </c>
      <c r="S107" s="119"/>
      <c r="T107" s="110">
        <f t="shared" si="27"/>
        <v>0</v>
      </c>
      <c r="U107" s="103"/>
      <c r="V107" s="112">
        <f t="shared" si="17"/>
        <v>0</v>
      </c>
      <c r="W107" s="112">
        <f t="shared" si="18"/>
        <v>0</v>
      </c>
      <c r="X107" s="113">
        <f t="shared" si="19"/>
        <v>0</v>
      </c>
      <c r="Y107" s="113">
        <v>0</v>
      </c>
      <c r="Z107" s="114">
        <v>0</v>
      </c>
      <c r="AA107" s="11">
        <f t="shared" si="20"/>
        <v>0</v>
      </c>
      <c r="AB107" s="115">
        <f t="shared" si="21"/>
        <v>126261.14</v>
      </c>
      <c r="AC107" s="115">
        <f t="shared" si="22"/>
        <v>0</v>
      </c>
      <c r="AD107" s="115">
        <f t="shared" si="23"/>
        <v>0</v>
      </c>
      <c r="AE107" s="11"/>
      <c r="AF107" s="115">
        <f t="shared" si="24"/>
        <v>0</v>
      </c>
      <c r="AG107" s="115">
        <f t="shared" si="25"/>
        <v>0</v>
      </c>
      <c r="AH107" s="115">
        <f t="shared" si="26"/>
        <v>0</v>
      </c>
      <c r="AJ107" s="11">
        <f t="shared" si="16"/>
        <v>126261.14</v>
      </c>
    </row>
    <row r="108" spans="1:36" s="124" customFormat="1">
      <c r="A108" s="123"/>
      <c r="B108" s="123" t="s">
        <v>49</v>
      </c>
      <c r="C108" s="122"/>
      <c r="D108" s="118" t="s">
        <v>426</v>
      </c>
      <c r="E108" s="98"/>
      <c r="F108" s="99">
        <f>VLOOKUP(D108,'Dec 2012 Revenue'!D:T,17,FALSE)</f>
        <v>0</v>
      </c>
      <c r="G108" s="100"/>
      <c r="H108" s="100"/>
      <c r="I108" s="125">
        <v>153.69999999999999</v>
      </c>
      <c r="J108" s="102">
        <f t="shared" si="15"/>
        <v>153.69999999999999</v>
      </c>
      <c r="K108" s="103"/>
      <c r="L108" s="104"/>
      <c r="M108" s="105"/>
      <c r="N108" s="103">
        <v>0</v>
      </c>
      <c r="O108" s="106"/>
      <c r="P108" s="103">
        <v>0</v>
      </c>
      <c r="Q108" s="107">
        <f t="shared" si="1"/>
        <v>0</v>
      </c>
      <c r="R108" s="108">
        <v>0</v>
      </c>
      <c r="S108" s="119"/>
      <c r="T108" s="110">
        <f t="shared" si="27"/>
        <v>0</v>
      </c>
      <c r="U108" s="103"/>
      <c r="V108" s="112">
        <f t="shared" si="17"/>
        <v>0</v>
      </c>
      <c r="W108" s="112">
        <f t="shared" si="18"/>
        <v>0</v>
      </c>
      <c r="X108" s="113">
        <f t="shared" si="19"/>
        <v>0</v>
      </c>
      <c r="Y108" s="113">
        <v>0</v>
      </c>
      <c r="Z108" s="114">
        <v>0</v>
      </c>
      <c r="AA108" s="11">
        <f t="shared" si="20"/>
        <v>0</v>
      </c>
      <c r="AB108" s="115">
        <f t="shared" si="21"/>
        <v>153.69999999999999</v>
      </c>
      <c r="AC108" s="115">
        <f t="shared" si="22"/>
        <v>0</v>
      </c>
      <c r="AD108" s="115">
        <f t="shared" si="23"/>
        <v>0</v>
      </c>
      <c r="AE108" s="11"/>
      <c r="AF108" s="115">
        <f t="shared" si="24"/>
        <v>0</v>
      </c>
      <c r="AG108" s="115">
        <f t="shared" si="25"/>
        <v>0</v>
      </c>
      <c r="AH108" s="115">
        <f t="shared" si="26"/>
        <v>0</v>
      </c>
      <c r="AJ108" s="11">
        <f t="shared" si="16"/>
        <v>153.69999999999999</v>
      </c>
    </row>
    <row r="109" spans="1:36" s="124" customFormat="1">
      <c r="A109" s="123"/>
      <c r="B109" s="123" t="s">
        <v>49</v>
      </c>
      <c r="C109" s="122"/>
      <c r="D109" s="118" t="s">
        <v>427</v>
      </c>
      <c r="E109" s="98"/>
      <c r="F109" s="99">
        <f>VLOOKUP(D109,'Dec 2012 Revenue'!D:T,17,FALSE)</f>
        <v>0</v>
      </c>
      <c r="G109" s="100"/>
      <c r="H109" s="100"/>
      <c r="I109" s="125">
        <v>2968.81</v>
      </c>
      <c r="J109" s="102">
        <f t="shared" si="15"/>
        <v>2968.81</v>
      </c>
      <c r="K109" s="103"/>
      <c r="L109" s="104"/>
      <c r="M109" s="105"/>
      <c r="N109" s="103">
        <v>0</v>
      </c>
      <c r="O109" s="106"/>
      <c r="P109" s="103">
        <v>0</v>
      </c>
      <c r="Q109" s="107">
        <f t="shared" si="1"/>
        <v>0</v>
      </c>
      <c r="R109" s="108">
        <v>0</v>
      </c>
      <c r="S109" s="119"/>
      <c r="T109" s="110">
        <f t="shared" si="27"/>
        <v>0</v>
      </c>
      <c r="U109" s="103"/>
      <c r="V109" s="112">
        <f t="shared" si="17"/>
        <v>0</v>
      </c>
      <c r="W109" s="112">
        <f t="shared" si="18"/>
        <v>0</v>
      </c>
      <c r="X109" s="113">
        <f t="shared" si="19"/>
        <v>0</v>
      </c>
      <c r="Y109" s="113">
        <v>0</v>
      </c>
      <c r="Z109" s="114">
        <v>0</v>
      </c>
      <c r="AA109" s="11">
        <f t="shared" si="20"/>
        <v>0</v>
      </c>
      <c r="AB109" s="115">
        <f t="shared" si="21"/>
        <v>2968.81</v>
      </c>
      <c r="AC109" s="115">
        <f t="shared" si="22"/>
        <v>0</v>
      </c>
      <c r="AD109" s="115">
        <f t="shared" si="23"/>
        <v>0</v>
      </c>
      <c r="AE109" s="11"/>
      <c r="AF109" s="115">
        <f t="shared" si="24"/>
        <v>0</v>
      </c>
      <c r="AG109" s="115">
        <f t="shared" si="25"/>
        <v>0</v>
      </c>
      <c r="AH109" s="115">
        <f t="shared" si="26"/>
        <v>0</v>
      </c>
      <c r="AJ109" s="11">
        <f t="shared" si="16"/>
        <v>2968.81</v>
      </c>
    </row>
    <row r="110" spans="1:36" s="124" customFormat="1">
      <c r="A110" s="123"/>
      <c r="B110" s="123" t="s">
        <v>49</v>
      </c>
      <c r="C110" s="122"/>
      <c r="D110" s="118" t="s">
        <v>428</v>
      </c>
      <c r="E110" s="98"/>
      <c r="F110" s="99">
        <f>VLOOKUP(D110,'Dec 2012 Revenue'!D:T,17,FALSE)</f>
        <v>0</v>
      </c>
      <c r="G110" s="100"/>
      <c r="H110" s="100"/>
      <c r="I110" s="125">
        <v>906.37</v>
      </c>
      <c r="J110" s="102">
        <f t="shared" si="15"/>
        <v>906.37</v>
      </c>
      <c r="K110" s="103"/>
      <c r="L110" s="104"/>
      <c r="M110" s="105"/>
      <c r="N110" s="103">
        <v>0</v>
      </c>
      <c r="O110" s="106"/>
      <c r="P110" s="103">
        <v>0</v>
      </c>
      <c r="Q110" s="107">
        <f t="shared" si="1"/>
        <v>0</v>
      </c>
      <c r="R110" s="108">
        <v>0</v>
      </c>
      <c r="S110" s="119"/>
      <c r="T110" s="110">
        <f t="shared" si="27"/>
        <v>0</v>
      </c>
      <c r="U110" s="103"/>
      <c r="V110" s="112">
        <f t="shared" si="17"/>
        <v>0</v>
      </c>
      <c r="W110" s="112">
        <f t="shared" si="18"/>
        <v>0</v>
      </c>
      <c r="X110" s="113">
        <f t="shared" si="19"/>
        <v>0</v>
      </c>
      <c r="Y110" s="113">
        <v>0</v>
      </c>
      <c r="Z110" s="114">
        <v>0</v>
      </c>
      <c r="AA110" s="11">
        <f t="shared" si="20"/>
        <v>0</v>
      </c>
      <c r="AB110" s="115">
        <f t="shared" si="21"/>
        <v>906.37</v>
      </c>
      <c r="AC110" s="115">
        <f t="shared" si="22"/>
        <v>0</v>
      </c>
      <c r="AD110" s="115">
        <f t="shared" si="23"/>
        <v>0</v>
      </c>
      <c r="AE110" s="11"/>
      <c r="AF110" s="115">
        <f t="shared" si="24"/>
        <v>0</v>
      </c>
      <c r="AG110" s="115">
        <f t="shared" si="25"/>
        <v>0</v>
      </c>
      <c r="AH110" s="115">
        <f t="shared" si="26"/>
        <v>0</v>
      </c>
      <c r="AJ110" s="11">
        <f t="shared" si="16"/>
        <v>906.37</v>
      </c>
    </row>
    <row r="111" spans="1:36" s="124" customFormat="1">
      <c r="A111" s="123"/>
      <c r="B111" s="123" t="s">
        <v>49</v>
      </c>
      <c r="C111" s="122"/>
      <c r="D111" s="118" t="s">
        <v>429</v>
      </c>
      <c r="E111" s="98"/>
      <c r="F111" s="99">
        <f>VLOOKUP(D111,'Dec 2012 Revenue'!D:T,17,FALSE)</f>
        <v>0</v>
      </c>
      <c r="G111" s="100"/>
      <c r="H111" s="100"/>
      <c r="I111" s="125">
        <f>21401.79+1910.78+1456.81+6713.94+330.76</f>
        <v>31814.079999999998</v>
      </c>
      <c r="J111" s="102">
        <f t="shared" si="15"/>
        <v>31814.079999999998</v>
      </c>
      <c r="K111" s="103"/>
      <c r="L111" s="104"/>
      <c r="M111" s="105"/>
      <c r="N111" s="103">
        <v>0</v>
      </c>
      <c r="O111" s="106"/>
      <c r="P111" s="103"/>
      <c r="Q111" s="107">
        <f t="shared" si="1"/>
        <v>0</v>
      </c>
      <c r="R111" s="108">
        <v>0</v>
      </c>
      <c r="S111" s="119"/>
      <c r="T111" s="110">
        <f t="shared" si="27"/>
        <v>0</v>
      </c>
      <c r="U111" s="103"/>
      <c r="V111" s="112">
        <f t="shared" si="17"/>
        <v>0</v>
      </c>
      <c r="W111" s="112">
        <f t="shared" si="18"/>
        <v>0</v>
      </c>
      <c r="X111" s="113">
        <f t="shared" si="19"/>
        <v>0</v>
      </c>
      <c r="Y111" s="113">
        <v>0</v>
      </c>
      <c r="Z111" s="114">
        <v>0</v>
      </c>
      <c r="AA111" s="11">
        <f t="shared" si="20"/>
        <v>0</v>
      </c>
      <c r="AB111" s="115">
        <f t="shared" si="21"/>
        <v>31814.079999999998</v>
      </c>
      <c r="AC111" s="115">
        <f t="shared" si="22"/>
        <v>0</v>
      </c>
      <c r="AD111" s="115">
        <f t="shared" si="23"/>
        <v>0</v>
      </c>
      <c r="AE111" s="11"/>
      <c r="AF111" s="115">
        <f t="shared" si="24"/>
        <v>0</v>
      </c>
      <c r="AG111" s="115">
        <f t="shared" si="25"/>
        <v>0</v>
      </c>
      <c r="AH111" s="115">
        <f t="shared" si="26"/>
        <v>0</v>
      </c>
      <c r="AJ111" s="11">
        <f t="shared" si="16"/>
        <v>31814.079999999998</v>
      </c>
    </row>
    <row r="112" spans="1:36" s="14" customFormat="1">
      <c r="A112" s="130"/>
      <c r="B112" s="130" t="s">
        <v>49</v>
      </c>
      <c r="C112" s="122"/>
      <c r="D112" s="120" t="s">
        <v>184</v>
      </c>
      <c r="E112" s="98"/>
      <c r="F112" s="99">
        <f>VLOOKUP(D112,'Dec 2012 Revenue'!D:T,17,FALSE)</f>
        <v>0</v>
      </c>
      <c r="G112" s="100"/>
      <c r="H112" s="100"/>
      <c r="I112" s="101"/>
      <c r="J112" s="102">
        <f t="shared" si="15"/>
        <v>0</v>
      </c>
      <c r="K112" s="103"/>
      <c r="L112" s="104"/>
      <c r="M112" s="105"/>
      <c r="N112" s="133"/>
      <c r="O112" s="136"/>
      <c r="P112" s="133"/>
      <c r="Q112" s="107">
        <f t="shared" si="1"/>
        <v>0</v>
      </c>
      <c r="R112" s="108">
        <v>0</v>
      </c>
      <c r="S112" s="119"/>
      <c r="T112" s="110">
        <f t="shared" si="27"/>
        <v>0</v>
      </c>
      <c r="U112" s="103"/>
      <c r="V112" s="112">
        <f t="shared" si="17"/>
        <v>0</v>
      </c>
      <c r="W112" s="112">
        <f t="shared" si="18"/>
        <v>0</v>
      </c>
      <c r="X112" s="113">
        <f t="shared" si="19"/>
        <v>0</v>
      </c>
      <c r="Y112" s="113">
        <v>0</v>
      </c>
      <c r="Z112" s="114">
        <v>0</v>
      </c>
      <c r="AA112" s="11">
        <f t="shared" si="20"/>
        <v>0</v>
      </c>
      <c r="AB112" s="115">
        <f t="shared" si="21"/>
        <v>0</v>
      </c>
      <c r="AC112" s="115">
        <f t="shared" si="22"/>
        <v>0</v>
      </c>
      <c r="AD112" s="115">
        <f t="shared" si="23"/>
        <v>0</v>
      </c>
      <c r="AE112" s="11"/>
      <c r="AF112" s="115">
        <f t="shared" si="24"/>
        <v>0</v>
      </c>
      <c r="AG112" s="115">
        <f t="shared" si="25"/>
        <v>0</v>
      </c>
      <c r="AH112" s="115">
        <f t="shared" si="26"/>
        <v>0</v>
      </c>
      <c r="AJ112" s="11">
        <f t="shared" si="16"/>
        <v>0</v>
      </c>
    </row>
    <row r="113" spans="1:36">
      <c r="A113" s="129"/>
      <c r="B113" s="129" t="s">
        <v>46</v>
      </c>
      <c r="C113" s="96" t="s">
        <v>186</v>
      </c>
      <c r="D113" s="120" t="s">
        <v>187</v>
      </c>
      <c r="E113" s="98"/>
      <c r="F113" s="99">
        <f>VLOOKUP(D113,'Dec 2012 Revenue'!D:T,17,FALSE)</f>
        <v>-929.63000000000011</v>
      </c>
      <c r="G113" s="100"/>
      <c r="H113" s="100"/>
      <c r="I113" s="101"/>
      <c r="J113" s="102">
        <f t="shared" si="15"/>
        <v>-929.63000000000011</v>
      </c>
      <c r="K113" s="103"/>
      <c r="L113" s="104"/>
      <c r="M113" s="105">
        <v>5000</v>
      </c>
      <c r="N113" s="103">
        <v>0</v>
      </c>
      <c r="O113" s="106"/>
      <c r="P113" s="103">
        <v>0</v>
      </c>
      <c r="Q113" s="107">
        <f t="shared" si="1"/>
        <v>5000</v>
      </c>
      <c r="R113" s="108">
        <v>3515.23</v>
      </c>
      <c r="S113" s="119"/>
      <c r="T113" s="110">
        <f t="shared" si="27"/>
        <v>-1484.77</v>
      </c>
      <c r="U113" s="103"/>
      <c r="V113" s="112">
        <f t="shared" si="17"/>
        <v>0</v>
      </c>
      <c r="W113" s="112">
        <f t="shared" si="18"/>
        <v>5000</v>
      </c>
      <c r="X113" s="113">
        <f t="shared" si="19"/>
        <v>0</v>
      </c>
      <c r="Y113" s="113">
        <v>0</v>
      </c>
      <c r="Z113" s="114">
        <v>0</v>
      </c>
      <c r="AA113" s="11">
        <f t="shared" si="20"/>
        <v>0</v>
      </c>
      <c r="AB113" s="115">
        <f t="shared" si="21"/>
        <v>0</v>
      </c>
      <c r="AC113" s="115">
        <f t="shared" si="22"/>
        <v>-929.63000000000011</v>
      </c>
      <c r="AD113" s="115">
        <f t="shared" si="23"/>
        <v>0</v>
      </c>
      <c r="AE113" s="11"/>
      <c r="AF113" s="115">
        <f t="shared" si="24"/>
        <v>0</v>
      </c>
      <c r="AG113" s="115">
        <f t="shared" si="25"/>
        <v>5000</v>
      </c>
      <c r="AH113" s="115">
        <f t="shared" si="26"/>
        <v>0</v>
      </c>
      <c r="AJ113" s="11">
        <f t="shared" si="16"/>
        <v>4070.37</v>
      </c>
    </row>
    <row r="114" spans="1:36">
      <c r="A114" s="116"/>
      <c r="B114" s="116" t="s">
        <v>46</v>
      </c>
      <c r="C114" s="122" t="s">
        <v>188</v>
      </c>
      <c r="D114" s="120" t="s">
        <v>189</v>
      </c>
      <c r="E114" s="98"/>
      <c r="F114" s="99">
        <f>VLOOKUP(D114,'Dec 2012 Revenue'!D:T,17,FALSE)</f>
        <v>0</v>
      </c>
      <c r="G114" s="100"/>
      <c r="H114" s="100"/>
      <c r="I114" s="101"/>
      <c r="J114" s="102">
        <f t="shared" si="15"/>
        <v>0</v>
      </c>
      <c r="K114" s="103"/>
      <c r="L114" s="104"/>
      <c r="M114" s="105"/>
      <c r="N114" s="103">
        <v>0</v>
      </c>
      <c r="O114" s="106"/>
      <c r="P114" s="103">
        <v>0</v>
      </c>
      <c r="Q114" s="107">
        <f t="shared" si="1"/>
        <v>0</v>
      </c>
      <c r="R114" s="108">
        <v>0</v>
      </c>
      <c r="S114" s="119"/>
      <c r="T114" s="110">
        <f t="shared" si="27"/>
        <v>0</v>
      </c>
      <c r="U114" s="103"/>
      <c r="V114" s="112">
        <f t="shared" si="17"/>
        <v>0</v>
      </c>
      <c r="W114" s="112">
        <f t="shared" si="18"/>
        <v>0</v>
      </c>
      <c r="X114" s="113">
        <f t="shared" si="19"/>
        <v>0</v>
      </c>
      <c r="Y114" s="113">
        <v>0</v>
      </c>
      <c r="Z114" s="114">
        <v>0</v>
      </c>
      <c r="AA114" s="11">
        <f t="shared" si="20"/>
        <v>0</v>
      </c>
      <c r="AB114" s="115">
        <f t="shared" si="21"/>
        <v>0</v>
      </c>
      <c r="AC114" s="115">
        <f t="shared" si="22"/>
        <v>0</v>
      </c>
      <c r="AD114" s="115">
        <f t="shared" si="23"/>
        <v>0</v>
      </c>
      <c r="AE114" s="11"/>
      <c r="AF114" s="115">
        <f t="shared" si="24"/>
        <v>0</v>
      </c>
      <c r="AG114" s="115">
        <f t="shared" si="25"/>
        <v>0</v>
      </c>
      <c r="AH114" s="115">
        <f t="shared" si="26"/>
        <v>0</v>
      </c>
      <c r="AJ114" s="11">
        <f t="shared" si="16"/>
        <v>0</v>
      </c>
    </row>
    <row r="115" spans="1:36">
      <c r="A115" s="116"/>
      <c r="B115" s="116" t="s">
        <v>49</v>
      </c>
      <c r="C115" s="122"/>
      <c r="D115" s="120" t="s">
        <v>190</v>
      </c>
      <c r="E115" s="98"/>
      <c r="F115" s="99">
        <f>VLOOKUP(D115,'Dec 2012 Revenue'!D:T,17,FALSE)</f>
        <v>0</v>
      </c>
      <c r="G115" s="100"/>
      <c r="H115" s="100"/>
      <c r="I115" s="101"/>
      <c r="J115" s="102">
        <f t="shared" si="15"/>
        <v>0</v>
      </c>
      <c r="K115" s="103"/>
      <c r="L115" s="104"/>
      <c r="M115" s="105"/>
      <c r="N115" s="103">
        <v>0</v>
      </c>
      <c r="O115" s="106"/>
      <c r="P115" s="103">
        <v>0</v>
      </c>
      <c r="Q115" s="107">
        <f t="shared" si="1"/>
        <v>0</v>
      </c>
      <c r="R115" s="108">
        <v>0</v>
      </c>
      <c r="S115" s="119"/>
      <c r="T115" s="110">
        <f t="shared" si="27"/>
        <v>0</v>
      </c>
      <c r="U115" s="103"/>
      <c r="V115" s="112">
        <f t="shared" si="17"/>
        <v>0</v>
      </c>
      <c r="W115" s="112">
        <f t="shared" si="18"/>
        <v>0</v>
      </c>
      <c r="X115" s="113">
        <f t="shared" si="19"/>
        <v>0</v>
      </c>
      <c r="Y115" s="113">
        <v>0</v>
      </c>
      <c r="Z115" s="114">
        <v>0</v>
      </c>
      <c r="AA115" s="11">
        <f t="shared" si="20"/>
        <v>0</v>
      </c>
      <c r="AB115" s="115">
        <f t="shared" si="21"/>
        <v>0</v>
      </c>
      <c r="AC115" s="115">
        <f t="shared" si="22"/>
        <v>0</v>
      </c>
      <c r="AD115" s="115">
        <f t="shared" si="23"/>
        <v>0</v>
      </c>
      <c r="AE115" s="11"/>
      <c r="AF115" s="115">
        <f t="shared" si="24"/>
        <v>0</v>
      </c>
      <c r="AG115" s="115">
        <f t="shared" si="25"/>
        <v>0</v>
      </c>
      <c r="AH115" s="115">
        <f t="shared" si="26"/>
        <v>0</v>
      </c>
      <c r="AJ115" s="11">
        <f t="shared" si="16"/>
        <v>0</v>
      </c>
    </row>
    <row r="116" spans="1:36">
      <c r="A116" s="129"/>
      <c r="B116" s="129" t="s">
        <v>49</v>
      </c>
      <c r="C116" s="96" t="s">
        <v>196</v>
      </c>
      <c r="D116" s="120" t="s">
        <v>197</v>
      </c>
      <c r="E116" s="98"/>
      <c r="F116" s="99">
        <f>VLOOKUP(D116,'Dec 2012 Revenue'!D:T,17,FALSE)</f>
        <v>2311.4599999999991</v>
      </c>
      <c r="G116" s="100"/>
      <c r="H116" s="100"/>
      <c r="I116" s="101"/>
      <c r="J116" s="102">
        <f t="shared" si="15"/>
        <v>2311.4599999999991</v>
      </c>
      <c r="K116" s="103"/>
      <c r="L116" s="104"/>
      <c r="M116" s="105">
        <v>25000</v>
      </c>
      <c r="N116" s="103">
        <v>0</v>
      </c>
      <c r="O116" s="106"/>
      <c r="P116" s="103">
        <v>0</v>
      </c>
      <c r="Q116" s="107">
        <f t="shared" si="1"/>
        <v>25000</v>
      </c>
      <c r="R116" s="108">
        <v>27287.38</v>
      </c>
      <c r="S116" s="119"/>
      <c r="T116" s="110">
        <f t="shared" si="27"/>
        <v>2287.380000000001</v>
      </c>
      <c r="U116" s="103"/>
      <c r="V116" s="112">
        <f t="shared" si="17"/>
        <v>25000</v>
      </c>
      <c r="W116" s="112">
        <f t="shared" si="18"/>
        <v>0</v>
      </c>
      <c r="X116" s="113">
        <f t="shared" si="19"/>
        <v>0</v>
      </c>
      <c r="Y116" s="113">
        <v>0</v>
      </c>
      <c r="Z116" s="114">
        <v>0</v>
      </c>
      <c r="AA116" s="11">
        <f t="shared" si="20"/>
        <v>0</v>
      </c>
      <c r="AB116" s="115">
        <f t="shared" si="21"/>
        <v>2311.4599999999991</v>
      </c>
      <c r="AC116" s="115">
        <f t="shared" si="22"/>
        <v>0</v>
      </c>
      <c r="AD116" s="115">
        <f t="shared" si="23"/>
        <v>0</v>
      </c>
      <c r="AE116" s="11"/>
      <c r="AF116" s="115">
        <f t="shared" si="24"/>
        <v>25000</v>
      </c>
      <c r="AG116" s="115">
        <f t="shared" si="25"/>
        <v>0</v>
      </c>
      <c r="AH116" s="115">
        <f t="shared" si="26"/>
        <v>0</v>
      </c>
      <c r="AJ116" s="11">
        <f t="shared" si="16"/>
        <v>27311.46</v>
      </c>
    </row>
    <row r="117" spans="1:36">
      <c r="A117" s="129"/>
      <c r="B117" s="129" t="s">
        <v>46</v>
      </c>
      <c r="C117" s="96" t="s">
        <v>198</v>
      </c>
      <c r="D117" s="120" t="s">
        <v>199</v>
      </c>
      <c r="E117" s="98"/>
      <c r="F117" s="99">
        <f>VLOOKUP(D117,'Dec 2012 Revenue'!D:T,17,FALSE)</f>
        <v>0</v>
      </c>
      <c r="G117" s="100"/>
      <c r="H117" s="100"/>
      <c r="I117" s="101"/>
      <c r="J117" s="102">
        <f t="shared" si="15"/>
        <v>0</v>
      </c>
      <c r="K117" s="103"/>
      <c r="L117" s="104"/>
      <c r="M117" s="105"/>
      <c r="N117" s="103">
        <v>0</v>
      </c>
      <c r="O117" s="106"/>
      <c r="P117" s="103">
        <v>0</v>
      </c>
      <c r="Q117" s="107">
        <f t="shared" si="1"/>
        <v>0</v>
      </c>
      <c r="R117" s="108">
        <v>0</v>
      </c>
      <c r="S117" s="119"/>
      <c r="T117" s="110">
        <f t="shared" si="27"/>
        <v>0</v>
      </c>
      <c r="U117" s="103"/>
      <c r="V117" s="112">
        <f t="shared" si="17"/>
        <v>0</v>
      </c>
      <c r="W117" s="112">
        <f t="shared" si="18"/>
        <v>0</v>
      </c>
      <c r="X117" s="113">
        <f t="shared" si="19"/>
        <v>0</v>
      </c>
      <c r="Y117" s="113">
        <v>0</v>
      </c>
      <c r="Z117" s="114">
        <v>0</v>
      </c>
      <c r="AA117" s="11">
        <f t="shared" si="20"/>
        <v>0</v>
      </c>
      <c r="AB117" s="115">
        <f t="shared" si="21"/>
        <v>0</v>
      </c>
      <c r="AC117" s="115">
        <f t="shared" si="22"/>
        <v>0</v>
      </c>
      <c r="AD117" s="115">
        <f t="shared" si="23"/>
        <v>0</v>
      </c>
      <c r="AE117" s="11"/>
      <c r="AF117" s="115">
        <f t="shared" si="24"/>
        <v>0</v>
      </c>
      <c r="AG117" s="115">
        <f t="shared" si="25"/>
        <v>0</v>
      </c>
      <c r="AH117" s="115">
        <f t="shared" si="26"/>
        <v>0</v>
      </c>
      <c r="AJ117" s="11">
        <f t="shared" si="16"/>
        <v>0</v>
      </c>
    </row>
    <row r="118" spans="1:36">
      <c r="A118" s="129"/>
      <c r="B118" s="129" t="s">
        <v>49</v>
      </c>
      <c r="C118" s="96"/>
      <c r="D118" s="120" t="s">
        <v>201</v>
      </c>
      <c r="E118" s="98"/>
      <c r="F118" s="99">
        <f>VLOOKUP(D118,'Dec 2012 Revenue'!D:T,17,FALSE)</f>
        <v>0</v>
      </c>
      <c r="G118" s="100"/>
      <c r="H118" s="100"/>
      <c r="I118" s="125">
        <v>1570.8</v>
      </c>
      <c r="J118" s="102">
        <f t="shared" si="15"/>
        <v>1570.8</v>
      </c>
      <c r="K118" s="103"/>
      <c r="L118" s="104"/>
      <c r="M118" s="105"/>
      <c r="N118" s="103">
        <v>0</v>
      </c>
      <c r="O118" s="106"/>
      <c r="P118" s="103">
        <v>0</v>
      </c>
      <c r="Q118" s="107">
        <f t="shared" si="1"/>
        <v>0</v>
      </c>
      <c r="R118" s="108">
        <v>0</v>
      </c>
      <c r="S118" s="119"/>
      <c r="T118" s="110">
        <f t="shared" si="27"/>
        <v>0</v>
      </c>
      <c r="U118" s="103"/>
      <c r="V118" s="112">
        <f t="shared" si="17"/>
        <v>0</v>
      </c>
      <c r="W118" s="112">
        <f t="shared" si="18"/>
        <v>0</v>
      </c>
      <c r="X118" s="113">
        <f t="shared" si="19"/>
        <v>0</v>
      </c>
      <c r="Y118" s="113">
        <v>0</v>
      </c>
      <c r="Z118" s="114">
        <v>0</v>
      </c>
      <c r="AA118" s="11">
        <f t="shared" si="20"/>
        <v>0</v>
      </c>
      <c r="AB118" s="115">
        <f t="shared" si="21"/>
        <v>1570.8</v>
      </c>
      <c r="AC118" s="115">
        <f t="shared" si="22"/>
        <v>0</v>
      </c>
      <c r="AD118" s="115">
        <f t="shared" si="23"/>
        <v>0</v>
      </c>
      <c r="AE118" s="11"/>
      <c r="AF118" s="115">
        <f t="shared" si="24"/>
        <v>0</v>
      </c>
      <c r="AG118" s="115">
        <f t="shared" si="25"/>
        <v>0</v>
      </c>
      <c r="AH118" s="115">
        <f t="shared" si="26"/>
        <v>0</v>
      </c>
      <c r="AJ118" s="11">
        <f t="shared" si="16"/>
        <v>1570.8</v>
      </c>
    </row>
    <row r="119" spans="1:36">
      <c r="A119" s="129"/>
      <c r="B119" s="129" t="s">
        <v>81</v>
      </c>
      <c r="C119" s="96" t="s">
        <v>202</v>
      </c>
      <c r="D119" s="120" t="s">
        <v>203</v>
      </c>
      <c r="E119" s="98"/>
      <c r="F119" s="99">
        <f>VLOOKUP(D119,'Dec 2012 Revenue'!D:T,17,FALSE)</f>
        <v>-5000</v>
      </c>
      <c r="G119" s="100"/>
      <c r="H119" s="100"/>
      <c r="I119" s="101"/>
      <c r="J119" s="102">
        <f t="shared" si="15"/>
        <v>-5000</v>
      </c>
      <c r="K119" s="103"/>
      <c r="L119" s="104"/>
      <c r="M119" s="105">
        <v>10000</v>
      </c>
      <c r="N119" s="103">
        <v>0</v>
      </c>
      <c r="O119" s="106"/>
      <c r="P119" s="103">
        <v>0</v>
      </c>
      <c r="Q119" s="107">
        <f>L119+M119</f>
        <v>10000</v>
      </c>
      <c r="R119" s="108">
        <v>3672.6</v>
      </c>
      <c r="S119" s="119"/>
      <c r="T119" s="110">
        <f t="shared" si="27"/>
        <v>-6327.4</v>
      </c>
      <c r="U119" s="103"/>
      <c r="V119" s="112">
        <f t="shared" si="17"/>
        <v>0</v>
      </c>
      <c r="W119" s="112">
        <f t="shared" si="18"/>
        <v>0</v>
      </c>
      <c r="X119" s="113">
        <f t="shared" si="19"/>
        <v>10000</v>
      </c>
      <c r="Y119" s="113">
        <v>0</v>
      </c>
      <c r="Z119" s="114">
        <v>0</v>
      </c>
      <c r="AA119" s="11">
        <f t="shared" si="20"/>
        <v>0</v>
      </c>
      <c r="AB119" s="115">
        <f t="shared" si="21"/>
        <v>0</v>
      </c>
      <c r="AC119" s="115">
        <f t="shared" si="22"/>
        <v>0</v>
      </c>
      <c r="AD119" s="115">
        <f t="shared" si="23"/>
        <v>-5000</v>
      </c>
      <c r="AE119" s="11"/>
      <c r="AF119" s="115">
        <f t="shared" si="24"/>
        <v>0</v>
      </c>
      <c r="AG119" s="115">
        <f t="shared" si="25"/>
        <v>0</v>
      </c>
      <c r="AH119" s="115">
        <f t="shared" si="26"/>
        <v>10000</v>
      </c>
      <c r="AJ119" s="11">
        <f t="shared" si="16"/>
        <v>5000</v>
      </c>
    </row>
    <row r="120" spans="1:36">
      <c r="A120" s="129"/>
      <c r="B120" s="129" t="s">
        <v>46</v>
      </c>
      <c r="C120" s="96" t="s">
        <v>204</v>
      </c>
      <c r="D120" s="120" t="s">
        <v>205</v>
      </c>
      <c r="E120" s="98"/>
      <c r="F120" s="99">
        <f>VLOOKUP(D120,'Dec 2012 Revenue'!D:T,17,FALSE)</f>
        <v>0</v>
      </c>
      <c r="G120" s="100"/>
      <c r="H120" s="100"/>
      <c r="I120" s="101"/>
      <c r="J120" s="102">
        <f t="shared" si="15"/>
        <v>0</v>
      </c>
      <c r="K120" s="103"/>
      <c r="L120" s="104"/>
      <c r="M120" s="105"/>
      <c r="N120" s="103">
        <v>0</v>
      </c>
      <c r="O120" s="106"/>
      <c r="P120" s="103">
        <v>0</v>
      </c>
      <c r="Q120" s="107">
        <f t="shared" si="1"/>
        <v>0</v>
      </c>
      <c r="R120" s="108">
        <v>1547.29</v>
      </c>
      <c r="S120" s="119"/>
      <c r="T120" s="110">
        <f t="shared" si="27"/>
        <v>1547.29</v>
      </c>
      <c r="U120" s="103"/>
      <c r="V120" s="112">
        <f t="shared" si="17"/>
        <v>0</v>
      </c>
      <c r="W120" s="112">
        <f t="shared" si="18"/>
        <v>0</v>
      </c>
      <c r="X120" s="113">
        <f t="shared" si="19"/>
        <v>0</v>
      </c>
      <c r="Y120" s="113">
        <v>0</v>
      </c>
      <c r="Z120" s="114">
        <v>0</v>
      </c>
      <c r="AA120" s="11">
        <f t="shared" si="20"/>
        <v>0</v>
      </c>
      <c r="AB120" s="115">
        <f t="shared" si="21"/>
        <v>0</v>
      </c>
      <c r="AC120" s="115">
        <f t="shared" si="22"/>
        <v>0</v>
      </c>
      <c r="AD120" s="115">
        <f t="shared" si="23"/>
        <v>0</v>
      </c>
      <c r="AE120" s="11"/>
      <c r="AF120" s="115">
        <f t="shared" si="24"/>
        <v>0</v>
      </c>
      <c r="AG120" s="115">
        <f t="shared" si="25"/>
        <v>0</v>
      </c>
      <c r="AH120" s="115">
        <f t="shared" si="26"/>
        <v>0</v>
      </c>
      <c r="AJ120" s="11">
        <f t="shared" si="16"/>
        <v>0</v>
      </c>
    </row>
    <row r="121" spans="1:36" s="124" customFormat="1">
      <c r="A121" s="123" t="s">
        <v>60</v>
      </c>
      <c r="B121" s="123" t="s">
        <v>46</v>
      </c>
      <c r="C121" s="122" t="s">
        <v>206</v>
      </c>
      <c r="D121" s="118" t="s">
        <v>207</v>
      </c>
      <c r="E121" s="98"/>
      <c r="F121" s="99">
        <f>VLOOKUP(D121,'Dec 2012 Revenue'!D:T,17,FALSE)</f>
        <v>0</v>
      </c>
      <c r="G121" s="100"/>
      <c r="H121" s="100"/>
      <c r="I121" s="101"/>
      <c r="J121" s="102">
        <f t="shared" si="15"/>
        <v>0</v>
      </c>
      <c r="K121" s="103"/>
      <c r="L121" s="104"/>
      <c r="M121" s="105"/>
      <c r="N121" s="103">
        <v>0</v>
      </c>
      <c r="O121" s="106"/>
      <c r="P121" s="103">
        <v>0</v>
      </c>
      <c r="Q121" s="107">
        <f t="shared" si="1"/>
        <v>0</v>
      </c>
      <c r="R121" s="108">
        <v>0</v>
      </c>
      <c r="S121" s="119"/>
      <c r="T121" s="110">
        <f t="shared" si="27"/>
        <v>0</v>
      </c>
      <c r="U121" s="103"/>
      <c r="V121" s="112">
        <f t="shared" si="17"/>
        <v>0</v>
      </c>
      <c r="W121" s="112">
        <f t="shared" si="18"/>
        <v>0</v>
      </c>
      <c r="X121" s="113">
        <f t="shared" si="19"/>
        <v>0</v>
      </c>
      <c r="Y121" s="113">
        <v>0</v>
      </c>
      <c r="Z121" s="114">
        <v>0</v>
      </c>
      <c r="AA121" s="11">
        <f t="shared" si="20"/>
        <v>0</v>
      </c>
      <c r="AB121" s="115">
        <f t="shared" si="21"/>
        <v>0</v>
      </c>
      <c r="AC121" s="115">
        <f t="shared" si="22"/>
        <v>0</v>
      </c>
      <c r="AD121" s="115">
        <f t="shared" si="23"/>
        <v>0</v>
      </c>
      <c r="AE121" s="11"/>
      <c r="AF121" s="115">
        <f t="shared" si="24"/>
        <v>0</v>
      </c>
      <c r="AG121" s="115">
        <f t="shared" si="25"/>
        <v>0</v>
      </c>
      <c r="AH121" s="115">
        <f t="shared" si="26"/>
        <v>0</v>
      </c>
      <c r="AJ121" s="11">
        <f t="shared" si="16"/>
        <v>0</v>
      </c>
    </row>
    <row r="122" spans="1:36" s="124" customFormat="1">
      <c r="A122" s="123"/>
      <c r="B122" s="123" t="s">
        <v>49</v>
      </c>
      <c r="C122" s="122"/>
      <c r="D122" s="118" t="s">
        <v>208</v>
      </c>
      <c r="E122" s="98"/>
      <c r="F122" s="99">
        <f>VLOOKUP(D122,'Dec 2012 Revenue'!D:T,17,FALSE)</f>
        <v>0</v>
      </c>
      <c r="G122" s="100"/>
      <c r="H122" s="100"/>
      <c r="I122" s="101"/>
      <c r="J122" s="102">
        <f t="shared" si="15"/>
        <v>0</v>
      </c>
      <c r="K122" s="103"/>
      <c r="L122" s="104"/>
      <c r="M122" s="105"/>
      <c r="N122" s="103">
        <v>0</v>
      </c>
      <c r="O122" s="106"/>
      <c r="P122" s="103">
        <v>0</v>
      </c>
      <c r="Q122" s="107">
        <f t="shared" si="1"/>
        <v>0</v>
      </c>
      <c r="R122" s="108">
        <v>1322.02</v>
      </c>
      <c r="S122" s="119"/>
      <c r="T122" s="110">
        <f t="shared" si="27"/>
        <v>1322.02</v>
      </c>
      <c r="U122" s="103"/>
      <c r="V122" s="112">
        <f t="shared" si="17"/>
        <v>0</v>
      </c>
      <c r="W122" s="112">
        <f t="shared" si="18"/>
        <v>0</v>
      </c>
      <c r="X122" s="113">
        <f t="shared" si="19"/>
        <v>0</v>
      </c>
      <c r="Y122" s="113">
        <v>0</v>
      </c>
      <c r="Z122" s="114">
        <v>0</v>
      </c>
      <c r="AA122" s="11">
        <f t="shared" si="20"/>
        <v>0</v>
      </c>
      <c r="AB122" s="115">
        <f t="shared" si="21"/>
        <v>0</v>
      </c>
      <c r="AC122" s="115">
        <f t="shared" si="22"/>
        <v>0</v>
      </c>
      <c r="AD122" s="115">
        <f t="shared" si="23"/>
        <v>0</v>
      </c>
      <c r="AE122" s="11"/>
      <c r="AF122" s="115">
        <f t="shared" si="24"/>
        <v>0</v>
      </c>
      <c r="AG122" s="115">
        <f t="shared" si="25"/>
        <v>0</v>
      </c>
      <c r="AH122" s="115">
        <f t="shared" si="26"/>
        <v>0</v>
      </c>
      <c r="AJ122" s="11">
        <f t="shared" si="16"/>
        <v>0</v>
      </c>
    </row>
    <row r="123" spans="1:36" s="124" customFormat="1">
      <c r="A123" s="123"/>
      <c r="B123" s="123" t="s">
        <v>46</v>
      </c>
      <c r="C123" s="122"/>
      <c r="D123" s="118" t="s">
        <v>209</v>
      </c>
      <c r="E123" s="98"/>
      <c r="F123" s="99">
        <f>VLOOKUP(D123,'Dec 2012 Revenue'!D:T,17,FALSE)</f>
        <v>0</v>
      </c>
      <c r="G123" s="100"/>
      <c r="H123" s="100"/>
      <c r="I123" s="101"/>
      <c r="J123" s="102">
        <f t="shared" si="15"/>
        <v>0</v>
      </c>
      <c r="K123" s="103"/>
      <c r="L123" s="104"/>
      <c r="M123" s="105">
        <v>12000</v>
      </c>
      <c r="N123" s="103">
        <v>0</v>
      </c>
      <c r="O123" s="106"/>
      <c r="P123" s="103">
        <v>0</v>
      </c>
      <c r="Q123" s="107">
        <f t="shared" si="1"/>
        <v>12000</v>
      </c>
      <c r="R123" s="108">
        <f>12058.59+506.87+3992</f>
        <v>16557.46</v>
      </c>
      <c r="S123" s="119"/>
      <c r="T123" s="110">
        <f t="shared" si="27"/>
        <v>4557.4599999999991</v>
      </c>
      <c r="U123" s="103"/>
      <c r="V123" s="112">
        <f t="shared" si="17"/>
        <v>0</v>
      </c>
      <c r="W123" s="112">
        <f t="shared" si="18"/>
        <v>12000</v>
      </c>
      <c r="X123" s="113">
        <f t="shared" si="19"/>
        <v>0</v>
      </c>
      <c r="Y123" s="113">
        <v>0</v>
      </c>
      <c r="Z123" s="114">
        <v>0</v>
      </c>
      <c r="AA123" s="11">
        <f t="shared" si="20"/>
        <v>0</v>
      </c>
      <c r="AB123" s="115">
        <f t="shared" si="21"/>
        <v>0</v>
      </c>
      <c r="AC123" s="115">
        <f t="shared" si="22"/>
        <v>0</v>
      </c>
      <c r="AD123" s="115">
        <f t="shared" si="23"/>
        <v>0</v>
      </c>
      <c r="AE123" s="11"/>
      <c r="AF123" s="115">
        <f t="shared" si="24"/>
        <v>0</v>
      </c>
      <c r="AG123" s="115">
        <f t="shared" si="25"/>
        <v>12000</v>
      </c>
      <c r="AH123" s="115">
        <f t="shared" si="26"/>
        <v>0</v>
      </c>
      <c r="AJ123" s="11">
        <f t="shared" si="16"/>
        <v>12000</v>
      </c>
    </row>
    <row r="124" spans="1:36" s="124" customFormat="1">
      <c r="A124" s="127"/>
      <c r="B124" s="127" t="s">
        <v>49</v>
      </c>
      <c r="C124" s="96" t="s">
        <v>210</v>
      </c>
      <c r="D124" s="118" t="s">
        <v>211</v>
      </c>
      <c r="E124" s="98"/>
      <c r="F124" s="99">
        <f>VLOOKUP(D124,'Dec 2012 Revenue'!D:T,17,FALSE)</f>
        <v>0</v>
      </c>
      <c r="G124" s="100"/>
      <c r="H124" s="100"/>
      <c r="I124" s="101"/>
      <c r="J124" s="102">
        <f t="shared" si="15"/>
        <v>0</v>
      </c>
      <c r="K124" s="103"/>
      <c r="L124" s="104"/>
      <c r="M124" s="105"/>
      <c r="N124" s="103">
        <v>0</v>
      </c>
      <c r="O124" s="106"/>
      <c r="P124" s="103">
        <v>0</v>
      </c>
      <c r="Q124" s="107">
        <f t="shared" si="1"/>
        <v>0</v>
      </c>
      <c r="R124" s="108">
        <v>0</v>
      </c>
      <c r="S124" s="119"/>
      <c r="T124" s="110">
        <f t="shared" si="27"/>
        <v>0</v>
      </c>
      <c r="U124" s="103"/>
      <c r="V124" s="112">
        <f t="shared" si="17"/>
        <v>0</v>
      </c>
      <c r="W124" s="112">
        <f t="shared" si="18"/>
        <v>0</v>
      </c>
      <c r="X124" s="113">
        <f t="shared" si="19"/>
        <v>0</v>
      </c>
      <c r="Y124" s="113">
        <v>0</v>
      </c>
      <c r="Z124" s="114">
        <v>0</v>
      </c>
      <c r="AA124" s="11">
        <f t="shared" si="20"/>
        <v>0</v>
      </c>
      <c r="AB124" s="115">
        <f t="shared" si="21"/>
        <v>0</v>
      </c>
      <c r="AC124" s="115">
        <f t="shared" si="22"/>
        <v>0</v>
      </c>
      <c r="AD124" s="115">
        <f t="shared" si="23"/>
        <v>0</v>
      </c>
      <c r="AE124" s="11"/>
      <c r="AF124" s="115">
        <f t="shared" si="24"/>
        <v>0</v>
      </c>
      <c r="AG124" s="115">
        <f t="shared" si="25"/>
        <v>0</v>
      </c>
      <c r="AH124" s="115">
        <f t="shared" si="26"/>
        <v>0</v>
      </c>
      <c r="AJ124" s="11">
        <f t="shared" si="16"/>
        <v>0</v>
      </c>
    </row>
    <row r="125" spans="1:36" s="124" customFormat="1">
      <c r="A125" s="123"/>
      <c r="B125" s="123" t="s">
        <v>49</v>
      </c>
      <c r="C125" s="122"/>
      <c r="D125" s="120" t="s">
        <v>212</v>
      </c>
      <c r="E125" s="98"/>
      <c r="F125" s="99">
        <f>VLOOKUP(D125,'Dec 2012 Revenue'!D:T,17,FALSE)</f>
        <v>0</v>
      </c>
      <c r="G125" s="100"/>
      <c r="H125" s="100"/>
      <c r="I125" s="101"/>
      <c r="J125" s="102">
        <f t="shared" si="15"/>
        <v>0</v>
      </c>
      <c r="K125" s="103"/>
      <c r="L125" s="104"/>
      <c r="M125" s="105"/>
      <c r="N125" s="103">
        <v>0</v>
      </c>
      <c r="O125" s="106"/>
      <c r="P125" s="103">
        <v>0</v>
      </c>
      <c r="Q125" s="107">
        <f t="shared" si="1"/>
        <v>0</v>
      </c>
      <c r="R125" s="108">
        <v>0</v>
      </c>
      <c r="S125" s="119"/>
      <c r="T125" s="110">
        <f t="shared" si="27"/>
        <v>0</v>
      </c>
      <c r="U125" s="103"/>
      <c r="V125" s="112">
        <f t="shared" si="17"/>
        <v>0</v>
      </c>
      <c r="W125" s="112">
        <f t="shared" si="18"/>
        <v>0</v>
      </c>
      <c r="X125" s="113">
        <f t="shared" si="19"/>
        <v>0</v>
      </c>
      <c r="Y125" s="113">
        <v>0</v>
      </c>
      <c r="Z125" s="114">
        <v>0</v>
      </c>
      <c r="AA125" s="11">
        <f t="shared" si="20"/>
        <v>0</v>
      </c>
      <c r="AB125" s="115">
        <f t="shared" si="21"/>
        <v>0</v>
      </c>
      <c r="AC125" s="115">
        <f t="shared" si="22"/>
        <v>0</v>
      </c>
      <c r="AD125" s="115">
        <f t="shared" si="23"/>
        <v>0</v>
      </c>
      <c r="AE125" s="11"/>
      <c r="AF125" s="115">
        <f t="shared" si="24"/>
        <v>0</v>
      </c>
      <c r="AG125" s="115">
        <f t="shared" si="25"/>
        <v>0</v>
      </c>
      <c r="AH125" s="115">
        <f t="shared" si="26"/>
        <v>0</v>
      </c>
      <c r="AJ125" s="11">
        <f t="shared" si="16"/>
        <v>0</v>
      </c>
    </row>
    <row r="126" spans="1:36" s="124" customFormat="1">
      <c r="A126" s="123"/>
      <c r="B126" s="123" t="s">
        <v>49</v>
      </c>
      <c r="C126" s="122" t="s">
        <v>213</v>
      </c>
      <c r="D126" s="118" t="s">
        <v>214</v>
      </c>
      <c r="E126" s="98"/>
      <c r="F126" s="99">
        <f>VLOOKUP(D126,'Dec 2012 Revenue'!D:T,17,FALSE)</f>
        <v>0</v>
      </c>
      <c r="G126" s="100"/>
      <c r="H126" s="100"/>
      <c r="I126" s="125">
        <v>4055.66</v>
      </c>
      <c r="J126" s="102">
        <f t="shared" si="15"/>
        <v>4055.66</v>
      </c>
      <c r="K126" s="103"/>
      <c r="L126" s="104"/>
      <c r="M126" s="105"/>
      <c r="N126" s="103">
        <v>0</v>
      </c>
      <c r="O126" s="106"/>
      <c r="P126" s="103">
        <v>0</v>
      </c>
      <c r="Q126" s="107">
        <f t="shared" si="1"/>
        <v>0</v>
      </c>
      <c r="R126" s="108">
        <v>0</v>
      </c>
      <c r="S126" s="119"/>
      <c r="T126" s="110">
        <f t="shared" si="27"/>
        <v>0</v>
      </c>
      <c r="U126" s="103"/>
      <c r="V126" s="112">
        <f t="shared" si="17"/>
        <v>0</v>
      </c>
      <c r="W126" s="112">
        <f t="shared" si="18"/>
        <v>0</v>
      </c>
      <c r="X126" s="113">
        <f t="shared" si="19"/>
        <v>0</v>
      </c>
      <c r="Y126" s="113">
        <v>0</v>
      </c>
      <c r="Z126" s="114">
        <v>0</v>
      </c>
      <c r="AA126" s="11">
        <f t="shared" si="20"/>
        <v>0</v>
      </c>
      <c r="AB126" s="115">
        <f t="shared" si="21"/>
        <v>4055.66</v>
      </c>
      <c r="AC126" s="115">
        <f t="shared" si="22"/>
        <v>0</v>
      </c>
      <c r="AD126" s="115">
        <f t="shared" si="23"/>
        <v>0</v>
      </c>
      <c r="AE126" s="11"/>
      <c r="AF126" s="115">
        <f t="shared" si="24"/>
        <v>0</v>
      </c>
      <c r="AG126" s="115">
        <f t="shared" si="25"/>
        <v>0</v>
      </c>
      <c r="AH126" s="115">
        <f t="shared" si="26"/>
        <v>0</v>
      </c>
      <c r="AJ126" s="11">
        <f t="shared" si="16"/>
        <v>4055.66</v>
      </c>
    </row>
    <row r="127" spans="1:36" s="124" customFormat="1">
      <c r="A127" s="123"/>
      <c r="B127" s="123" t="s">
        <v>49</v>
      </c>
      <c r="C127" s="122" t="s">
        <v>213</v>
      </c>
      <c r="D127" s="118" t="s">
        <v>215</v>
      </c>
      <c r="E127" s="98"/>
      <c r="F127" s="99">
        <f>VLOOKUP(D127,'Dec 2012 Revenue'!D:T,17,FALSE)</f>
        <v>0</v>
      </c>
      <c r="G127" s="100"/>
      <c r="H127" s="100"/>
      <c r="I127" s="125">
        <v>367.14</v>
      </c>
      <c r="J127" s="102">
        <f t="shared" ref="J127:J190" si="28">SUM(E127:I127)</f>
        <v>367.14</v>
      </c>
      <c r="K127" s="103"/>
      <c r="L127" s="104"/>
      <c r="M127" s="105"/>
      <c r="N127" s="103">
        <v>0</v>
      </c>
      <c r="O127" s="106"/>
      <c r="P127" s="103">
        <v>0</v>
      </c>
      <c r="Q127" s="107">
        <f t="shared" si="1"/>
        <v>0</v>
      </c>
      <c r="R127" s="108">
        <v>0</v>
      </c>
      <c r="S127" s="119"/>
      <c r="T127" s="110">
        <f t="shared" si="27"/>
        <v>0</v>
      </c>
      <c r="U127" s="103"/>
      <c r="V127" s="112">
        <f t="shared" si="17"/>
        <v>0</v>
      </c>
      <c r="W127" s="112">
        <f t="shared" si="18"/>
        <v>0</v>
      </c>
      <c r="X127" s="113">
        <f t="shared" si="19"/>
        <v>0</v>
      </c>
      <c r="Y127" s="113">
        <v>0</v>
      </c>
      <c r="Z127" s="114">
        <v>0</v>
      </c>
      <c r="AA127" s="11">
        <f t="shared" si="20"/>
        <v>0</v>
      </c>
      <c r="AB127" s="115">
        <f t="shared" si="21"/>
        <v>367.14</v>
      </c>
      <c r="AC127" s="115">
        <f t="shared" si="22"/>
        <v>0</v>
      </c>
      <c r="AD127" s="115">
        <f t="shared" si="23"/>
        <v>0</v>
      </c>
      <c r="AE127" s="11"/>
      <c r="AF127" s="115">
        <f t="shared" si="24"/>
        <v>0</v>
      </c>
      <c r="AG127" s="115">
        <f t="shared" si="25"/>
        <v>0</v>
      </c>
      <c r="AH127" s="115">
        <f t="shared" si="26"/>
        <v>0</v>
      </c>
      <c r="AJ127" s="11">
        <f t="shared" si="16"/>
        <v>367.14</v>
      </c>
    </row>
    <row r="128" spans="1:36" s="124" customFormat="1">
      <c r="A128" s="123"/>
      <c r="B128" s="123" t="s">
        <v>49</v>
      </c>
      <c r="C128" s="122" t="s">
        <v>213</v>
      </c>
      <c r="D128" s="118" t="s">
        <v>216</v>
      </c>
      <c r="E128" s="98"/>
      <c r="F128" s="99">
        <f>VLOOKUP(D128,'Dec 2012 Revenue'!D:T,17,FALSE)</f>
        <v>0</v>
      </c>
      <c r="G128" s="100"/>
      <c r="H128" s="100"/>
      <c r="I128" s="125">
        <v>51.56</v>
      </c>
      <c r="J128" s="102">
        <f t="shared" si="28"/>
        <v>51.56</v>
      </c>
      <c r="K128" s="103"/>
      <c r="L128" s="104"/>
      <c r="M128" s="105"/>
      <c r="N128" s="103">
        <v>0</v>
      </c>
      <c r="O128" s="106"/>
      <c r="P128" s="103">
        <v>0</v>
      </c>
      <c r="Q128" s="107">
        <f t="shared" si="1"/>
        <v>0</v>
      </c>
      <c r="R128" s="108">
        <v>0</v>
      </c>
      <c r="S128" s="119"/>
      <c r="T128" s="110">
        <f t="shared" si="27"/>
        <v>0</v>
      </c>
      <c r="U128" s="103"/>
      <c r="V128" s="112">
        <f t="shared" si="17"/>
        <v>0</v>
      </c>
      <c r="W128" s="112">
        <f t="shared" si="18"/>
        <v>0</v>
      </c>
      <c r="X128" s="113">
        <f t="shared" si="19"/>
        <v>0</v>
      </c>
      <c r="Y128" s="113">
        <v>0</v>
      </c>
      <c r="Z128" s="114">
        <v>0</v>
      </c>
      <c r="AA128" s="11">
        <f t="shared" si="20"/>
        <v>0</v>
      </c>
      <c r="AB128" s="115">
        <f t="shared" si="21"/>
        <v>51.56</v>
      </c>
      <c r="AC128" s="115">
        <f t="shared" si="22"/>
        <v>0</v>
      </c>
      <c r="AD128" s="115">
        <f t="shared" si="23"/>
        <v>0</v>
      </c>
      <c r="AE128" s="11"/>
      <c r="AF128" s="115">
        <f t="shared" si="24"/>
        <v>0</v>
      </c>
      <c r="AG128" s="115">
        <f t="shared" si="25"/>
        <v>0</v>
      </c>
      <c r="AH128" s="115">
        <f t="shared" si="26"/>
        <v>0</v>
      </c>
      <c r="AJ128" s="11">
        <f t="shared" si="16"/>
        <v>51.56</v>
      </c>
    </row>
    <row r="129" spans="1:36" s="124" customFormat="1">
      <c r="A129" s="123"/>
      <c r="B129" s="123" t="s">
        <v>49</v>
      </c>
      <c r="C129" s="122" t="s">
        <v>213</v>
      </c>
      <c r="D129" s="118" t="s">
        <v>217</v>
      </c>
      <c r="E129" s="98"/>
      <c r="F129" s="99">
        <f>VLOOKUP(D129,'Dec 2012 Revenue'!D:T,17,FALSE)</f>
        <v>0</v>
      </c>
      <c r="G129" s="100"/>
      <c r="H129" s="100"/>
      <c r="I129" s="125">
        <v>15.82</v>
      </c>
      <c r="J129" s="102">
        <f t="shared" si="28"/>
        <v>15.82</v>
      </c>
      <c r="K129" s="103"/>
      <c r="L129" s="104"/>
      <c r="M129" s="105"/>
      <c r="N129" s="103">
        <v>0</v>
      </c>
      <c r="O129" s="106"/>
      <c r="P129" s="103">
        <v>0</v>
      </c>
      <c r="Q129" s="107">
        <f t="shared" si="1"/>
        <v>0</v>
      </c>
      <c r="R129" s="108">
        <v>0</v>
      </c>
      <c r="S129" s="119"/>
      <c r="T129" s="110">
        <f t="shared" si="27"/>
        <v>0</v>
      </c>
      <c r="U129" s="103"/>
      <c r="V129" s="112">
        <f t="shared" si="17"/>
        <v>0</v>
      </c>
      <c r="W129" s="112">
        <f t="shared" si="18"/>
        <v>0</v>
      </c>
      <c r="X129" s="113">
        <f t="shared" si="19"/>
        <v>0</v>
      </c>
      <c r="Y129" s="113">
        <v>0</v>
      </c>
      <c r="Z129" s="114">
        <v>0</v>
      </c>
      <c r="AA129" s="11">
        <f t="shared" si="20"/>
        <v>0</v>
      </c>
      <c r="AB129" s="115">
        <f t="shared" si="21"/>
        <v>15.82</v>
      </c>
      <c r="AC129" s="115">
        <f t="shared" si="22"/>
        <v>0</v>
      </c>
      <c r="AD129" s="115">
        <f t="shared" si="23"/>
        <v>0</v>
      </c>
      <c r="AE129" s="11"/>
      <c r="AF129" s="115">
        <f t="shared" si="24"/>
        <v>0</v>
      </c>
      <c r="AG129" s="115">
        <f t="shared" si="25"/>
        <v>0</v>
      </c>
      <c r="AH129" s="115">
        <f t="shared" si="26"/>
        <v>0</v>
      </c>
      <c r="AJ129" s="11">
        <f t="shared" si="16"/>
        <v>15.82</v>
      </c>
    </row>
    <row r="130" spans="1:36" s="124" customFormat="1">
      <c r="A130" s="123"/>
      <c r="B130" s="123" t="s">
        <v>49</v>
      </c>
      <c r="C130" s="122" t="s">
        <v>213</v>
      </c>
      <c r="D130" s="118" t="s">
        <v>218</v>
      </c>
      <c r="E130" s="98"/>
      <c r="F130" s="99">
        <f>VLOOKUP(D130,'Dec 2012 Revenue'!D:T,17,FALSE)</f>
        <v>0</v>
      </c>
      <c r="G130" s="100"/>
      <c r="H130" s="100"/>
      <c r="I130" s="125">
        <v>101.48</v>
      </c>
      <c r="J130" s="102">
        <f t="shared" si="28"/>
        <v>101.48</v>
      </c>
      <c r="K130" s="103"/>
      <c r="L130" s="104"/>
      <c r="M130" s="105"/>
      <c r="N130" s="103">
        <v>0</v>
      </c>
      <c r="O130" s="106"/>
      <c r="P130" s="103">
        <v>0</v>
      </c>
      <c r="Q130" s="107">
        <f t="shared" si="1"/>
        <v>0</v>
      </c>
      <c r="R130" s="108">
        <v>0</v>
      </c>
      <c r="S130" s="119"/>
      <c r="T130" s="110">
        <f t="shared" si="27"/>
        <v>0</v>
      </c>
      <c r="U130" s="103"/>
      <c r="V130" s="112">
        <f t="shared" si="17"/>
        <v>0</v>
      </c>
      <c r="W130" s="112">
        <f t="shared" si="18"/>
        <v>0</v>
      </c>
      <c r="X130" s="113">
        <f t="shared" si="19"/>
        <v>0</v>
      </c>
      <c r="Y130" s="113">
        <v>0</v>
      </c>
      <c r="Z130" s="114">
        <v>0</v>
      </c>
      <c r="AA130" s="11">
        <f t="shared" si="20"/>
        <v>0</v>
      </c>
      <c r="AB130" s="115">
        <f t="shared" si="21"/>
        <v>101.48</v>
      </c>
      <c r="AC130" s="115">
        <f t="shared" si="22"/>
        <v>0</v>
      </c>
      <c r="AD130" s="115">
        <f t="shared" si="23"/>
        <v>0</v>
      </c>
      <c r="AE130" s="11"/>
      <c r="AF130" s="115">
        <f t="shared" si="24"/>
        <v>0</v>
      </c>
      <c r="AG130" s="115">
        <f t="shared" si="25"/>
        <v>0</v>
      </c>
      <c r="AH130" s="115">
        <f t="shared" si="26"/>
        <v>0</v>
      </c>
      <c r="AJ130" s="11">
        <f t="shared" si="16"/>
        <v>101.48</v>
      </c>
    </row>
    <row r="131" spans="1:36" s="124" customFormat="1">
      <c r="A131" s="123"/>
      <c r="B131" s="123" t="s">
        <v>49</v>
      </c>
      <c r="C131" s="122" t="s">
        <v>213</v>
      </c>
      <c r="D131" s="118" t="s">
        <v>219</v>
      </c>
      <c r="E131" s="98"/>
      <c r="F131" s="99">
        <f>VLOOKUP(D131,'Dec 2012 Revenue'!D:T,17,FALSE)</f>
        <v>0</v>
      </c>
      <c r="G131" s="100"/>
      <c r="H131" s="100"/>
      <c r="I131" s="125">
        <v>4.87</v>
      </c>
      <c r="J131" s="102">
        <f t="shared" si="28"/>
        <v>4.87</v>
      </c>
      <c r="K131" s="103"/>
      <c r="L131" s="104"/>
      <c r="M131" s="105"/>
      <c r="N131" s="103">
        <v>0</v>
      </c>
      <c r="O131" s="106"/>
      <c r="P131" s="103">
        <v>0</v>
      </c>
      <c r="Q131" s="107">
        <f t="shared" si="1"/>
        <v>0</v>
      </c>
      <c r="R131" s="108">
        <v>0</v>
      </c>
      <c r="S131" s="119"/>
      <c r="T131" s="110">
        <f t="shared" si="27"/>
        <v>0</v>
      </c>
      <c r="U131" s="103"/>
      <c r="V131" s="112">
        <f t="shared" si="17"/>
        <v>0</v>
      </c>
      <c r="W131" s="112">
        <f t="shared" si="18"/>
        <v>0</v>
      </c>
      <c r="X131" s="113">
        <f t="shared" si="19"/>
        <v>0</v>
      </c>
      <c r="Y131" s="113">
        <v>0</v>
      </c>
      <c r="Z131" s="114">
        <v>0</v>
      </c>
      <c r="AA131" s="11">
        <f t="shared" si="20"/>
        <v>0</v>
      </c>
      <c r="AB131" s="115">
        <f t="shared" si="21"/>
        <v>4.87</v>
      </c>
      <c r="AC131" s="115">
        <f t="shared" si="22"/>
        <v>0</v>
      </c>
      <c r="AD131" s="115">
        <f t="shared" si="23"/>
        <v>0</v>
      </c>
      <c r="AE131" s="11"/>
      <c r="AF131" s="115">
        <f t="shared" si="24"/>
        <v>0</v>
      </c>
      <c r="AG131" s="115">
        <f t="shared" si="25"/>
        <v>0</v>
      </c>
      <c r="AH131" s="115">
        <f t="shared" si="26"/>
        <v>0</v>
      </c>
      <c r="AJ131" s="11">
        <f t="shared" si="16"/>
        <v>4.87</v>
      </c>
    </row>
    <row r="132" spans="1:36" s="124" customFormat="1">
      <c r="A132" s="123"/>
      <c r="B132" s="123" t="s">
        <v>49</v>
      </c>
      <c r="C132" s="122" t="s">
        <v>213</v>
      </c>
      <c r="D132" s="118" t="s">
        <v>220</v>
      </c>
      <c r="E132" s="98"/>
      <c r="F132" s="99">
        <f>VLOOKUP(D132,'Dec 2012 Revenue'!D:T,17,FALSE)</f>
        <v>0</v>
      </c>
      <c r="G132" s="100"/>
      <c r="H132" s="100"/>
      <c r="I132" s="125">
        <f>1033.08+245.2+127.37</f>
        <v>1405.65</v>
      </c>
      <c r="J132" s="102">
        <f t="shared" si="28"/>
        <v>1405.65</v>
      </c>
      <c r="K132" s="103"/>
      <c r="L132" s="104"/>
      <c r="M132" s="105"/>
      <c r="N132" s="103">
        <v>0</v>
      </c>
      <c r="O132" s="106"/>
      <c r="P132" s="103">
        <v>0</v>
      </c>
      <c r="Q132" s="107">
        <f t="shared" si="1"/>
        <v>0</v>
      </c>
      <c r="R132" s="108">
        <v>0</v>
      </c>
      <c r="S132" s="119"/>
      <c r="T132" s="110">
        <f t="shared" si="27"/>
        <v>0</v>
      </c>
      <c r="U132" s="103"/>
      <c r="V132" s="112">
        <f t="shared" si="17"/>
        <v>0</v>
      </c>
      <c r="W132" s="112">
        <f t="shared" si="18"/>
        <v>0</v>
      </c>
      <c r="X132" s="113">
        <f t="shared" si="19"/>
        <v>0</v>
      </c>
      <c r="Y132" s="113">
        <v>0</v>
      </c>
      <c r="Z132" s="114">
        <v>0</v>
      </c>
      <c r="AA132" s="11">
        <f t="shared" si="20"/>
        <v>0</v>
      </c>
      <c r="AB132" s="115">
        <f t="shared" si="21"/>
        <v>1405.65</v>
      </c>
      <c r="AC132" s="115">
        <f t="shared" si="22"/>
        <v>0</v>
      </c>
      <c r="AD132" s="115">
        <f t="shared" si="23"/>
        <v>0</v>
      </c>
      <c r="AE132" s="11"/>
      <c r="AF132" s="115">
        <f t="shared" si="24"/>
        <v>0</v>
      </c>
      <c r="AG132" s="115">
        <f t="shared" si="25"/>
        <v>0</v>
      </c>
      <c r="AH132" s="115">
        <f t="shared" si="26"/>
        <v>0</v>
      </c>
      <c r="AJ132" s="11">
        <f t="shared" si="16"/>
        <v>1405.65</v>
      </c>
    </row>
    <row r="133" spans="1:36" s="124" customFormat="1">
      <c r="A133" s="123"/>
      <c r="B133" s="123" t="s">
        <v>49</v>
      </c>
      <c r="C133" s="122" t="s">
        <v>213</v>
      </c>
      <c r="D133" s="118" t="s">
        <v>221</v>
      </c>
      <c r="E133" s="98"/>
      <c r="F133" s="99">
        <f>VLOOKUP(D133,'Dec 2012 Revenue'!D:T,17,FALSE)</f>
        <v>0</v>
      </c>
      <c r="G133" s="100"/>
      <c r="H133" s="100"/>
      <c r="I133" s="125">
        <v>387.93</v>
      </c>
      <c r="J133" s="102">
        <f t="shared" si="28"/>
        <v>387.93</v>
      </c>
      <c r="K133" s="103"/>
      <c r="L133" s="104"/>
      <c r="M133" s="105"/>
      <c r="N133" s="103">
        <v>0</v>
      </c>
      <c r="O133" s="106"/>
      <c r="P133" s="103">
        <v>0</v>
      </c>
      <c r="Q133" s="107">
        <f t="shared" si="1"/>
        <v>0</v>
      </c>
      <c r="R133" s="108">
        <v>0</v>
      </c>
      <c r="S133" s="119"/>
      <c r="T133" s="110">
        <f t="shared" si="27"/>
        <v>0</v>
      </c>
      <c r="U133" s="103"/>
      <c r="V133" s="112">
        <f t="shared" si="17"/>
        <v>0</v>
      </c>
      <c r="W133" s="112">
        <f t="shared" si="18"/>
        <v>0</v>
      </c>
      <c r="X133" s="113">
        <f t="shared" si="19"/>
        <v>0</v>
      </c>
      <c r="Y133" s="113">
        <v>0</v>
      </c>
      <c r="Z133" s="114">
        <v>0</v>
      </c>
      <c r="AA133" s="11">
        <f t="shared" si="20"/>
        <v>0</v>
      </c>
      <c r="AB133" s="115">
        <f t="shared" si="21"/>
        <v>387.93</v>
      </c>
      <c r="AC133" s="115">
        <f t="shared" si="22"/>
        <v>0</v>
      </c>
      <c r="AD133" s="115">
        <f t="shared" si="23"/>
        <v>0</v>
      </c>
      <c r="AE133" s="11"/>
      <c r="AF133" s="115">
        <f t="shared" si="24"/>
        <v>0</v>
      </c>
      <c r="AG133" s="115">
        <f t="shared" si="25"/>
        <v>0</v>
      </c>
      <c r="AH133" s="115">
        <f t="shared" si="26"/>
        <v>0</v>
      </c>
      <c r="AJ133" s="11">
        <f t="shared" si="16"/>
        <v>387.93</v>
      </c>
    </row>
    <row r="134" spans="1:36" s="124" customFormat="1">
      <c r="A134" s="123"/>
      <c r="B134" s="123" t="s">
        <v>46</v>
      </c>
      <c r="C134" s="122" t="s">
        <v>213</v>
      </c>
      <c r="D134" s="118" t="s">
        <v>222</v>
      </c>
      <c r="E134" s="98"/>
      <c r="F134" s="99">
        <f>VLOOKUP(D134,'Dec 2012 Revenue'!D:T,17,FALSE)</f>
        <v>0</v>
      </c>
      <c r="G134" s="100"/>
      <c r="H134" s="100"/>
      <c r="I134" s="101"/>
      <c r="J134" s="102">
        <f t="shared" si="28"/>
        <v>0</v>
      </c>
      <c r="K134" s="103"/>
      <c r="L134" s="104"/>
      <c r="M134" s="105"/>
      <c r="N134" s="103">
        <v>0</v>
      </c>
      <c r="O134" s="106"/>
      <c r="P134" s="103">
        <v>0</v>
      </c>
      <c r="Q134" s="107">
        <f t="shared" si="1"/>
        <v>0</v>
      </c>
      <c r="R134" s="108">
        <v>0</v>
      </c>
      <c r="S134" s="119"/>
      <c r="T134" s="110">
        <f t="shared" si="27"/>
        <v>0</v>
      </c>
      <c r="U134" s="103"/>
      <c r="V134" s="112">
        <f t="shared" si="17"/>
        <v>0</v>
      </c>
      <c r="W134" s="112">
        <f t="shared" si="18"/>
        <v>0</v>
      </c>
      <c r="X134" s="113">
        <f t="shared" si="19"/>
        <v>0</v>
      </c>
      <c r="Y134" s="113">
        <v>0</v>
      </c>
      <c r="Z134" s="114">
        <v>0</v>
      </c>
      <c r="AA134" s="11">
        <f t="shared" si="20"/>
        <v>0</v>
      </c>
      <c r="AB134" s="115">
        <f t="shared" si="21"/>
        <v>0</v>
      </c>
      <c r="AC134" s="115">
        <f t="shared" si="22"/>
        <v>0</v>
      </c>
      <c r="AD134" s="115">
        <f t="shared" si="23"/>
        <v>0</v>
      </c>
      <c r="AE134" s="11"/>
      <c r="AF134" s="115">
        <f t="shared" si="24"/>
        <v>0</v>
      </c>
      <c r="AG134" s="115">
        <f t="shared" si="25"/>
        <v>0</v>
      </c>
      <c r="AH134" s="115">
        <f t="shared" si="26"/>
        <v>0</v>
      </c>
      <c r="AJ134" s="11">
        <f t="shared" si="16"/>
        <v>0</v>
      </c>
    </row>
    <row r="135" spans="1:36" s="124" customFormat="1">
      <c r="A135" s="123"/>
      <c r="B135" s="116" t="s">
        <v>46</v>
      </c>
      <c r="C135" s="122"/>
      <c r="D135" s="120" t="s">
        <v>223</v>
      </c>
      <c r="E135" s="98">
        <v>5442.49</v>
      </c>
      <c r="F135" s="99">
        <f>VLOOKUP(D135,'Dec 2012 Revenue'!D:T,17,FALSE)</f>
        <v>-15000</v>
      </c>
      <c r="G135" s="100"/>
      <c r="H135" s="100"/>
      <c r="I135" s="101"/>
      <c r="J135" s="102">
        <f t="shared" si="28"/>
        <v>-9557.51</v>
      </c>
      <c r="K135" s="103"/>
      <c r="L135" s="104"/>
      <c r="M135" s="105">
        <v>17000</v>
      </c>
      <c r="N135" s="103">
        <v>0</v>
      </c>
      <c r="O135" s="106"/>
      <c r="P135" s="103">
        <v>0</v>
      </c>
      <c r="Q135" s="107">
        <f t="shared" si="1"/>
        <v>17000</v>
      </c>
      <c r="R135" s="108">
        <v>0</v>
      </c>
      <c r="S135" s="119"/>
      <c r="T135" s="110">
        <f t="shared" si="27"/>
        <v>-17000</v>
      </c>
      <c r="U135" s="103"/>
      <c r="V135" s="112">
        <f t="shared" si="17"/>
        <v>0</v>
      </c>
      <c r="W135" s="112">
        <f t="shared" si="18"/>
        <v>17000</v>
      </c>
      <c r="X135" s="113">
        <f t="shared" si="19"/>
        <v>0</v>
      </c>
      <c r="Y135" s="113">
        <v>0</v>
      </c>
      <c r="Z135" s="114">
        <v>0</v>
      </c>
      <c r="AA135" s="11">
        <f t="shared" si="20"/>
        <v>0</v>
      </c>
      <c r="AB135" s="115">
        <f t="shared" si="21"/>
        <v>0</v>
      </c>
      <c r="AC135" s="115">
        <f t="shared" si="22"/>
        <v>-9557.51</v>
      </c>
      <c r="AD135" s="115">
        <f t="shared" si="23"/>
        <v>0</v>
      </c>
      <c r="AE135" s="11"/>
      <c r="AF135" s="115">
        <f t="shared" si="24"/>
        <v>0</v>
      </c>
      <c r="AG135" s="115">
        <f t="shared" si="25"/>
        <v>17000</v>
      </c>
      <c r="AH135" s="115">
        <f t="shared" si="26"/>
        <v>0</v>
      </c>
      <c r="AJ135" s="11">
        <f t="shared" si="16"/>
        <v>7442.49</v>
      </c>
    </row>
    <row r="136" spans="1:36">
      <c r="A136" s="129"/>
      <c r="B136" s="129" t="s">
        <v>49</v>
      </c>
      <c r="C136" s="96" t="s">
        <v>224</v>
      </c>
      <c r="D136" s="120" t="s">
        <v>225</v>
      </c>
      <c r="E136" s="98"/>
      <c r="F136" s="99">
        <f>VLOOKUP(D136,'Dec 2012 Revenue'!D:T,17,FALSE)</f>
        <v>-100000</v>
      </c>
      <c r="G136" s="100"/>
      <c r="H136" s="100"/>
      <c r="I136" s="101"/>
      <c r="J136" s="102">
        <f t="shared" si="28"/>
        <v>-100000</v>
      </c>
      <c r="K136" s="103"/>
      <c r="L136" s="104"/>
      <c r="M136" s="105">
        <v>200000</v>
      </c>
      <c r="N136" s="103">
        <v>0</v>
      </c>
      <c r="O136" s="106"/>
      <c r="P136" s="103">
        <v>0</v>
      </c>
      <c r="Q136" s="107">
        <f t="shared" si="1"/>
        <v>200000</v>
      </c>
      <c r="R136" s="108">
        <f>119585.49-R137</f>
        <v>112316.59000000001</v>
      </c>
      <c r="S136" s="119"/>
      <c r="T136" s="110">
        <f t="shared" si="27"/>
        <v>-87683.409999999989</v>
      </c>
      <c r="U136" s="103"/>
      <c r="V136" s="112">
        <f t="shared" si="17"/>
        <v>200000</v>
      </c>
      <c r="W136" s="112">
        <f t="shared" si="18"/>
        <v>0</v>
      </c>
      <c r="X136" s="113">
        <f t="shared" si="19"/>
        <v>0</v>
      </c>
      <c r="Y136" s="113">
        <v>0</v>
      </c>
      <c r="Z136" s="114">
        <v>0</v>
      </c>
      <c r="AA136" s="11">
        <f t="shared" si="20"/>
        <v>0</v>
      </c>
      <c r="AB136" s="115">
        <f t="shared" si="21"/>
        <v>-100000</v>
      </c>
      <c r="AC136" s="115">
        <f t="shared" si="22"/>
        <v>0</v>
      </c>
      <c r="AD136" s="115">
        <f t="shared" si="23"/>
        <v>0</v>
      </c>
      <c r="AE136" s="11"/>
      <c r="AF136" s="115">
        <f t="shared" si="24"/>
        <v>200000</v>
      </c>
      <c r="AG136" s="115">
        <f t="shared" si="25"/>
        <v>0</v>
      </c>
      <c r="AH136" s="115">
        <f t="shared" si="26"/>
        <v>0</v>
      </c>
      <c r="AJ136" s="11">
        <f t="shared" si="16"/>
        <v>100000</v>
      </c>
    </row>
    <row r="137" spans="1:36" s="141" customFormat="1">
      <c r="A137" s="129"/>
      <c r="B137" s="129" t="s">
        <v>49</v>
      </c>
      <c r="C137" s="96" t="s">
        <v>224</v>
      </c>
      <c r="D137" s="120" t="s">
        <v>226</v>
      </c>
      <c r="E137" s="98"/>
      <c r="F137" s="99">
        <f>VLOOKUP(D137,'Dec 2012 Revenue'!D:T,17,FALSE)</f>
        <v>-10000</v>
      </c>
      <c r="G137" s="100"/>
      <c r="H137" s="100"/>
      <c r="I137" s="101"/>
      <c r="J137" s="102">
        <f t="shared" si="28"/>
        <v>-10000</v>
      </c>
      <c r="K137" s="103"/>
      <c r="L137" s="104"/>
      <c r="M137" s="105">
        <v>20000</v>
      </c>
      <c r="N137" s="103">
        <v>0</v>
      </c>
      <c r="O137" s="106"/>
      <c r="P137" s="103">
        <v>0</v>
      </c>
      <c r="Q137" s="107">
        <f t="shared" si="1"/>
        <v>20000</v>
      </c>
      <c r="R137" s="108">
        <v>7268.9</v>
      </c>
      <c r="S137" s="119"/>
      <c r="T137" s="110">
        <f t="shared" si="27"/>
        <v>-12731.1</v>
      </c>
      <c r="U137" s="103"/>
      <c r="V137" s="112">
        <f t="shared" si="17"/>
        <v>20000</v>
      </c>
      <c r="W137" s="112">
        <f t="shared" si="18"/>
        <v>0</v>
      </c>
      <c r="X137" s="113">
        <f t="shared" si="19"/>
        <v>0</v>
      </c>
      <c r="Y137" s="113">
        <v>0</v>
      </c>
      <c r="Z137" s="114">
        <v>0</v>
      </c>
      <c r="AA137" s="11">
        <f t="shared" si="20"/>
        <v>0</v>
      </c>
      <c r="AB137" s="115">
        <f t="shared" si="21"/>
        <v>-10000</v>
      </c>
      <c r="AC137" s="115">
        <f t="shared" si="22"/>
        <v>0</v>
      </c>
      <c r="AD137" s="115">
        <f t="shared" si="23"/>
        <v>0</v>
      </c>
      <c r="AE137" s="11"/>
      <c r="AF137" s="115">
        <f t="shared" si="24"/>
        <v>20000</v>
      </c>
      <c r="AG137" s="115">
        <f t="shared" si="25"/>
        <v>0</v>
      </c>
      <c r="AH137" s="115">
        <f t="shared" si="26"/>
        <v>0</v>
      </c>
      <c r="AJ137" s="11">
        <f t="shared" si="16"/>
        <v>10000</v>
      </c>
    </row>
    <row r="138" spans="1:36" s="141" customFormat="1">
      <c r="A138" s="129"/>
      <c r="B138" s="129" t="s">
        <v>81</v>
      </c>
      <c r="C138" s="128" t="s">
        <v>227</v>
      </c>
      <c r="D138" s="120" t="s">
        <v>228</v>
      </c>
      <c r="E138" s="98"/>
      <c r="F138" s="99">
        <f>VLOOKUP(D138,'Dec 2012 Revenue'!D:T,17,FALSE)</f>
        <v>0</v>
      </c>
      <c r="G138" s="100"/>
      <c r="H138" s="100"/>
      <c r="I138" s="125">
        <v>8601.4699999999993</v>
      </c>
      <c r="J138" s="102">
        <f t="shared" si="28"/>
        <v>8601.4699999999993</v>
      </c>
      <c r="K138" s="103"/>
      <c r="L138" s="104"/>
      <c r="M138" s="105"/>
      <c r="N138" s="103">
        <v>0</v>
      </c>
      <c r="O138" s="106"/>
      <c r="P138" s="103">
        <v>0</v>
      </c>
      <c r="Q138" s="107">
        <f t="shared" ref="Q138:Q203" si="29">L138+M138</f>
        <v>0</v>
      </c>
      <c r="R138" s="108">
        <v>0</v>
      </c>
      <c r="S138" s="119"/>
      <c r="T138" s="110">
        <f t="shared" si="27"/>
        <v>0</v>
      </c>
      <c r="U138" s="103"/>
      <c r="V138" s="112">
        <f t="shared" si="17"/>
        <v>0</v>
      </c>
      <c r="W138" s="112">
        <f t="shared" si="18"/>
        <v>0</v>
      </c>
      <c r="X138" s="113">
        <f t="shared" si="19"/>
        <v>0</v>
      </c>
      <c r="Y138" s="113">
        <v>0</v>
      </c>
      <c r="Z138" s="114">
        <v>0</v>
      </c>
      <c r="AA138" s="11">
        <f t="shared" si="20"/>
        <v>0</v>
      </c>
      <c r="AB138" s="115">
        <f t="shared" si="21"/>
        <v>0</v>
      </c>
      <c r="AC138" s="115">
        <f t="shared" si="22"/>
        <v>0</v>
      </c>
      <c r="AD138" s="115">
        <f t="shared" si="23"/>
        <v>8601.4699999999993</v>
      </c>
      <c r="AE138" s="11"/>
      <c r="AF138" s="115">
        <f t="shared" si="24"/>
        <v>0</v>
      </c>
      <c r="AG138" s="115">
        <f t="shared" si="25"/>
        <v>0</v>
      </c>
      <c r="AH138" s="115">
        <f t="shared" si="26"/>
        <v>0</v>
      </c>
      <c r="AJ138" s="11">
        <f t="shared" si="16"/>
        <v>8601.4699999999993</v>
      </c>
    </row>
    <row r="139" spans="1:36">
      <c r="A139" s="129"/>
      <c r="B139" s="129" t="s">
        <v>46</v>
      </c>
      <c r="C139" s="96"/>
      <c r="D139" s="120" t="s">
        <v>229</v>
      </c>
      <c r="E139" s="98"/>
      <c r="F139" s="99">
        <f>VLOOKUP(D139,'Dec 2012 Revenue'!D:T,17,FALSE)</f>
        <v>7.56</v>
      </c>
      <c r="G139" s="100"/>
      <c r="H139" s="100"/>
      <c r="I139" s="101"/>
      <c r="J139" s="102">
        <f t="shared" si="28"/>
        <v>7.56</v>
      </c>
      <c r="K139" s="103"/>
      <c r="L139" s="104"/>
      <c r="M139" s="105"/>
      <c r="N139" s="103">
        <v>0</v>
      </c>
      <c r="O139" s="106"/>
      <c r="P139" s="103">
        <v>0</v>
      </c>
      <c r="Q139" s="107">
        <f t="shared" si="29"/>
        <v>0</v>
      </c>
      <c r="R139" s="108">
        <v>0</v>
      </c>
      <c r="S139" s="119"/>
      <c r="T139" s="110">
        <f t="shared" si="27"/>
        <v>0</v>
      </c>
      <c r="U139" s="103"/>
      <c r="V139" s="112">
        <f t="shared" si="17"/>
        <v>0</v>
      </c>
      <c r="W139" s="112">
        <f t="shared" si="18"/>
        <v>0</v>
      </c>
      <c r="X139" s="113">
        <f t="shared" si="19"/>
        <v>0</v>
      </c>
      <c r="Y139" s="113">
        <v>0</v>
      </c>
      <c r="Z139" s="114">
        <v>0</v>
      </c>
      <c r="AA139" s="11">
        <f t="shared" si="20"/>
        <v>0</v>
      </c>
      <c r="AB139" s="115">
        <f t="shared" si="21"/>
        <v>0</v>
      </c>
      <c r="AC139" s="115">
        <f t="shared" si="22"/>
        <v>7.56</v>
      </c>
      <c r="AD139" s="115">
        <f t="shared" si="23"/>
        <v>0</v>
      </c>
      <c r="AE139" s="11"/>
      <c r="AF139" s="115">
        <f t="shared" si="24"/>
        <v>0</v>
      </c>
      <c r="AG139" s="115">
        <f t="shared" si="25"/>
        <v>0</v>
      </c>
      <c r="AH139" s="115">
        <f t="shared" si="26"/>
        <v>0</v>
      </c>
      <c r="AJ139" s="11">
        <f t="shared" si="16"/>
        <v>7.56</v>
      </c>
    </row>
    <row r="140" spans="1:36">
      <c r="A140" s="116"/>
      <c r="B140" s="116" t="s">
        <v>46</v>
      </c>
      <c r="C140" s="122" t="s">
        <v>230</v>
      </c>
      <c r="D140" s="120" t="s">
        <v>231</v>
      </c>
      <c r="E140" s="98"/>
      <c r="F140" s="99">
        <f>VLOOKUP(D140,'Dec 2012 Revenue'!D:T,17,FALSE)</f>
        <v>0</v>
      </c>
      <c r="G140" s="100"/>
      <c r="H140" s="100"/>
      <c r="I140" s="101"/>
      <c r="J140" s="102">
        <f t="shared" si="28"/>
        <v>0</v>
      </c>
      <c r="K140" s="103"/>
      <c r="L140" s="104"/>
      <c r="M140" s="105"/>
      <c r="N140" s="103">
        <v>0</v>
      </c>
      <c r="O140" s="106"/>
      <c r="P140" s="103">
        <v>0</v>
      </c>
      <c r="Q140" s="107">
        <f t="shared" si="29"/>
        <v>0</v>
      </c>
      <c r="R140" s="108">
        <v>0</v>
      </c>
      <c r="S140" s="119"/>
      <c r="T140" s="110">
        <f t="shared" si="27"/>
        <v>0</v>
      </c>
      <c r="U140" s="103"/>
      <c r="V140" s="112">
        <f t="shared" si="17"/>
        <v>0</v>
      </c>
      <c r="W140" s="112">
        <f t="shared" si="18"/>
        <v>0</v>
      </c>
      <c r="X140" s="113">
        <f t="shared" si="19"/>
        <v>0</v>
      </c>
      <c r="Y140" s="113">
        <v>0</v>
      </c>
      <c r="Z140" s="114">
        <v>0</v>
      </c>
      <c r="AA140" s="11">
        <f t="shared" si="20"/>
        <v>0</v>
      </c>
      <c r="AB140" s="115">
        <f t="shared" si="21"/>
        <v>0</v>
      </c>
      <c r="AC140" s="115">
        <f t="shared" si="22"/>
        <v>0</v>
      </c>
      <c r="AD140" s="115">
        <f t="shared" si="23"/>
        <v>0</v>
      </c>
      <c r="AE140" s="11"/>
      <c r="AF140" s="115">
        <f t="shared" si="24"/>
        <v>0</v>
      </c>
      <c r="AG140" s="115">
        <f t="shared" si="25"/>
        <v>0</v>
      </c>
      <c r="AH140" s="115">
        <f t="shared" si="26"/>
        <v>0</v>
      </c>
      <c r="AJ140" s="11">
        <f t="shared" si="16"/>
        <v>0</v>
      </c>
    </row>
    <row r="141" spans="1:36">
      <c r="A141" s="129"/>
      <c r="B141" s="129" t="s">
        <v>49</v>
      </c>
      <c r="C141" s="96"/>
      <c r="D141" s="120" t="s">
        <v>232</v>
      </c>
      <c r="E141" s="98"/>
      <c r="F141" s="99">
        <f>VLOOKUP(D141,'Dec 2012 Revenue'!D:T,17,FALSE)</f>
        <v>0</v>
      </c>
      <c r="G141" s="100"/>
      <c r="H141" s="100"/>
      <c r="I141" s="101"/>
      <c r="J141" s="102">
        <f t="shared" si="28"/>
        <v>0</v>
      </c>
      <c r="K141" s="103"/>
      <c r="L141" s="104"/>
      <c r="M141" s="105"/>
      <c r="N141" s="103">
        <v>0</v>
      </c>
      <c r="O141" s="106"/>
      <c r="P141" s="103">
        <v>0</v>
      </c>
      <c r="Q141" s="107">
        <f t="shared" si="29"/>
        <v>0</v>
      </c>
      <c r="R141" s="108">
        <v>0</v>
      </c>
      <c r="S141" s="119"/>
      <c r="T141" s="110">
        <f t="shared" si="27"/>
        <v>0</v>
      </c>
      <c r="U141" s="103"/>
      <c r="V141" s="112">
        <f t="shared" si="17"/>
        <v>0</v>
      </c>
      <c r="W141" s="112">
        <f t="shared" si="18"/>
        <v>0</v>
      </c>
      <c r="X141" s="113">
        <f t="shared" si="19"/>
        <v>0</v>
      </c>
      <c r="Y141" s="113">
        <v>0</v>
      </c>
      <c r="Z141" s="114">
        <v>0</v>
      </c>
      <c r="AA141" s="11">
        <f t="shared" si="20"/>
        <v>0</v>
      </c>
      <c r="AB141" s="115">
        <f t="shared" si="21"/>
        <v>0</v>
      </c>
      <c r="AC141" s="115">
        <f t="shared" si="22"/>
        <v>0</v>
      </c>
      <c r="AD141" s="115">
        <f t="shared" si="23"/>
        <v>0</v>
      </c>
      <c r="AE141" s="11"/>
      <c r="AF141" s="115">
        <f t="shared" si="24"/>
        <v>0</v>
      </c>
      <c r="AG141" s="115">
        <f t="shared" si="25"/>
        <v>0</v>
      </c>
      <c r="AH141" s="115">
        <f t="shared" si="26"/>
        <v>0</v>
      </c>
      <c r="AJ141" s="11">
        <f t="shared" si="16"/>
        <v>0</v>
      </c>
    </row>
    <row r="142" spans="1:36">
      <c r="A142" s="129"/>
      <c r="B142" s="129" t="s">
        <v>49</v>
      </c>
      <c r="C142" s="96"/>
      <c r="D142" s="120" t="s">
        <v>234</v>
      </c>
      <c r="E142" s="98"/>
      <c r="F142" s="99">
        <f>VLOOKUP(D142,'Dec 2012 Revenue'!D:T,17,FALSE)</f>
        <v>0</v>
      </c>
      <c r="G142" s="100"/>
      <c r="H142" s="100"/>
      <c r="I142" s="101"/>
      <c r="J142" s="102">
        <f t="shared" si="28"/>
        <v>0</v>
      </c>
      <c r="K142" s="103"/>
      <c r="L142" s="104"/>
      <c r="M142" s="105"/>
      <c r="N142" s="103">
        <v>0</v>
      </c>
      <c r="O142" s="106"/>
      <c r="P142" s="103">
        <v>0</v>
      </c>
      <c r="Q142" s="107">
        <f t="shared" si="29"/>
        <v>0</v>
      </c>
      <c r="R142" s="108">
        <v>0</v>
      </c>
      <c r="S142" s="119"/>
      <c r="T142" s="110">
        <f t="shared" si="27"/>
        <v>0</v>
      </c>
      <c r="U142" s="103"/>
      <c r="V142" s="112">
        <f t="shared" si="17"/>
        <v>0</v>
      </c>
      <c r="W142" s="112">
        <f t="shared" si="18"/>
        <v>0</v>
      </c>
      <c r="X142" s="113">
        <f t="shared" si="19"/>
        <v>0</v>
      </c>
      <c r="Y142" s="113">
        <v>0</v>
      </c>
      <c r="Z142" s="114">
        <v>0</v>
      </c>
      <c r="AA142" s="11">
        <f t="shared" si="20"/>
        <v>0</v>
      </c>
      <c r="AB142" s="115">
        <f t="shared" si="21"/>
        <v>0</v>
      </c>
      <c r="AC142" s="115">
        <f t="shared" si="22"/>
        <v>0</v>
      </c>
      <c r="AD142" s="115">
        <f t="shared" si="23"/>
        <v>0</v>
      </c>
      <c r="AE142" s="11"/>
      <c r="AF142" s="115">
        <f t="shared" si="24"/>
        <v>0</v>
      </c>
      <c r="AG142" s="115">
        <f t="shared" si="25"/>
        <v>0</v>
      </c>
      <c r="AH142" s="115">
        <f t="shared" si="26"/>
        <v>0</v>
      </c>
      <c r="AJ142" s="11">
        <f t="shared" ref="AJ142" si="30">SUM(AB142:AH142)</f>
        <v>0</v>
      </c>
    </row>
    <row r="143" spans="1:36">
      <c r="A143" s="129"/>
      <c r="B143" s="129" t="s">
        <v>49</v>
      </c>
      <c r="C143" s="96" t="s">
        <v>235</v>
      </c>
      <c r="D143" s="120" t="s">
        <v>236</v>
      </c>
      <c r="E143" s="98">
        <v>1761.64</v>
      </c>
      <c r="F143" s="99">
        <f>VLOOKUP(D143,'Dec 2012 Revenue'!D:T,17,FALSE)</f>
        <v>-5000</v>
      </c>
      <c r="G143" s="100"/>
      <c r="H143" s="100"/>
      <c r="I143" s="101"/>
      <c r="J143" s="102">
        <f t="shared" si="28"/>
        <v>-3238.3599999999997</v>
      </c>
      <c r="K143" s="103"/>
      <c r="L143" s="104"/>
      <c r="M143" s="105">
        <v>5000</v>
      </c>
      <c r="N143" s="103">
        <v>0</v>
      </c>
      <c r="O143" s="106"/>
      <c r="P143" s="103">
        <v>0</v>
      </c>
      <c r="Q143" s="107">
        <f t="shared" si="29"/>
        <v>5000</v>
      </c>
      <c r="R143" s="108">
        <v>785.71</v>
      </c>
      <c r="S143" s="119"/>
      <c r="T143" s="110">
        <f t="shared" si="27"/>
        <v>-4214.29</v>
      </c>
      <c r="U143" s="103"/>
      <c r="V143" s="112">
        <f t="shared" si="17"/>
        <v>5000</v>
      </c>
      <c r="W143" s="112">
        <f t="shared" si="18"/>
        <v>0</v>
      </c>
      <c r="X143" s="113">
        <f t="shared" si="19"/>
        <v>0</v>
      </c>
      <c r="Y143" s="113">
        <v>0</v>
      </c>
      <c r="Z143" s="114">
        <v>0</v>
      </c>
      <c r="AA143" s="11">
        <f t="shared" si="20"/>
        <v>0</v>
      </c>
      <c r="AB143" s="115">
        <f t="shared" si="21"/>
        <v>-3238.3599999999997</v>
      </c>
      <c r="AC143" s="115">
        <f t="shared" si="22"/>
        <v>0</v>
      </c>
      <c r="AD143" s="115">
        <f t="shared" si="23"/>
        <v>0</v>
      </c>
      <c r="AE143" s="11"/>
      <c r="AF143" s="115">
        <f t="shared" si="24"/>
        <v>5000</v>
      </c>
      <c r="AG143" s="115">
        <f t="shared" si="25"/>
        <v>0</v>
      </c>
      <c r="AH143" s="115">
        <f t="shared" si="26"/>
        <v>0</v>
      </c>
      <c r="AJ143" s="11">
        <f t="shared" si="16"/>
        <v>1761.6400000000003</v>
      </c>
    </row>
    <row r="144" spans="1:36">
      <c r="A144" s="129"/>
      <c r="B144" s="129" t="s">
        <v>81</v>
      </c>
      <c r="C144" s="96" t="s">
        <v>235</v>
      </c>
      <c r="D144" s="120" t="s">
        <v>237</v>
      </c>
      <c r="E144" s="98">
        <v>3.23</v>
      </c>
      <c r="F144" s="99">
        <f>VLOOKUP(D144,'Dec 2012 Revenue'!D:T,17,FALSE)</f>
        <v>0</v>
      </c>
      <c r="G144" s="100"/>
      <c r="H144" s="100"/>
      <c r="I144" s="101"/>
      <c r="J144" s="102">
        <f t="shared" si="28"/>
        <v>3.23</v>
      </c>
      <c r="K144" s="103"/>
      <c r="L144" s="104"/>
      <c r="M144" s="105"/>
      <c r="N144" s="103">
        <v>0</v>
      </c>
      <c r="O144" s="106"/>
      <c r="P144" s="103">
        <v>0</v>
      </c>
      <c r="Q144" s="107">
        <f t="shared" si="29"/>
        <v>0</v>
      </c>
      <c r="R144" s="108">
        <v>10.87</v>
      </c>
      <c r="S144" s="119"/>
      <c r="T144" s="110">
        <f t="shared" si="27"/>
        <v>10.87</v>
      </c>
      <c r="U144" s="103"/>
      <c r="V144" s="112">
        <f t="shared" si="17"/>
        <v>0</v>
      </c>
      <c r="W144" s="112">
        <f t="shared" si="18"/>
        <v>0</v>
      </c>
      <c r="X144" s="113">
        <f t="shared" si="19"/>
        <v>0</v>
      </c>
      <c r="Y144" s="113">
        <v>0</v>
      </c>
      <c r="Z144" s="114">
        <v>0</v>
      </c>
      <c r="AA144" s="11">
        <f t="shared" si="20"/>
        <v>0</v>
      </c>
      <c r="AB144" s="115">
        <f t="shared" ref="AB144:AB209" si="31">IF(B144="D",J144,0)</f>
        <v>0</v>
      </c>
      <c r="AC144" s="115">
        <f t="shared" ref="AC144:AC209" si="32">IF(B144="M",J144,0)</f>
        <v>0</v>
      </c>
      <c r="AD144" s="115">
        <f t="shared" ref="AD144:AD209" si="33">IF(B144="V",J144,0)</f>
        <v>3.23</v>
      </c>
      <c r="AE144" s="11"/>
      <c r="AF144" s="115">
        <f t="shared" si="24"/>
        <v>0</v>
      </c>
      <c r="AG144" s="115">
        <f t="shared" si="25"/>
        <v>0</v>
      </c>
      <c r="AH144" s="115">
        <f t="shared" si="26"/>
        <v>0</v>
      </c>
      <c r="AJ144" s="11">
        <f t="shared" ref="AJ144:AJ207" si="34">SUM(AB144:AH144)</f>
        <v>3.23</v>
      </c>
    </row>
    <row r="145" spans="1:36">
      <c r="A145" s="129"/>
      <c r="B145" s="129" t="s">
        <v>46</v>
      </c>
      <c r="C145" s="96" t="s">
        <v>238</v>
      </c>
      <c r="D145" s="120" t="s">
        <v>239</v>
      </c>
      <c r="E145" s="98"/>
      <c r="F145" s="99">
        <f>VLOOKUP(D145,'Dec 2012 Revenue'!D:T,17,FALSE)</f>
        <v>0</v>
      </c>
      <c r="G145" s="100"/>
      <c r="H145" s="100"/>
      <c r="I145" s="101"/>
      <c r="J145" s="102">
        <f t="shared" si="28"/>
        <v>0</v>
      </c>
      <c r="K145" s="103"/>
      <c r="L145" s="104"/>
      <c r="M145" s="105"/>
      <c r="N145" s="103">
        <v>0</v>
      </c>
      <c r="O145" s="106"/>
      <c r="P145" s="103">
        <v>0</v>
      </c>
      <c r="Q145" s="107">
        <f t="shared" si="29"/>
        <v>0</v>
      </c>
      <c r="R145" s="108">
        <v>1946.3</v>
      </c>
      <c r="S145" s="119"/>
      <c r="T145" s="110">
        <f t="shared" ref="T145:T208" si="35">IF(R145="","",R145-Q145)</f>
        <v>1946.3</v>
      </c>
      <c r="U145" s="103"/>
      <c r="V145" s="112">
        <f t="shared" ref="V145:V208" si="36">IF(B145="D",Q145,0)</f>
        <v>0</v>
      </c>
      <c r="W145" s="112">
        <f t="shared" ref="W145:W208" si="37">IF(B145="M",Q145,0)</f>
        <v>0</v>
      </c>
      <c r="X145" s="113">
        <f t="shared" ref="X145:X208" si="38">IF(B145="V",Q145,0)</f>
        <v>0</v>
      </c>
      <c r="Y145" s="113">
        <v>0</v>
      </c>
      <c r="Z145" s="114">
        <v>0</v>
      </c>
      <c r="AA145" s="11">
        <f t="shared" ref="AA145:AA208" si="39">(L145+M145)-(V145+W145+X145+Y145+Z145)</f>
        <v>0</v>
      </c>
      <c r="AB145" s="115">
        <f t="shared" si="31"/>
        <v>0</v>
      </c>
      <c r="AC145" s="115">
        <f t="shared" si="32"/>
        <v>0</v>
      </c>
      <c r="AD145" s="115">
        <f t="shared" si="33"/>
        <v>0</v>
      </c>
      <c r="AE145" s="11"/>
      <c r="AF145" s="115">
        <f t="shared" si="24"/>
        <v>0</v>
      </c>
      <c r="AG145" s="115">
        <f t="shared" si="25"/>
        <v>0</v>
      </c>
      <c r="AH145" s="115">
        <f t="shared" si="26"/>
        <v>0</v>
      </c>
      <c r="AJ145" s="11">
        <f t="shared" si="34"/>
        <v>0</v>
      </c>
    </row>
    <row r="146" spans="1:36">
      <c r="A146" s="129"/>
      <c r="B146" s="129" t="s">
        <v>46</v>
      </c>
      <c r="C146" s="96" t="s">
        <v>240</v>
      </c>
      <c r="D146" s="120" t="s">
        <v>241</v>
      </c>
      <c r="E146" s="98"/>
      <c r="F146" s="99">
        <f>VLOOKUP(D146,'Dec 2012 Revenue'!D:T,17,FALSE)</f>
        <v>57.19</v>
      </c>
      <c r="G146" s="100"/>
      <c r="H146" s="100"/>
      <c r="I146" s="101"/>
      <c r="J146" s="102">
        <f t="shared" si="28"/>
        <v>57.19</v>
      </c>
      <c r="K146" s="103"/>
      <c r="L146" s="104"/>
      <c r="M146" s="105"/>
      <c r="N146" s="103">
        <v>0</v>
      </c>
      <c r="O146" s="106"/>
      <c r="P146" s="103">
        <v>0</v>
      </c>
      <c r="Q146" s="107">
        <f t="shared" si="29"/>
        <v>0</v>
      </c>
      <c r="R146" s="108">
        <v>108.54</v>
      </c>
      <c r="S146" s="119"/>
      <c r="T146" s="110">
        <f t="shared" si="35"/>
        <v>108.54</v>
      </c>
      <c r="U146" s="103"/>
      <c r="V146" s="112">
        <f t="shared" si="36"/>
        <v>0</v>
      </c>
      <c r="W146" s="112">
        <f t="shared" si="37"/>
        <v>0</v>
      </c>
      <c r="X146" s="113">
        <f t="shared" si="38"/>
        <v>0</v>
      </c>
      <c r="Y146" s="113">
        <v>0</v>
      </c>
      <c r="Z146" s="114">
        <v>0</v>
      </c>
      <c r="AA146" s="11">
        <f t="shared" si="39"/>
        <v>0</v>
      </c>
      <c r="AB146" s="115">
        <f t="shared" si="31"/>
        <v>0</v>
      </c>
      <c r="AC146" s="115">
        <f t="shared" si="32"/>
        <v>57.19</v>
      </c>
      <c r="AD146" s="115">
        <f t="shared" si="33"/>
        <v>0</v>
      </c>
      <c r="AE146" s="11"/>
      <c r="AF146" s="115">
        <f t="shared" ref="AF146:AF209" si="40">IF(B146="D",Q146,0)</f>
        <v>0</v>
      </c>
      <c r="AG146" s="115">
        <f t="shared" ref="AG146:AG209" si="41">IF(B146="M",Q146,0)</f>
        <v>0</v>
      </c>
      <c r="AH146" s="115">
        <f t="shared" ref="AH146:AH209" si="42">IF(B146="V",Q146,0)</f>
        <v>0</v>
      </c>
      <c r="AJ146" s="11">
        <f t="shared" si="34"/>
        <v>57.19</v>
      </c>
    </row>
    <row r="147" spans="1:36" s="124" customFormat="1">
      <c r="A147" s="123"/>
      <c r="B147" s="123" t="s">
        <v>81</v>
      </c>
      <c r="C147" s="122"/>
      <c r="D147" s="281" t="s">
        <v>242</v>
      </c>
      <c r="E147" s="98"/>
      <c r="F147" s="99">
        <f>VLOOKUP(D147,'Dec 2012 Revenue'!D:T,17,FALSE)</f>
        <v>0</v>
      </c>
      <c r="G147" s="100"/>
      <c r="H147" s="100"/>
      <c r="I147" s="125">
        <v>7837.5</v>
      </c>
      <c r="J147" s="102">
        <f t="shared" si="28"/>
        <v>7837.5</v>
      </c>
      <c r="K147" s="103"/>
      <c r="L147" s="104"/>
      <c r="M147" s="105"/>
      <c r="N147" s="103">
        <v>0</v>
      </c>
      <c r="O147" s="106"/>
      <c r="P147" s="103">
        <v>0</v>
      </c>
      <c r="Q147" s="107">
        <f t="shared" si="29"/>
        <v>0</v>
      </c>
      <c r="R147" s="108">
        <v>0</v>
      </c>
      <c r="S147" s="119"/>
      <c r="T147" s="110">
        <f t="shared" si="35"/>
        <v>0</v>
      </c>
      <c r="U147" s="103"/>
      <c r="V147" s="112">
        <f t="shared" si="36"/>
        <v>0</v>
      </c>
      <c r="W147" s="112">
        <f t="shared" si="37"/>
        <v>0</v>
      </c>
      <c r="X147" s="113">
        <f t="shared" si="38"/>
        <v>0</v>
      </c>
      <c r="Y147" s="113">
        <v>0</v>
      </c>
      <c r="Z147" s="114">
        <v>0</v>
      </c>
      <c r="AA147" s="11">
        <f t="shared" si="39"/>
        <v>0</v>
      </c>
      <c r="AB147" s="115">
        <f t="shared" si="31"/>
        <v>0</v>
      </c>
      <c r="AC147" s="115">
        <f t="shared" si="32"/>
        <v>0</v>
      </c>
      <c r="AD147" s="115">
        <f t="shared" si="33"/>
        <v>7837.5</v>
      </c>
      <c r="AE147" s="11"/>
      <c r="AF147" s="115">
        <f t="shared" si="40"/>
        <v>0</v>
      </c>
      <c r="AG147" s="115">
        <f t="shared" si="41"/>
        <v>0</v>
      </c>
      <c r="AH147" s="115">
        <f t="shared" si="42"/>
        <v>0</v>
      </c>
      <c r="AJ147" s="11">
        <f t="shared" si="34"/>
        <v>7837.5</v>
      </c>
    </row>
    <row r="148" spans="1:36" s="124" customFormat="1">
      <c r="A148" s="123"/>
      <c r="B148" s="123" t="s">
        <v>49</v>
      </c>
      <c r="C148" s="122"/>
      <c r="D148" s="142" t="s">
        <v>244</v>
      </c>
      <c r="E148" s="98"/>
      <c r="F148" s="99">
        <f>VLOOKUP(D148,'Dec 2012 Revenue'!D:T,17,FALSE)</f>
        <v>0</v>
      </c>
      <c r="G148" s="100"/>
      <c r="H148" s="100"/>
      <c r="I148" s="101"/>
      <c r="J148" s="102">
        <f t="shared" si="28"/>
        <v>0</v>
      </c>
      <c r="K148" s="103"/>
      <c r="L148" s="104"/>
      <c r="M148" s="105"/>
      <c r="N148" s="103">
        <v>0</v>
      </c>
      <c r="O148" s="106"/>
      <c r="P148" s="103">
        <v>0</v>
      </c>
      <c r="Q148" s="107">
        <f t="shared" si="29"/>
        <v>0</v>
      </c>
      <c r="R148" s="108">
        <v>0</v>
      </c>
      <c r="S148" s="119"/>
      <c r="T148" s="110">
        <f t="shared" si="35"/>
        <v>0</v>
      </c>
      <c r="U148" s="103"/>
      <c r="V148" s="112">
        <f t="shared" si="36"/>
        <v>0</v>
      </c>
      <c r="W148" s="112">
        <f t="shared" si="37"/>
        <v>0</v>
      </c>
      <c r="X148" s="113">
        <f t="shared" si="38"/>
        <v>0</v>
      </c>
      <c r="Y148" s="113">
        <v>0</v>
      </c>
      <c r="Z148" s="114">
        <v>0</v>
      </c>
      <c r="AA148" s="11">
        <f t="shared" si="39"/>
        <v>0</v>
      </c>
      <c r="AB148" s="115">
        <f t="shared" si="31"/>
        <v>0</v>
      </c>
      <c r="AC148" s="115">
        <f t="shared" si="32"/>
        <v>0</v>
      </c>
      <c r="AD148" s="115">
        <f t="shared" si="33"/>
        <v>0</v>
      </c>
      <c r="AE148" s="11"/>
      <c r="AF148" s="115">
        <f t="shared" si="40"/>
        <v>0</v>
      </c>
      <c r="AG148" s="115">
        <f t="shared" si="41"/>
        <v>0</v>
      </c>
      <c r="AH148" s="115">
        <f t="shared" si="42"/>
        <v>0</v>
      </c>
      <c r="AJ148" s="11">
        <f t="shared" si="34"/>
        <v>0</v>
      </c>
    </row>
    <row r="149" spans="1:36" s="124" customFormat="1">
      <c r="A149" s="123"/>
      <c r="B149" s="123" t="s">
        <v>46</v>
      </c>
      <c r="C149" s="122" t="s">
        <v>245</v>
      </c>
      <c r="D149" s="142" t="s">
        <v>246</v>
      </c>
      <c r="E149" s="98"/>
      <c r="F149" s="99">
        <f>VLOOKUP(D149,'Dec 2012 Revenue'!D:T,17,FALSE)</f>
        <v>0</v>
      </c>
      <c r="G149" s="100"/>
      <c r="H149" s="100"/>
      <c r="I149" s="125">
        <v>7675.26</v>
      </c>
      <c r="J149" s="102">
        <f t="shared" si="28"/>
        <v>7675.26</v>
      </c>
      <c r="K149" s="103"/>
      <c r="L149" s="104"/>
      <c r="M149" s="105"/>
      <c r="N149" s="103">
        <v>0</v>
      </c>
      <c r="O149" s="106"/>
      <c r="P149" s="103">
        <v>0</v>
      </c>
      <c r="Q149" s="107">
        <f t="shared" si="29"/>
        <v>0</v>
      </c>
      <c r="R149" s="108">
        <v>0</v>
      </c>
      <c r="S149" s="119"/>
      <c r="T149" s="110">
        <f t="shared" si="35"/>
        <v>0</v>
      </c>
      <c r="U149" s="103"/>
      <c r="V149" s="112">
        <f t="shared" si="36"/>
        <v>0</v>
      </c>
      <c r="W149" s="112">
        <f t="shared" si="37"/>
        <v>0</v>
      </c>
      <c r="X149" s="113">
        <f t="shared" si="38"/>
        <v>0</v>
      </c>
      <c r="Y149" s="113">
        <v>0</v>
      </c>
      <c r="Z149" s="114">
        <v>0</v>
      </c>
      <c r="AA149" s="11">
        <f t="shared" si="39"/>
        <v>0</v>
      </c>
      <c r="AB149" s="115">
        <f t="shared" si="31"/>
        <v>0</v>
      </c>
      <c r="AC149" s="115">
        <f t="shared" si="32"/>
        <v>7675.26</v>
      </c>
      <c r="AD149" s="115">
        <f t="shared" si="33"/>
        <v>0</v>
      </c>
      <c r="AE149" s="11"/>
      <c r="AF149" s="115">
        <f t="shared" si="40"/>
        <v>0</v>
      </c>
      <c r="AG149" s="115">
        <f t="shared" si="41"/>
        <v>0</v>
      </c>
      <c r="AH149" s="115">
        <f t="shared" si="42"/>
        <v>0</v>
      </c>
      <c r="AJ149" s="11">
        <f t="shared" si="34"/>
        <v>7675.26</v>
      </c>
    </row>
    <row r="150" spans="1:36" s="124" customFormat="1">
      <c r="A150" s="127"/>
      <c r="B150" s="127" t="s">
        <v>46</v>
      </c>
      <c r="C150" s="96" t="s">
        <v>210</v>
      </c>
      <c r="D150" s="118" t="s">
        <v>247</v>
      </c>
      <c r="E150" s="98"/>
      <c r="F150" s="99">
        <f>VLOOKUP(D150,'Dec 2012 Revenue'!D:T,17,FALSE)</f>
        <v>-23137.309999999998</v>
      </c>
      <c r="G150" s="100"/>
      <c r="H150" s="100"/>
      <c r="I150" s="101"/>
      <c r="J150" s="102">
        <f t="shared" si="28"/>
        <v>-23137.309999999998</v>
      </c>
      <c r="K150" s="103"/>
      <c r="L150" s="104"/>
      <c r="M150" s="105">
        <v>60000</v>
      </c>
      <c r="N150" s="103">
        <v>0</v>
      </c>
      <c r="O150" s="106"/>
      <c r="P150" s="103">
        <v>0</v>
      </c>
      <c r="Q150" s="107">
        <f t="shared" si="29"/>
        <v>60000</v>
      </c>
      <c r="R150" s="108">
        <v>49951.99</v>
      </c>
      <c r="S150" s="119"/>
      <c r="T150" s="110">
        <f t="shared" si="35"/>
        <v>-10048.010000000002</v>
      </c>
      <c r="U150" s="103"/>
      <c r="V150" s="112">
        <f t="shared" si="36"/>
        <v>0</v>
      </c>
      <c r="W150" s="112">
        <f t="shared" si="37"/>
        <v>60000</v>
      </c>
      <c r="X150" s="113">
        <f t="shared" si="38"/>
        <v>0</v>
      </c>
      <c r="Y150" s="113">
        <v>0</v>
      </c>
      <c r="Z150" s="114">
        <v>0</v>
      </c>
      <c r="AA150" s="11">
        <f t="shared" si="39"/>
        <v>0</v>
      </c>
      <c r="AB150" s="115">
        <f t="shared" si="31"/>
        <v>0</v>
      </c>
      <c r="AC150" s="115">
        <f t="shared" si="32"/>
        <v>-23137.309999999998</v>
      </c>
      <c r="AD150" s="115">
        <f t="shared" si="33"/>
        <v>0</v>
      </c>
      <c r="AE150" s="11"/>
      <c r="AF150" s="115">
        <f t="shared" si="40"/>
        <v>0</v>
      </c>
      <c r="AG150" s="115">
        <f t="shared" si="41"/>
        <v>60000</v>
      </c>
      <c r="AH150" s="115">
        <f t="shared" si="42"/>
        <v>0</v>
      </c>
      <c r="AJ150" s="11">
        <f t="shared" si="34"/>
        <v>36862.69</v>
      </c>
    </row>
    <row r="151" spans="1:36" s="124" customFormat="1">
      <c r="A151" s="127"/>
      <c r="B151" s="127" t="s">
        <v>49</v>
      </c>
      <c r="C151" s="96" t="s">
        <v>210</v>
      </c>
      <c r="D151" s="118" t="s">
        <v>248</v>
      </c>
      <c r="E151" s="98"/>
      <c r="F151" s="99">
        <f>VLOOKUP(D151,'Dec 2012 Revenue'!D:T,17,FALSE)</f>
        <v>-5000</v>
      </c>
      <c r="G151" s="100"/>
      <c r="H151" s="100"/>
      <c r="I151" s="101"/>
      <c r="J151" s="102">
        <f t="shared" si="28"/>
        <v>-5000</v>
      </c>
      <c r="K151" s="103"/>
      <c r="L151" s="104"/>
      <c r="M151" s="105">
        <v>5000</v>
      </c>
      <c r="N151" s="103">
        <v>0</v>
      </c>
      <c r="O151" s="106"/>
      <c r="P151" s="103">
        <v>0</v>
      </c>
      <c r="Q151" s="107">
        <f t="shared" si="29"/>
        <v>5000</v>
      </c>
      <c r="R151" s="108">
        <v>0</v>
      </c>
      <c r="S151" s="119"/>
      <c r="T151" s="110">
        <f t="shared" si="35"/>
        <v>-5000</v>
      </c>
      <c r="U151" s="103"/>
      <c r="V151" s="112">
        <f t="shared" si="36"/>
        <v>5000</v>
      </c>
      <c r="W151" s="112">
        <f t="shared" si="37"/>
        <v>0</v>
      </c>
      <c r="X151" s="113">
        <f t="shared" si="38"/>
        <v>0</v>
      </c>
      <c r="Y151" s="113">
        <v>0</v>
      </c>
      <c r="Z151" s="114">
        <v>0</v>
      </c>
      <c r="AA151" s="11">
        <f t="shared" si="39"/>
        <v>0</v>
      </c>
      <c r="AB151" s="115">
        <f t="shared" si="31"/>
        <v>-5000</v>
      </c>
      <c r="AC151" s="115">
        <f t="shared" si="32"/>
        <v>0</v>
      </c>
      <c r="AD151" s="115">
        <f t="shared" si="33"/>
        <v>0</v>
      </c>
      <c r="AE151" s="11"/>
      <c r="AF151" s="115">
        <f t="shared" si="40"/>
        <v>5000</v>
      </c>
      <c r="AG151" s="115">
        <f t="shared" si="41"/>
        <v>0</v>
      </c>
      <c r="AH151" s="115">
        <f t="shared" si="42"/>
        <v>0</v>
      </c>
      <c r="AJ151" s="11">
        <f t="shared" si="34"/>
        <v>0</v>
      </c>
    </row>
    <row r="152" spans="1:36">
      <c r="A152" s="129" t="s">
        <v>249</v>
      </c>
      <c r="B152" s="129" t="s">
        <v>49</v>
      </c>
      <c r="C152" s="96"/>
      <c r="D152" s="120" t="s">
        <v>250</v>
      </c>
      <c r="E152" s="98"/>
      <c r="F152" s="99">
        <f>VLOOKUP(D152,'Dec 2012 Revenue'!D:T,17,FALSE)</f>
        <v>0</v>
      </c>
      <c r="G152" s="100"/>
      <c r="H152" s="100"/>
      <c r="I152" s="101"/>
      <c r="J152" s="102">
        <f t="shared" si="28"/>
        <v>0</v>
      </c>
      <c r="K152" s="103"/>
      <c r="L152" s="104"/>
      <c r="M152" s="105"/>
      <c r="N152" s="103">
        <v>0</v>
      </c>
      <c r="O152" s="106"/>
      <c r="P152" s="103">
        <v>0</v>
      </c>
      <c r="Q152" s="107">
        <f t="shared" si="29"/>
        <v>0</v>
      </c>
      <c r="R152" s="108">
        <v>0</v>
      </c>
      <c r="S152" s="119"/>
      <c r="T152" s="110">
        <f t="shared" si="35"/>
        <v>0</v>
      </c>
      <c r="U152" s="103"/>
      <c r="V152" s="112">
        <f t="shared" si="36"/>
        <v>0</v>
      </c>
      <c r="W152" s="112">
        <f t="shared" si="37"/>
        <v>0</v>
      </c>
      <c r="X152" s="113">
        <f t="shared" si="38"/>
        <v>0</v>
      </c>
      <c r="Y152" s="113">
        <v>0</v>
      </c>
      <c r="Z152" s="114">
        <v>0</v>
      </c>
      <c r="AA152" s="11">
        <f t="shared" si="39"/>
        <v>0</v>
      </c>
      <c r="AB152" s="115">
        <f t="shared" si="31"/>
        <v>0</v>
      </c>
      <c r="AC152" s="115">
        <f t="shared" si="32"/>
        <v>0</v>
      </c>
      <c r="AD152" s="115">
        <f t="shared" si="33"/>
        <v>0</v>
      </c>
      <c r="AE152" s="11"/>
      <c r="AF152" s="115">
        <f t="shared" si="40"/>
        <v>0</v>
      </c>
      <c r="AG152" s="115">
        <f t="shared" si="41"/>
        <v>0</v>
      </c>
      <c r="AH152" s="115">
        <f t="shared" si="42"/>
        <v>0</v>
      </c>
      <c r="AJ152" s="11">
        <f t="shared" si="34"/>
        <v>0</v>
      </c>
    </row>
    <row r="153" spans="1:36">
      <c r="A153" s="129"/>
      <c r="B153" s="129" t="s">
        <v>46</v>
      </c>
      <c r="C153" s="96" t="s">
        <v>251</v>
      </c>
      <c r="D153" s="120" t="s">
        <v>252</v>
      </c>
      <c r="E153" s="98"/>
      <c r="F153" s="99">
        <f>VLOOKUP(D153,'Dec 2012 Revenue'!D:T,17,FALSE)</f>
        <v>0</v>
      </c>
      <c r="G153" s="100"/>
      <c r="H153" s="100"/>
      <c r="I153" s="101"/>
      <c r="J153" s="102">
        <f t="shared" si="28"/>
        <v>0</v>
      </c>
      <c r="K153" s="103"/>
      <c r="L153" s="104"/>
      <c r="M153" s="105"/>
      <c r="N153" s="103">
        <v>0</v>
      </c>
      <c r="O153" s="106"/>
      <c r="P153" s="103">
        <v>0</v>
      </c>
      <c r="Q153" s="107">
        <f t="shared" si="29"/>
        <v>0</v>
      </c>
      <c r="R153" s="108">
        <v>0</v>
      </c>
      <c r="S153" s="119"/>
      <c r="T153" s="110">
        <f t="shared" si="35"/>
        <v>0</v>
      </c>
      <c r="U153" s="103"/>
      <c r="V153" s="112">
        <f t="shared" si="36"/>
        <v>0</v>
      </c>
      <c r="W153" s="112">
        <f t="shared" si="37"/>
        <v>0</v>
      </c>
      <c r="X153" s="113">
        <f t="shared" si="38"/>
        <v>0</v>
      </c>
      <c r="Y153" s="113">
        <v>0</v>
      </c>
      <c r="Z153" s="114">
        <v>0</v>
      </c>
      <c r="AA153" s="11">
        <f t="shared" si="39"/>
        <v>0</v>
      </c>
      <c r="AB153" s="115">
        <f t="shared" si="31"/>
        <v>0</v>
      </c>
      <c r="AC153" s="115">
        <f t="shared" si="32"/>
        <v>0</v>
      </c>
      <c r="AD153" s="115">
        <f t="shared" si="33"/>
        <v>0</v>
      </c>
      <c r="AE153" s="11"/>
      <c r="AF153" s="115">
        <f t="shared" si="40"/>
        <v>0</v>
      </c>
      <c r="AG153" s="115">
        <f t="shared" si="41"/>
        <v>0</v>
      </c>
      <c r="AH153" s="115">
        <f t="shared" si="42"/>
        <v>0</v>
      </c>
      <c r="AJ153" s="11">
        <f t="shared" si="34"/>
        <v>0</v>
      </c>
    </row>
    <row r="154" spans="1:36">
      <c r="A154" s="129"/>
      <c r="B154" s="129" t="s">
        <v>46</v>
      </c>
      <c r="C154" s="96" t="s">
        <v>251</v>
      </c>
      <c r="D154" s="120" t="s">
        <v>253</v>
      </c>
      <c r="E154" s="98"/>
      <c r="F154" s="99">
        <f>VLOOKUP(D154,'Dec 2012 Revenue'!D:T,17,FALSE)</f>
        <v>0</v>
      </c>
      <c r="G154" s="100"/>
      <c r="H154" s="100"/>
      <c r="I154" s="101"/>
      <c r="J154" s="102">
        <f t="shared" si="28"/>
        <v>0</v>
      </c>
      <c r="K154" s="103"/>
      <c r="L154" s="104"/>
      <c r="M154" s="105"/>
      <c r="N154" s="103">
        <v>0</v>
      </c>
      <c r="O154" s="106"/>
      <c r="P154" s="103">
        <v>0</v>
      </c>
      <c r="Q154" s="107">
        <f t="shared" si="29"/>
        <v>0</v>
      </c>
      <c r="R154" s="108">
        <v>0</v>
      </c>
      <c r="S154" s="119"/>
      <c r="T154" s="110">
        <f t="shared" si="35"/>
        <v>0</v>
      </c>
      <c r="U154" s="103"/>
      <c r="V154" s="112">
        <f t="shared" si="36"/>
        <v>0</v>
      </c>
      <c r="W154" s="112">
        <f t="shared" si="37"/>
        <v>0</v>
      </c>
      <c r="X154" s="113">
        <f t="shared" si="38"/>
        <v>0</v>
      </c>
      <c r="Y154" s="113">
        <v>0</v>
      </c>
      <c r="Z154" s="114">
        <v>0</v>
      </c>
      <c r="AA154" s="11">
        <f t="shared" si="39"/>
        <v>0</v>
      </c>
      <c r="AB154" s="115">
        <f t="shared" si="31"/>
        <v>0</v>
      </c>
      <c r="AC154" s="115">
        <f t="shared" si="32"/>
        <v>0</v>
      </c>
      <c r="AD154" s="115">
        <f t="shared" si="33"/>
        <v>0</v>
      </c>
      <c r="AE154" s="11"/>
      <c r="AF154" s="115">
        <f t="shared" si="40"/>
        <v>0</v>
      </c>
      <c r="AG154" s="115">
        <f t="shared" si="41"/>
        <v>0</v>
      </c>
      <c r="AH154" s="115">
        <f t="shared" si="42"/>
        <v>0</v>
      </c>
      <c r="AJ154" s="11">
        <f t="shared" si="34"/>
        <v>0</v>
      </c>
    </row>
    <row r="155" spans="1:36">
      <c r="A155" s="129"/>
      <c r="B155" s="129" t="s">
        <v>46</v>
      </c>
      <c r="C155" s="96" t="s">
        <v>254</v>
      </c>
      <c r="D155" s="120" t="s">
        <v>255</v>
      </c>
      <c r="E155" s="98"/>
      <c r="F155" s="99">
        <f>VLOOKUP(D155,'Dec 2012 Revenue'!D:T,17,FALSE)</f>
        <v>0</v>
      </c>
      <c r="G155" s="100"/>
      <c r="H155" s="100"/>
      <c r="I155" s="101"/>
      <c r="J155" s="102">
        <f t="shared" si="28"/>
        <v>0</v>
      </c>
      <c r="K155" s="103"/>
      <c r="L155" s="104"/>
      <c r="M155" s="105">
        <v>90000</v>
      </c>
      <c r="N155" s="103"/>
      <c r="O155" s="106"/>
      <c r="P155" s="103"/>
      <c r="Q155" s="107">
        <f t="shared" si="29"/>
        <v>90000</v>
      </c>
      <c r="R155" s="108">
        <f>5551.96+2540.45+2408+1081.93+175.04+17095.11+426.09+366.54+473.72+7086.68</f>
        <v>37205.520000000004</v>
      </c>
      <c r="S155" s="119"/>
      <c r="T155" s="110">
        <f t="shared" si="35"/>
        <v>-52794.479999999996</v>
      </c>
      <c r="U155" s="103"/>
      <c r="V155" s="112">
        <f t="shared" si="36"/>
        <v>0</v>
      </c>
      <c r="W155" s="112">
        <f t="shared" si="37"/>
        <v>90000</v>
      </c>
      <c r="X155" s="113">
        <f t="shared" si="38"/>
        <v>0</v>
      </c>
      <c r="Y155" s="113">
        <v>0</v>
      </c>
      <c r="Z155" s="114">
        <v>0</v>
      </c>
      <c r="AA155" s="11">
        <f t="shared" si="39"/>
        <v>0</v>
      </c>
      <c r="AB155" s="115">
        <f t="shared" si="31"/>
        <v>0</v>
      </c>
      <c r="AC155" s="115">
        <f t="shared" si="32"/>
        <v>0</v>
      </c>
      <c r="AD155" s="115">
        <f t="shared" si="33"/>
        <v>0</v>
      </c>
      <c r="AE155" s="11"/>
      <c r="AF155" s="115">
        <f t="shared" si="40"/>
        <v>0</v>
      </c>
      <c r="AG155" s="115">
        <f t="shared" si="41"/>
        <v>90000</v>
      </c>
      <c r="AH155" s="115">
        <f t="shared" si="42"/>
        <v>0</v>
      </c>
      <c r="AJ155" s="11">
        <f t="shared" si="34"/>
        <v>90000</v>
      </c>
    </row>
    <row r="156" spans="1:36" s="124" customFormat="1">
      <c r="A156" s="127"/>
      <c r="B156" s="127" t="s">
        <v>46</v>
      </c>
      <c r="C156" s="96"/>
      <c r="D156" s="118" t="s">
        <v>256</v>
      </c>
      <c r="E156" s="98"/>
      <c r="F156" s="99">
        <f>VLOOKUP(D156,'Dec 2012 Revenue'!D:T,17,FALSE)</f>
        <v>0</v>
      </c>
      <c r="G156" s="100"/>
      <c r="H156" s="100"/>
      <c r="I156" s="101"/>
      <c r="J156" s="102">
        <f t="shared" si="28"/>
        <v>0</v>
      </c>
      <c r="K156" s="103"/>
      <c r="L156" s="104"/>
      <c r="M156" s="105"/>
      <c r="N156" s="103">
        <v>0</v>
      </c>
      <c r="O156" s="106"/>
      <c r="P156" s="103">
        <v>0</v>
      </c>
      <c r="Q156" s="107">
        <f t="shared" si="29"/>
        <v>0</v>
      </c>
      <c r="R156" s="108">
        <v>0</v>
      </c>
      <c r="S156" s="119"/>
      <c r="T156" s="110">
        <f t="shared" si="35"/>
        <v>0</v>
      </c>
      <c r="U156" s="103"/>
      <c r="V156" s="112">
        <f t="shared" si="36"/>
        <v>0</v>
      </c>
      <c r="W156" s="112">
        <f t="shared" si="37"/>
        <v>0</v>
      </c>
      <c r="X156" s="113">
        <f t="shared" si="38"/>
        <v>0</v>
      </c>
      <c r="Y156" s="113">
        <v>0</v>
      </c>
      <c r="Z156" s="114">
        <v>0</v>
      </c>
      <c r="AA156" s="11">
        <f t="shared" si="39"/>
        <v>0</v>
      </c>
      <c r="AB156" s="115">
        <f t="shared" si="31"/>
        <v>0</v>
      </c>
      <c r="AC156" s="115">
        <f t="shared" si="32"/>
        <v>0</v>
      </c>
      <c r="AD156" s="115">
        <f t="shared" si="33"/>
        <v>0</v>
      </c>
      <c r="AE156" s="11"/>
      <c r="AF156" s="115">
        <f t="shared" si="40"/>
        <v>0</v>
      </c>
      <c r="AG156" s="115">
        <f t="shared" si="41"/>
        <v>0</v>
      </c>
      <c r="AH156" s="115">
        <f t="shared" si="42"/>
        <v>0</v>
      </c>
      <c r="AJ156" s="11">
        <f t="shared" si="34"/>
        <v>0</v>
      </c>
    </row>
    <row r="157" spans="1:36" s="14" customFormat="1">
      <c r="A157" s="95"/>
      <c r="B157" s="129" t="s">
        <v>46</v>
      </c>
      <c r="C157" s="96"/>
      <c r="D157" s="120" t="s">
        <v>258</v>
      </c>
      <c r="E157" s="98"/>
      <c r="F157" s="99">
        <f>VLOOKUP(D157,'Dec 2012 Revenue'!D:T,17,FALSE)</f>
        <v>0</v>
      </c>
      <c r="G157" s="100"/>
      <c r="H157" s="100"/>
      <c r="I157" s="101"/>
      <c r="J157" s="102">
        <f t="shared" si="28"/>
        <v>0</v>
      </c>
      <c r="K157" s="133"/>
      <c r="L157" s="104"/>
      <c r="M157" s="105"/>
      <c r="N157" s="133">
        <v>0</v>
      </c>
      <c r="O157" s="106"/>
      <c r="P157" s="133">
        <v>0</v>
      </c>
      <c r="Q157" s="137">
        <f t="shared" si="29"/>
        <v>0</v>
      </c>
      <c r="R157" s="108">
        <v>3384.6</v>
      </c>
      <c r="S157" s="138"/>
      <c r="T157" s="110">
        <f t="shared" si="35"/>
        <v>3384.6</v>
      </c>
      <c r="U157" s="133"/>
      <c r="V157" s="112">
        <f t="shared" si="36"/>
        <v>0</v>
      </c>
      <c r="W157" s="112">
        <f t="shared" si="37"/>
        <v>0</v>
      </c>
      <c r="X157" s="113">
        <f t="shared" si="38"/>
        <v>0</v>
      </c>
      <c r="Y157" s="113">
        <v>0</v>
      </c>
      <c r="Z157" s="114">
        <v>0</v>
      </c>
      <c r="AA157" s="11">
        <f t="shared" si="39"/>
        <v>0</v>
      </c>
      <c r="AB157" s="115">
        <f t="shared" si="31"/>
        <v>0</v>
      </c>
      <c r="AC157" s="115">
        <f t="shared" si="32"/>
        <v>0</v>
      </c>
      <c r="AD157" s="115">
        <f t="shared" si="33"/>
        <v>0</v>
      </c>
      <c r="AE157" s="11"/>
      <c r="AF157" s="115">
        <f t="shared" si="40"/>
        <v>0</v>
      </c>
      <c r="AG157" s="115">
        <f t="shared" si="41"/>
        <v>0</v>
      </c>
      <c r="AH157" s="115">
        <f t="shared" si="42"/>
        <v>0</v>
      </c>
      <c r="AJ157" s="11">
        <f t="shared" si="34"/>
        <v>0</v>
      </c>
    </row>
    <row r="158" spans="1:36">
      <c r="A158" s="129"/>
      <c r="B158" s="129" t="s">
        <v>49</v>
      </c>
      <c r="C158" s="96"/>
      <c r="D158" s="120" t="s">
        <v>259</v>
      </c>
      <c r="E158" s="98"/>
      <c r="F158" s="99">
        <f>VLOOKUP(D158,'Dec 2012 Revenue'!D:T,17,FALSE)</f>
        <v>0</v>
      </c>
      <c r="G158" s="100"/>
      <c r="H158" s="100"/>
      <c r="I158" s="101"/>
      <c r="J158" s="102">
        <f t="shared" si="28"/>
        <v>0</v>
      </c>
      <c r="K158" s="103"/>
      <c r="L158" s="104"/>
      <c r="M158" s="105"/>
      <c r="N158" s="103">
        <v>0</v>
      </c>
      <c r="O158" s="106"/>
      <c r="P158" s="103">
        <v>0</v>
      </c>
      <c r="Q158" s="107">
        <f t="shared" si="29"/>
        <v>0</v>
      </c>
      <c r="R158" s="108">
        <v>0</v>
      </c>
      <c r="S158" s="119"/>
      <c r="T158" s="110">
        <f t="shared" si="35"/>
        <v>0</v>
      </c>
      <c r="U158" s="103"/>
      <c r="V158" s="112">
        <f t="shared" si="36"/>
        <v>0</v>
      </c>
      <c r="W158" s="112">
        <f t="shared" si="37"/>
        <v>0</v>
      </c>
      <c r="X158" s="113">
        <f t="shared" si="38"/>
        <v>0</v>
      </c>
      <c r="Y158" s="113">
        <v>0</v>
      </c>
      <c r="Z158" s="114">
        <v>0</v>
      </c>
      <c r="AA158" s="11">
        <f t="shared" si="39"/>
        <v>0</v>
      </c>
      <c r="AB158" s="115">
        <f t="shared" si="31"/>
        <v>0</v>
      </c>
      <c r="AC158" s="115">
        <f t="shared" si="32"/>
        <v>0</v>
      </c>
      <c r="AD158" s="115">
        <f t="shared" si="33"/>
        <v>0</v>
      </c>
      <c r="AE158" s="11"/>
      <c r="AF158" s="115">
        <f t="shared" si="40"/>
        <v>0</v>
      </c>
      <c r="AG158" s="115">
        <f t="shared" si="41"/>
        <v>0</v>
      </c>
      <c r="AH158" s="115">
        <f t="shared" si="42"/>
        <v>0</v>
      </c>
      <c r="AJ158" s="11">
        <f t="shared" si="34"/>
        <v>0</v>
      </c>
    </row>
    <row r="159" spans="1:36">
      <c r="A159" s="129"/>
      <c r="B159" s="129" t="s">
        <v>441</v>
      </c>
      <c r="C159" s="129"/>
      <c r="D159" s="120" t="s">
        <v>260</v>
      </c>
      <c r="E159" s="98"/>
      <c r="F159" s="99">
        <f>VLOOKUP(D159,'Dec 2012 Revenue'!D:T,17,FALSE)</f>
        <v>0</v>
      </c>
      <c r="G159" s="100"/>
      <c r="H159" s="100"/>
      <c r="I159" s="101"/>
      <c r="J159" s="102">
        <f t="shared" si="28"/>
        <v>0</v>
      </c>
      <c r="K159" s="103"/>
      <c r="L159" s="104"/>
      <c r="M159" s="105"/>
      <c r="N159" s="103">
        <v>0</v>
      </c>
      <c r="O159" s="106"/>
      <c r="P159" s="103">
        <v>0</v>
      </c>
      <c r="Q159" s="107">
        <f t="shared" si="29"/>
        <v>0</v>
      </c>
      <c r="R159" s="108">
        <v>0</v>
      </c>
      <c r="S159" s="119"/>
      <c r="T159" s="110">
        <f t="shared" si="35"/>
        <v>0</v>
      </c>
      <c r="U159" s="103"/>
      <c r="V159" s="112">
        <f t="shared" si="36"/>
        <v>0</v>
      </c>
      <c r="W159" s="112">
        <f t="shared" si="37"/>
        <v>0</v>
      </c>
      <c r="X159" s="113">
        <f t="shared" si="38"/>
        <v>0</v>
      </c>
      <c r="Y159" s="113">
        <v>0</v>
      </c>
      <c r="Z159" s="114">
        <v>0</v>
      </c>
      <c r="AA159" s="11">
        <f t="shared" si="39"/>
        <v>0</v>
      </c>
      <c r="AB159" s="115">
        <f t="shared" si="31"/>
        <v>0</v>
      </c>
      <c r="AC159" s="115">
        <f t="shared" si="32"/>
        <v>0</v>
      </c>
      <c r="AD159" s="115">
        <f t="shared" si="33"/>
        <v>0</v>
      </c>
      <c r="AE159" s="11"/>
      <c r="AF159" s="115">
        <f t="shared" si="40"/>
        <v>0</v>
      </c>
      <c r="AG159" s="115">
        <f t="shared" si="41"/>
        <v>0</v>
      </c>
      <c r="AH159" s="115">
        <f t="shared" si="42"/>
        <v>0</v>
      </c>
      <c r="AJ159" s="11">
        <f t="shared" si="34"/>
        <v>0</v>
      </c>
    </row>
    <row r="160" spans="1:36">
      <c r="A160" s="129"/>
      <c r="B160" s="129" t="s">
        <v>49</v>
      </c>
      <c r="C160" s="96"/>
      <c r="D160" s="120" t="s">
        <v>261</v>
      </c>
      <c r="E160" s="98"/>
      <c r="F160" s="99">
        <f>VLOOKUP(D160,'Dec 2012 Revenue'!D:T,17,FALSE)</f>
        <v>0</v>
      </c>
      <c r="G160" s="100"/>
      <c r="H160" s="100"/>
      <c r="I160" s="101"/>
      <c r="J160" s="102">
        <f t="shared" si="28"/>
        <v>0</v>
      </c>
      <c r="K160" s="103"/>
      <c r="L160" s="104"/>
      <c r="M160" s="105"/>
      <c r="N160" s="103">
        <v>0</v>
      </c>
      <c r="O160" s="106"/>
      <c r="P160" s="103">
        <v>0</v>
      </c>
      <c r="Q160" s="107">
        <f t="shared" si="29"/>
        <v>0</v>
      </c>
      <c r="R160" s="108">
        <v>0</v>
      </c>
      <c r="S160" s="119"/>
      <c r="T160" s="110">
        <f t="shared" si="35"/>
        <v>0</v>
      </c>
      <c r="U160" s="103"/>
      <c r="V160" s="112">
        <f t="shared" si="36"/>
        <v>0</v>
      </c>
      <c r="W160" s="112">
        <f t="shared" si="37"/>
        <v>0</v>
      </c>
      <c r="X160" s="113">
        <f t="shared" si="38"/>
        <v>0</v>
      </c>
      <c r="Y160" s="113">
        <v>0</v>
      </c>
      <c r="Z160" s="114">
        <v>0</v>
      </c>
      <c r="AA160" s="11">
        <f t="shared" si="39"/>
        <v>0</v>
      </c>
      <c r="AB160" s="115">
        <f t="shared" si="31"/>
        <v>0</v>
      </c>
      <c r="AC160" s="115">
        <f t="shared" si="32"/>
        <v>0</v>
      </c>
      <c r="AD160" s="115">
        <f t="shared" si="33"/>
        <v>0</v>
      </c>
      <c r="AE160" s="11"/>
      <c r="AF160" s="115">
        <f t="shared" si="40"/>
        <v>0</v>
      </c>
      <c r="AG160" s="115">
        <f t="shared" si="41"/>
        <v>0</v>
      </c>
      <c r="AH160" s="115">
        <f t="shared" si="42"/>
        <v>0</v>
      </c>
      <c r="AJ160" s="11">
        <f t="shared" si="34"/>
        <v>0</v>
      </c>
    </row>
    <row r="161" spans="1:36">
      <c r="A161" s="129"/>
      <c r="B161" s="129" t="s">
        <v>49</v>
      </c>
      <c r="C161" s="96" t="s">
        <v>262</v>
      </c>
      <c r="D161" s="120" t="s">
        <v>263</v>
      </c>
      <c r="E161" s="98"/>
      <c r="F161" s="99">
        <f>VLOOKUP(D161,'Dec 2012 Revenue'!D:T,17,FALSE)</f>
        <v>0</v>
      </c>
      <c r="G161" s="100"/>
      <c r="H161" s="100"/>
      <c r="I161" s="101"/>
      <c r="J161" s="102">
        <f t="shared" si="28"/>
        <v>0</v>
      </c>
      <c r="K161" s="103"/>
      <c r="L161" s="104"/>
      <c r="M161" s="105"/>
      <c r="N161" s="103">
        <v>0</v>
      </c>
      <c r="O161" s="106"/>
      <c r="P161" s="103">
        <v>0</v>
      </c>
      <c r="Q161" s="107">
        <f t="shared" si="29"/>
        <v>0</v>
      </c>
      <c r="R161" s="108">
        <v>2888.87</v>
      </c>
      <c r="S161" s="119"/>
      <c r="T161" s="110">
        <f t="shared" si="35"/>
        <v>2888.87</v>
      </c>
      <c r="U161" s="103"/>
      <c r="V161" s="112">
        <f t="shared" si="36"/>
        <v>0</v>
      </c>
      <c r="W161" s="112">
        <f t="shared" si="37"/>
        <v>0</v>
      </c>
      <c r="X161" s="113">
        <f t="shared" si="38"/>
        <v>0</v>
      </c>
      <c r="Y161" s="113">
        <v>0</v>
      </c>
      <c r="Z161" s="114">
        <v>0</v>
      </c>
      <c r="AA161" s="11">
        <f t="shared" si="39"/>
        <v>0</v>
      </c>
      <c r="AB161" s="115">
        <f t="shared" si="31"/>
        <v>0</v>
      </c>
      <c r="AC161" s="115">
        <f t="shared" si="32"/>
        <v>0</v>
      </c>
      <c r="AD161" s="115">
        <f t="shared" si="33"/>
        <v>0</v>
      </c>
      <c r="AE161" s="11"/>
      <c r="AF161" s="115">
        <f t="shared" si="40"/>
        <v>0</v>
      </c>
      <c r="AG161" s="115">
        <f t="shared" si="41"/>
        <v>0</v>
      </c>
      <c r="AH161" s="115">
        <f t="shared" si="42"/>
        <v>0</v>
      </c>
      <c r="AJ161" s="11">
        <f t="shared" si="34"/>
        <v>0</v>
      </c>
    </row>
    <row r="162" spans="1:36">
      <c r="A162" s="129"/>
      <c r="B162" s="129" t="s">
        <v>49</v>
      </c>
      <c r="C162" s="96" t="s">
        <v>265</v>
      </c>
      <c r="D162" s="120" t="s">
        <v>266</v>
      </c>
      <c r="E162" s="98"/>
      <c r="F162" s="99">
        <f>VLOOKUP(D162,'Dec 2012 Revenue'!D:T,17,FALSE)</f>
        <v>-25000</v>
      </c>
      <c r="G162" s="100"/>
      <c r="H162" s="100"/>
      <c r="I162" s="101"/>
      <c r="J162" s="102">
        <f t="shared" si="28"/>
        <v>-25000</v>
      </c>
      <c r="K162" s="103"/>
      <c r="L162" s="104"/>
      <c r="M162" s="105">
        <v>50000</v>
      </c>
      <c r="N162" s="103">
        <v>0</v>
      </c>
      <c r="O162" s="106"/>
      <c r="P162" s="103">
        <v>0</v>
      </c>
      <c r="Q162" s="107">
        <f t="shared" si="29"/>
        <v>50000</v>
      </c>
      <c r="R162" s="108">
        <v>31833.17</v>
      </c>
      <c r="S162" s="119"/>
      <c r="T162" s="110">
        <f t="shared" si="35"/>
        <v>-18166.830000000002</v>
      </c>
      <c r="U162" s="103"/>
      <c r="V162" s="112">
        <f t="shared" si="36"/>
        <v>50000</v>
      </c>
      <c r="W162" s="112">
        <f t="shared" si="37"/>
        <v>0</v>
      </c>
      <c r="X162" s="113">
        <f t="shared" si="38"/>
        <v>0</v>
      </c>
      <c r="Y162" s="113">
        <v>0</v>
      </c>
      <c r="Z162" s="114">
        <v>0</v>
      </c>
      <c r="AA162" s="11">
        <f t="shared" si="39"/>
        <v>0</v>
      </c>
      <c r="AB162" s="115">
        <f t="shared" si="31"/>
        <v>-25000</v>
      </c>
      <c r="AC162" s="115">
        <f t="shared" si="32"/>
        <v>0</v>
      </c>
      <c r="AD162" s="115">
        <f t="shared" si="33"/>
        <v>0</v>
      </c>
      <c r="AE162" s="11"/>
      <c r="AF162" s="115">
        <f t="shared" si="40"/>
        <v>50000</v>
      </c>
      <c r="AG162" s="115">
        <f t="shared" si="41"/>
        <v>0</v>
      </c>
      <c r="AH162" s="115">
        <f t="shared" si="42"/>
        <v>0</v>
      </c>
      <c r="AJ162" s="11">
        <f t="shared" si="34"/>
        <v>25000</v>
      </c>
    </row>
    <row r="163" spans="1:36">
      <c r="A163" s="129"/>
      <c r="B163" s="129" t="s">
        <v>49</v>
      </c>
      <c r="C163" s="128" t="s">
        <v>267</v>
      </c>
      <c r="D163" s="120" t="s">
        <v>268</v>
      </c>
      <c r="E163" s="98"/>
      <c r="F163" s="99">
        <f>VLOOKUP(D163,'Dec 2012 Revenue'!D:T,17,FALSE)</f>
        <v>-17000</v>
      </c>
      <c r="G163" s="100"/>
      <c r="H163" s="100"/>
      <c r="I163" s="101"/>
      <c r="J163" s="102">
        <f t="shared" si="28"/>
        <v>-17000</v>
      </c>
      <c r="K163" s="103"/>
      <c r="L163" s="104"/>
      <c r="M163" s="105">
        <v>34000</v>
      </c>
      <c r="N163" s="103">
        <v>0</v>
      </c>
      <c r="O163" s="106"/>
      <c r="P163" s="103">
        <v>0</v>
      </c>
      <c r="Q163" s="107">
        <f t="shared" si="29"/>
        <v>34000</v>
      </c>
      <c r="R163" s="108">
        <v>16360.05</v>
      </c>
      <c r="S163" s="119"/>
      <c r="T163" s="110">
        <f t="shared" si="35"/>
        <v>-17639.95</v>
      </c>
      <c r="U163" s="103"/>
      <c r="V163" s="112">
        <f t="shared" si="36"/>
        <v>34000</v>
      </c>
      <c r="W163" s="112">
        <f t="shared" si="37"/>
        <v>0</v>
      </c>
      <c r="X163" s="113">
        <f t="shared" si="38"/>
        <v>0</v>
      </c>
      <c r="Y163" s="113">
        <v>0</v>
      </c>
      <c r="Z163" s="114">
        <v>0</v>
      </c>
      <c r="AA163" s="11">
        <f t="shared" si="39"/>
        <v>0</v>
      </c>
      <c r="AB163" s="115">
        <f t="shared" si="31"/>
        <v>-17000</v>
      </c>
      <c r="AC163" s="115">
        <f t="shared" si="32"/>
        <v>0</v>
      </c>
      <c r="AD163" s="115">
        <f t="shared" si="33"/>
        <v>0</v>
      </c>
      <c r="AE163" s="11"/>
      <c r="AF163" s="115">
        <f t="shared" si="40"/>
        <v>34000</v>
      </c>
      <c r="AG163" s="115">
        <f t="shared" si="41"/>
        <v>0</v>
      </c>
      <c r="AH163" s="115">
        <f t="shared" si="42"/>
        <v>0</v>
      </c>
      <c r="AJ163" s="11">
        <f t="shared" si="34"/>
        <v>17000</v>
      </c>
    </row>
    <row r="164" spans="1:36" s="124" customFormat="1">
      <c r="A164" s="127"/>
      <c r="B164" s="127" t="s">
        <v>49</v>
      </c>
      <c r="C164" s="96"/>
      <c r="D164" s="118" t="s">
        <v>430</v>
      </c>
      <c r="E164" s="98"/>
      <c r="F164" s="99">
        <f>VLOOKUP(D164,'Dec 2012 Revenue'!D:T,17,FALSE)</f>
        <v>0</v>
      </c>
      <c r="G164" s="100"/>
      <c r="H164" s="100"/>
      <c r="I164" s="101"/>
      <c r="J164" s="102">
        <f t="shared" si="28"/>
        <v>0</v>
      </c>
      <c r="K164" s="103"/>
      <c r="L164" s="104"/>
      <c r="M164" s="105"/>
      <c r="N164" s="103">
        <v>0</v>
      </c>
      <c r="O164" s="106"/>
      <c r="P164" s="103">
        <v>0</v>
      </c>
      <c r="Q164" s="107">
        <f t="shared" si="29"/>
        <v>0</v>
      </c>
      <c r="R164" s="108">
        <v>0</v>
      </c>
      <c r="S164" s="119"/>
      <c r="T164" s="110">
        <f t="shared" si="35"/>
        <v>0</v>
      </c>
      <c r="U164" s="103"/>
      <c r="V164" s="112">
        <f t="shared" si="36"/>
        <v>0</v>
      </c>
      <c r="W164" s="112">
        <f t="shared" si="37"/>
        <v>0</v>
      </c>
      <c r="X164" s="113">
        <f t="shared" si="38"/>
        <v>0</v>
      </c>
      <c r="Y164" s="113">
        <v>0</v>
      </c>
      <c r="Z164" s="114">
        <v>0</v>
      </c>
      <c r="AA164" s="11">
        <f t="shared" si="39"/>
        <v>0</v>
      </c>
      <c r="AB164" s="115">
        <f t="shared" si="31"/>
        <v>0</v>
      </c>
      <c r="AC164" s="115">
        <f t="shared" si="32"/>
        <v>0</v>
      </c>
      <c r="AD164" s="115">
        <f t="shared" si="33"/>
        <v>0</v>
      </c>
      <c r="AE164" s="11"/>
      <c r="AF164" s="115">
        <f t="shared" si="40"/>
        <v>0</v>
      </c>
      <c r="AG164" s="115">
        <f t="shared" si="41"/>
        <v>0</v>
      </c>
      <c r="AH164" s="115">
        <f t="shared" si="42"/>
        <v>0</v>
      </c>
      <c r="AJ164" s="11">
        <f t="shared" si="34"/>
        <v>0</v>
      </c>
    </row>
    <row r="165" spans="1:36" s="124" customFormat="1">
      <c r="A165" s="127"/>
      <c r="B165" s="127" t="s">
        <v>49</v>
      </c>
      <c r="C165" s="96" t="s">
        <v>270</v>
      </c>
      <c r="D165" s="118" t="s">
        <v>271</v>
      </c>
      <c r="E165" s="98"/>
      <c r="F165" s="99">
        <f>VLOOKUP(D165,'Dec 2012 Revenue'!D:T,17,FALSE)</f>
        <v>-85000</v>
      </c>
      <c r="G165" s="100"/>
      <c r="H165" s="100"/>
      <c r="I165" s="101"/>
      <c r="J165" s="102">
        <f t="shared" si="28"/>
        <v>-85000</v>
      </c>
      <c r="K165" s="103"/>
      <c r="L165" s="104"/>
      <c r="M165" s="105">
        <v>170000</v>
      </c>
      <c r="N165" s="103">
        <v>0</v>
      </c>
      <c r="O165" s="106"/>
      <c r="P165" s="103">
        <v>0</v>
      </c>
      <c r="Q165" s="107">
        <f t="shared" si="29"/>
        <v>170000</v>
      </c>
      <c r="R165" s="108">
        <v>0</v>
      </c>
      <c r="S165" s="119"/>
      <c r="T165" s="110">
        <f t="shared" si="35"/>
        <v>-170000</v>
      </c>
      <c r="U165" s="103"/>
      <c r="V165" s="112">
        <f t="shared" si="36"/>
        <v>170000</v>
      </c>
      <c r="W165" s="112">
        <f t="shared" si="37"/>
        <v>0</v>
      </c>
      <c r="X165" s="113">
        <f t="shared" si="38"/>
        <v>0</v>
      </c>
      <c r="Y165" s="113">
        <v>0</v>
      </c>
      <c r="Z165" s="114">
        <v>0</v>
      </c>
      <c r="AA165" s="11">
        <f t="shared" si="39"/>
        <v>0</v>
      </c>
      <c r="AB165" s="115">
        <f t="shared" si="31"/>
        <v>-85000</v>
      </c>
      <c r="AC165" s="115">
        <f t="shared" si="32"/>
        <v>0</v>
      </c>
      <c r="AD165" s="115">
        <f t="shared" si="33"/>
        <v>0</v>
      </c>
      <c r="AE165" s="11"/>
      <c r="AF165" s="115">
        <f t="shared" si="40"/>
        <v>170000</v>
      </c>
      <c r="AG165" s="115">
        <f t="shared" si="41"/>
        <v>0</v>
      </c>
      <c r="AH165" s="115">
        <f t="shared" si="42"/>
        <v>0</v>
      </c>
      <c r="AJ165" s="11">
        <f t="shared" si="34"/>
        <v>85000</v>
      </c>
    </row>
    <row r="166" spans="1:36" s="124" customFormat="1">
      <c r="A166" s="127"/>
      <c r="B166" s="127" t="s">
        <v>49</v>
      </c>
      <c r="C166" s="96"/>
      <c r="D166" s="118" t="s">
        <v>272</v>
      </c>
      <c r="E166" s="98"/>
      <c r="F166" s="99">
        <f>VLOOKUP(D166,'Dec 2012 Revenue'!D:T,17,FALSE)</f>
        <v>-12000</v>
      </c>
      <c r="G166" s="100"/>
      <c r="H166" s="100"/>
      <c r="I166" s="101"/>
      <c r="J166" s="102">
        <f t="shared" si="28"/>
        <v>-12000</v>
      </c>
      <c r="K166" s="103"/>
      <c r="L166" s="104"/>
      <c r="M166" s="105">
        <v>24000</v>
      </c>
      <c r="N166" s="103">
        <v>0</v>
      </c>
      <c r="O166" s="106"/>
      <c r="P166" s="103">
        <v>0</v>
      </c>
      <c r="Q166" s="107">
        <f t="shared" si="29"/>
        <v>24000</v>
      </c>
      <c r="R166" s="108">
        <v>0</v>
      </c>
      <c r="S166" s="119"/>
      <c r="T166" s="110">
        <f t="shared" si="35"/>
        <v>-24000</v>
      </c>
      <c r="U166" s="103"/>
      <c r="V166" s="112">
        <f t="shared" si="36"/>
        <v>24000</v>
      </c>
      <c r="W166" s="112">
        <f t="shared" si="37"/>
        <v>0</v>
      </c>
      <c r="X166" s="113">
        <f t="shared" si="38"/>
        <v>0</v>
      </c>
      <c r="Y166" s="113">
        <v>0</v>
      </c>
      <c r="Z166" s="114">
        <v>0</v>
      </c>
      <c r="AA166" s="11">
        <f t="shared" si="39"/>
        <v>0</v>
      </c>
      <c r="AB166" s="115">
        <f t="shared" si="31"/>
        <v>-12000</v>
      </c>
      <c r="AC166" s="115">
        <f t="shared" si="32"/>
        <v>0</v>
      </c>
      <c r="AD166" s="115">
        <f t="shared" si="33"/>
        <v>0</v>
      </c>
      <c r="AE166" s="11"/>
      <c r="AF166" s="115">
        <f t="shared" si="40"/>
        <v>24000</v>
      </c>
      <c r="AG166" s="115">
        <f t="shared" si="41"/>
        <v>0</v>
      </c>
      <c r="AH166" s="115">
        <f t="shared" si="42"/>
        <v>0</v>
      </c>
      <c r="AJ166" s="11">
        <f t="shared" si="34"/>
        <v>12000</v>
      </c>
    </row>
    <row r="167" spans="1:36" s="124" customFormat="1">
      <c r="A167" s="127"/>
      <c r="B167" s="127" t="s">
        <v>46</v>
      </c>
      <c r="C167" s="96" t="s">
        <v>273</v>
      </c>
      <c r="D167" s="118" t="s">
        <v>274</v>
      </c>
      <c r="E167" s="98"/>
      <c r="F167" s="99">
        <f>VLOOKUP(D167,'Dec 2012 Revenue'!D:T,17,FALSE)</f>
        <v>0</v>
      </c>
      <c r="G167" s="100"/>
      <c r="H167" s="100"/>
      <c r="I167" s="101"/>
      <c r="J167" s="102">
        <f t="shared" si="28"/>
        <v>0</v>
      </c>
      <c r="K167" s="103"/>
      <c r="L167" s="104"/>
      <c r="M167" s="105"/>
      <c r="N167" s="103">
        <v>0</v>
      </c>
      <c r="O167" s="106"/>
      <c r="P167" s="103">
        <v>0</v>
      </c>
      <c r="Q167" s="107">
        <f t="shared" si="29"/>
        <v>0</v>
      </c>
      <c r="R167" s="108">
        <v>0</v>
      </c>
      <c r="S167" s="119"/>
      <c r="T167" s="110">
        <f t="shared" si="35"/>
        <v>0</v>
      </c>
      <c r="U167" s="103"/>
      <c r="V167" s="112">
        <f t="shared" si="36"/>
        <v>0</v>
      </c>
      <c r="W167" s="112">
        <f t="shared" si="37"/>
        <v>0</v>
      </c>
      <c r="X167" s="113">
        <f t="shared" si="38"/>
        <v>0</v>
      </c>
      <c r="Y167" s="113">
        <v>0</v>
      </c>
      <c r="Z167" s="114">
        <v>0</v>
      </c>
      <c r="AA167" s="11">
        <f t="shared" si="39"/>
        <v>0</v>
      </c>
      <c r="AB167" s="115">
        <f t="shared" si="31"/>
        <v>0</v>
      </c>
      <c r="AC167" s="115">
        <f t="shared" si="32"/>
        <v>0</v>
      </c>
      <c r="AD167" s="115">
        <f t="shared" si="33"/>
        <v>0</v>
      </c>
      <c r="AE167" s="11"/>
      <c r="AF167" s="115">
        <f t="shared" si="40"/>
        <v>0</v>
      </c>
      <c r="AG167" s="115">
        <f t="shared" si="41"/>
        <v>0</v>
      </c>
      <c r="AH167" s="115">
        <f t="shared" si="42"/>
        <v>0</v>
      </c>
      <c r="AJ167" s="11">
        <f t="shared" si="34"/>
        <v>0</v>
      </c>
    </row>
    <row r="168" spans="1:36">
      <c r="A168" s="116"/>
      <c r="B168" s="116" t="s">
        <v>49</v>
      </c>
      <c r="C168" s="126" t="s">
        <v>275</v>
      </c>
      <c r="D168" s="120" t="s">
        <v>276</v>
      </c>
      <c r="E168" s="98"/>
      <c r="F168" s="99">
        <f>VLOOKUP(D168,'Dec 2012 Revenue'!D:T,17,FALSE)</f>
        <v>0</v>
      </c>
      <c r="G168" s="100"/>
      <c r="H168" s="100"/>
      <c r="I168" s="101"/>
      <c r="J168" s="102">
        <f t="shared" si="28"/>
        <v>0</v>
      </c>
      <c r="K168" s="103"/>
      <c r="L168" s="104"/>
      <c r="M168" s="105"/>
      <c r="N168" s="103">
        <v>0</v>
      </c>
      <c r="O168" s="106"/>
      <c r="P168" s="103">
        <v>0</v>
      </c>
      <c r="Q168" s="107">
        <f t="shared" si="29"/>
        <v>0</v>
      </c>
      <c r="R168" s="108">
        <v>0</v>
      </c>
      <c r="S168" s="119"/>
      <c r="T168" s="110">
        <f t="shared" si="35"/>
        <v>0</v>
      </c>
      <c r="U168" s="103"/>
      <c r="V168" s="112">
        <f t="shared" si="36"/>
        <v>0</v>
      </c>
      <c r="W168" s="112">
        <f t="shared" si="37"/>
        <v>0</v>
      </c>
      <c r="X168" s="113">
        <f t="shared" si="38"/>
        <v>0</v>
      </c>
      <c r="Y168" s="113">
        <v>0</v>
      </c>
      <c r="Z168" s="114">
        <v>0</v>
      </c>
      <c r="AA168" s="11">
        <f t="shared" si="39"/>
        <v>0</v>
      </c>
      <c r="AB168" s="115">
        <f t="shared" si="31"/>
        <v>0</v>
      </c>
      <c r="AC168" s="115">
        <f t="shared" si="32"/>
        <v>0</v>
      </c>
      <c r="AD168" s="115">
        <f t="shared" si="33"/>
        <v>0</v>
      </c>
      <c r="AE168" s="11"/>
      <c r="AF168" s="115">
        <f t="shared" si="40"/>
        <v>0</v>
      </c>
      <c r="AG168" s="115">
        <f t="shared" si="41"/>
        <v>0</v>
      </c>
      <c r="AH168" s="115">
        <f t="shared" si="42"/>
        <v>0</v>
      </c>
      <c r="AJ168" s="11">
        <f t="shared" si="34"/>
        <v>0</v>
      </c>
    </row>
    <row r="169" spans="1:36">
      <c r="A169" s="116"/>
      <c r="B169" s="116" t="s">
        <v>46</v>
      </c>
      <c r="C169" s="122" t="s">
        <v>279</v>
      </c>
      <c r="D169" s="120" t="s">
        <v>431</v>
      </c>
      <c r="E169" s="98"/>
      <c r="F169" s="99">
        <f>VLOOKUP(D169,'Dec 2012 Revenue'!D:T,17,FALSE)</f>
        <v>0</v>
      </c>
      <c r="G169" s="100"/>
      <c r="H169" s="100"/>
      <c r="I169" s="101"/>
      <c r="J169" s="102">
        <f t="shared" si="28"/>
        <v>0</v>
      </c>
      <c r="K169" s="103"/>
      <c r="L169" s="104"/>
      <c r="M169" s="105"/>
      <c r="N169" s="103">
        <v>0</v>
      </c>
      <c r="O169" s="106"/>
      <c r="P169" s="103">
        <v>0</v>
      </c>
      <c r="Q169" s="107">
        <f t="shared" si="29"/>
        <v>0</v>
      </c>
      <c r="R169" s="108">
        <v>0</v>
      </c>
      <c r="S169" s="119"/>
      <c r="T169" s="110">
        <f t="shared" si="35"/>
        <v>0</v>
      </c>
      <c r="U169" s="103"/>
      <c r="V169" s="112">
        <f t="shared" si="36"/>
        <v>0</v>
      </c>
      <c r="W169" s="112">
        <f t="shared" si="37"/>
        <v>0</v>
      </c>
      <c r="X169" s="113">
        <f t="shared" si="38"/>
        <v>0</v>
      </c>
      <c r="Y169" s="113">
        <v>0</v>
      </c>
      <c r="Z169" s="114">
        <v>0</v>
      </c>
      <c r="AA169" s="11">
        <f t="shared" si="39"/>
        <v>0</v>
      </c>
      <c r="AB169" s="115">
        <f t="shared" si="31"/>
        <v>0</v>
      </c>
      <c r="AC169" s="115">
        <f t="shared" si="32"/>
        <v>0</v>
      </c>
      <c r="AD169" s="115">
        <f t="shared" si="33"/>
        <v>0</v>
      </c>
      <c r="AE169" s="11"/>
      <c r="AF169" s="115">
        <f t="shared" si="40"/>
        <v>0</v>
      </c>
      <c r="AG169" s="115">
        <f t="shared" si="41"/>
        <v>0</v>
      </c>
      <c r="AH169" s="115">
        <f t="shared" si="42"/>
        <v>0</v>
      </c>
      <c r="AJ169" s="11">
        <f t="shared" si="34"/>
        <v>0</v>
      </c>
    </row>
    <row r="170" spans="1:36">
      <c r="A170" s="116"/>
      <c r="B170" s="116" t="s">
        <v>46</v>
      </c>
      <c r="C170" s="122" t="s">
        <v>279</v>
      </c>
      <c r="D170" s="120" t="s">
        <v>280</v>
      </c>
      <c r="E170" s="98"/>
      <c r="F170" s="99">
        <f>VLOOKUP(D170,'Dec 2012 Revenue'!D:T,17,FALSE)</f>
        <v>0</v>
      </c>
      <c r="G170" s="100"/>
      <c r="H170" s="100"/>
      <c r="I170" s="101"/>
      <c r="J170" s="102">
        <f t="shared" si="28"/>
        <v>0</v>
      </c>
      <c r="K170" s="103"/>
      <c r="L170" s="104"/>
      <c r="M170" s="105"/>
      <c r="N170" s="103">
        <v>0</v>
      </c>
      <c r="O170" s="106"/>
      <c r="P170" s="103">
        <v>0</v>
      </c>
      <c r="Q170" s="107">
        <f t="shared" si="29"/>
        <v>0</v>
      </c>
      <c r="R170" s="108">
        <v>0</v>
      </c>
      <c r="S170" s="119"/>
      <c r="T170" s="110">
        <f t="shared" si="35"/>
        <v>0</v>
      </c>
      <c r="U170" s="103"/>
      <c r="V170" s="112">
        <f t="shared" si="36"/>
        <v>0</v>
      </c>
      <c r="W170" s="112">
        <f t="shared" si="37"/>
        <v>0</v>
      </c>
      <c r="X170" s="113">
        <f t="shared" si="38"/>
        <v>0</v>
      </c>
      <c r="Y170" s="113">
        <v>0</v>
      </c>
      <c r="Z170" s="114">
        <v>0</v>
      </c>
      <c r="AA170" s="11">
        <f t="shared" si="39"/>
        <v>0</v>
      </c>
      <c r="AB170" s="115">
        <f t="shared" si="31"/>
        <v>0</v>
      </c>
      <c r="AC170" s="115">
        <f t="shared" si="32"/>
        <v>0</v>
      </c>
      <c r="AD170" s="115">
        <f t="shared" si="33"/>
        <v>0</v>
      </c>
      <c r="AE170" s="11"/>
      <c r="AF170" s="115">
        <f t="shared" si="40"/>
        <v>0</v>
      </c>
      <c r="AG170" s="115">
        <f t="shared" si="41"/>
        <v>0</v>
      </c>
      <c r="AH170" s="115">
        <f t="shared" si="42"/>
        <v>0</v>
      </c>
      <c r="AJ170" s="11">
        <f t="shared" si="34"/>
        <v>0</v>
      </c>
    </row>
    <row r="171" spans="1:36">
      <c r="A171" s="129"/>
      <c r="B171" s="129" t="s">
        <v>49</v>
      </c>
      <c r="C171" s="96"/>
      <c r="D171" s="120" t="s">
        <v>432</v>
      </c>
      <c r="E171" s="98"/>
      <c r="F171" s="99">
        <f>VLOOKUP(D171,'Dec 2012 Revenue'!D:T,17,FALSE)</f>
        <v>0</v>
      </c>
      <c r="G171" s="100"/>
      <c r="H171" s="100"/>
      <c r="I171" s="101"/>
      <c r="J171" s="102">
        <f t="shared" si="28"/>
        <v>0</v>
      </c>
      <c r="K171" s="103"/>
      <c r="L171" s="104"/>
      <c r="M171" s="105"/>
      <c r="N171" s="103">
        <v>0</v>
      </c>
      <c r="O171" s="106"/>
      <c r="P171" s="103">
        <v>0</v>
      </c>
      <c r="Q171" s="107">
        <f t="shared" si="29"/>
        <v>0</v>
      </c>
      <c r="R171" s="108">
        <v>261.12</v>
      </c>
      <c r="S171" s="119"/>
      <c r="T171" s="110">
        <f t="shared" si="35"/>
        <v>261.12</v>
      </c>
      <c r="U171" s="103"/>
      <c r="V171" s="112">
        <f t="shared" si="36"/>
        <v>0</v>
      </c>
      <c r="W171" s="112">
        <f t="shared" si="37"/>
        <v>0</v>
      </c>
      <c r="X171" s="113">
        <f t="shared" si="38"/>
        <v>0</v>
      </c>
      <c r="Y171" s="113">
        <v>0</v>
      </c>
      <c r="Z171" s="114">
        <v>0</v>
      </c>
      <c r="AA171" s="11">
        <f t="shared" si="39"/>
        <v>0</v>
      </c>
      <c r="AB171" s="115">
        <f t="shared" si="31"/>
        <v>0</v>
      </c>
      <c r="AC171" s="115">
        <f t="shared" si="32"/>
        <v>0</v>
      </c>
      <c r="AD171" s="115">
        <f t="shared" si="33"/>
        <v>0</v>
      </c>
      <c r="AE171" s="11"/>
      <c r="AF171" s="115">
        <f t="shared" si="40"/>
        <v>0</v>
      </c>
      <c r="AG171" s="115">
        <f t="shared" si="41"/>
        <v>0</v>
      </c>
      <c r="AH171" s="115">
        <f t="shared" si="42"/>
        <v>0</v>
      </c>
      <c r="AJ171" s="11">
        <f t="shared" si="34"/>
        <v>0</v>
      </c>
    </row>
    <row r="172" spans="1:36">
      <c r="A172" s="129"/>
      <c r="B172" s="129" t="s">
        <v>46</v>
      </c>
      <c r="C172" s="96" t="s">
        <v>282</v>
      </c>
      <c r="D172" s="120" t="s">
        <v>283</v>
      </c>
      <c r="E172" s="98"/>
      <c r="F172" s="99">
        <f>VLOOKUP(D172,'Dec 2012 Revenue'!D:T,17,FALSE)</f>
        <v>0</v>
      </c>
      <c r="G172" s="100"/>
      <c r="H172" s="100"/>
      <c r="I172" s="125">
        <v>4014</v>
      </c>
      <c r="J172" s="102">
        <f t="shared" si="28"/>
        <v>4014</v>
      </c>
      <c r="K172" s="103"/>
      <c r="L172" s="104"/>
      <c r="M172" s="105"/>
      <c r="N172" s="103">
        <v>0</v>
      </c>
      <c r="O172" s="106"/>
      <c r="P172" s="103">
        <v>0</v>
      </c>
      <c r="Q172" s="107">
        <f t="shared" si="29"/>
        <v>0</v>
      </c>
      <c r="R172" s="108">
        <v>0</v>
      </c>
      <c r="S172" s="119"/>
      <c r="T172" s="110">
        <f t="shared" si="35"/>
        <v>0</v>
      </c>
      <c r="U172" s="103"/>
      <c r="V172" s="112">
        <f t="shared" si="36"/>
        <v>0</v>
      </c>
      <c r="W172" s="112">
        <f t="shared" si="37"/>
        <v>0</v>
      </c>
      <c r="X172" s="113">
        <f t="shared" si="38"/>
        <v>0</v>
      </c>
      <c r="Y172" s="113">
        <v>0</v>
      </c>
      <c r="Z172" s="114">
        <v>0</v>
      </c>
      <c r="AA172" s="11">
        <f t="shared" si="39"/>
        <v>0</v>
      </c>
      <c r="AB172" s="115">
        <f t="shared" si="31"/>
        <v>0</v>
      </c>
      <c r="AC172" s="115">
        <f t="shared" si="32"/>
        <v>4014</v>
      </c>
      <c r="AD172" s="115">
        <f t="shared" si="33"/>
        <v>0</v>
      </c>
      <c r="AE172" s="11"/>
      <c r="AF172" s="115">
        <f t="shared" si="40"/>
        <v>0</v>
      </c>
      <c r="AG172" s="115">
        <f t="shared" si="41"/>
        <v>0</v>
      </c>
      <c r="AH172" s="115">
        <f t="shared" si="42"/>
        <v>0</v>
      </c>
      <c r="AJ172" s="11">
        <f t="shared" si="34"/>
        <v>4014</v>
      </c>
    </row>
    <row r="173" spans="1:36">
      <c r="A173" s="129"/>
      <c r="B173" s="129" t="s">
        <v>81</v>
      </c>
      <c r="C173" s="96" t="s">
        <v>282</v>
      </c>
      <c r="D173" s="120" t="s">
        <v>283</v>
      </c>
      <c r="E173" s="98"/>
      <c r="F173" s="99">
        <f>VLOOKUP(D173,'Dec 2012 Revenue'!D:T,17,FALSE)</f>
        <v>0</v>
      </c>
      <c r="G173" s="100"/>
      <c r="H173" s="100"/>
      <c r="I173" s="101"/>
      <c r="J173" s="102">
        <f t="shared" si="28"/>
        <v>0</v>
      </c>
      <c r="K173" s="103"/>
      <c r="L173" s="104"/>
      <c r="M173" s="105"/>
      <c r="N173" s="103">
        <v>0</v>
      </c>
      <c r="O173" s="106"/>
      <c r="P173" s="103">
        <v>0</v>
      </c>
      <c r="Q173" s="107">
        <f t="shared" si="29"/>
        <v>0</v>
      </c>
      <c r="R173" s="108">
        <v>0</v>
      </c>
      <c r="S173" s="119"/>
      <c r="T173" s="110">
        <f t="shared" si="35"/>
        <v>0</v>
      </c>
      <c r="U173" s="103"/>
      <c r="V173" s="112">
        <f t="shared" si="36"/>
        <v>0</v>
      </c>
      <c r="W173" s="112">
        <f t="shared" si="37"/>
        <v>0</v>
      </c>
      <c r="X173" s="113">
        <f t="shared" si="38"/>
        <v>0</v>
      </c>
      <c r="Y173" s="113">
        <v>0</v>
      </c>
      <c r="Z173" s="114">
        <v>0</v>
      </c>
      <c r="AA173" s="11">
        <f t="shared" si="39"/>
        <v>0</v>
      </c>
      <c r="AB173" s="115">
        <f t="shared" si="31"/>
        <v>0</v>
      </c>
      <c r="AC173" s="115">
        <f t="shared" si="32"/>
        <v>0</v>
      </c>
      <c r="AD173" s="115">
        <f t="shared" si="33"/>
        <v>0</v>
      </c>
      <c r="AE173" s="11"/>
      <c r="AF173" s="115">
        <f t="shared" si="40"/>
        <v>0</v>
      </c>
      <c r="AG173" s="115">
        <f t="shared" si="41"/>
        <v>0</v>
      </c>
      <c r="AH173" s="115">
        <f t="shared" si="42"/>
        <v>0</v>
      </c>
      <c r="AJ173" s="11">
        <f t="shared" si="34"/>
        <v>0</v>
      </c>
    </row>
    <row r="174" spans="1:36">
      <c r="A174" s="129"/>
      <c r="B174" s="129" t="s">
        <v>49</v>
      </c>
      <c r="C174" s="96" t="s">
        <v>284</v>
      </c>
      <c r="D174" s="120" t="s">
        <v>285</v>
      </c>
      <c r="E174" s="98"/>
      <c r="F174" s="99">
        <f>VLOOKUP(D174,'Dec 2012 Revenue'!D:T,17,FALSE)</f>
        <v>0</v>
      </c>
      <c r="G174" s="100"/>
      <c r="H174" s="100"/>
      <c r="I174" s="101"/>
      <c r="J174" s="102">
        <f t="shared" si="28"/>
        <v>0</v>
      </c>
      <c r="K174" s="103"/>
      <c r="L174" s="104"/>
      <c r="M174" s="105"/>
      <c r="N174" s="103">
        <v>0</v>
      </c>
      <c r="O174" s="106"/>
      <c r="P174" s="103">
        <v>0</v>
      </c>
      <c r="Q174" s="107">
        <f t="shared" si="29"/>
        <v>0</v>
      </c>
      <c r="R174" s="108">
        <f>8821.73+243.91</f>
        <v>9065.64</v>
      </c>
      <c r="S174" s="119"/>
      <c r="T174" s="110">
        <f t="shared" si="35"/>
        <v>9065.64</v>
      </c>
      <c r="U174" s="103"/>
      <c r="V174" s="112">
        <f t="shared" si="36"/>
        <v>0</v>
      </c>
      <c r="W174" s="112">
        <f t="shared" si="37"/>
        <v>0</v>
      </c>
      <c r="X174" s="113">
        <f t="shared" si="38"/>
        <v>0</v>
      </c>
      <c r="Y174" s="113">
        <v>0</v>
      </c>
      <c r="Z174" s="114">
        <v>0</v>
      </c>
      <c r="AA174" s="11">
        <f t="shared" si="39"/>
        <v>0</v>
      </c>
      <c r="AB174" s="115">
        <f t="shared" si="31"/>
        <v>0</v>
      </c>
      <c r="AC174" s="115">
        <f t="shared" si="32"/>
        <v>0</v>
      </c>
      <c r="AD174" s="115">
        <f t="shared" si="33"/>
        <v>0</v>
      </c>
      <c r="AE174" s="11"/>
      <c r="AF174" s="115">
        <f t="shared" si="40"/>
        <v>0</v>
      </c>
      <c r="AG174" s="115">
        <f t="shared" si="41"/>
        <v>0</v>
      </c>
      <c r="AH174" s="115">
        <f t="shared" si="42"/>
        <v>0</v>
      </c>
      <c r="AJ174" s="11">
        <f t="shared" si="34"/>
        <v>0</v>
      </c>
    </row>
    <row r="175" spans="1:36">
      <c r="A175" s="116"/>
      <c r="B175" s="116" t="s">
        <v>46</v>
      </c>
      <c r="C175" s="122"/>
      <c r="D175" s="120" t="s">
        <v>286</v>
      </c>
      <c r="E175" s="98">
        <v>10372.15</v>
      </c>
      <c r="F175" s="99">
        <f>VLOOKUP(D175,'Dec 2012 Revenue'!D:T,17,FALSE)</f>
        <v>-30000</v>
      </c>
      <c r="G175" s="100"/>
      <c r="H175" s="100"/>
      <c r="I175" s="101"/>
      <c r="J175" s="102">
        <f t="shared" si="28"/>
        <v>-19627.849999999999</v>
      </c>
      <c r="K175" s="103"/>
      <c r="L175" s="104"/>
      <c r="M175" s="105">
        <v>40000</v>
      </c>
      <c r="N175" s="103">
        <v>0</v>
      </c>
      <c r="O175" s="106"/>
      <c r="P175" s="103">
        <v>0</v>
      </c>
      <c r="Q175" s="107">
        <f t="shared" si="29"/>
        <v>40000</v>
      </c>
      <c r="R175" s="108">
        <v>0</v>
      </c>
      <c r="S175" s="119"/>
      <c r="T175" s="110">
        <f t="shared" si="35"/>
        <v>-40000</v>
      </c>
      <c r="U175" s="103"/>
      <c r="V175" s="112">
        <f t="shared" si="36"/>
        <v>0</v>
      </c>
      <c r="W175" s="112">
        <f t="shared" si="37"/>
        <v>40000</v>
      </c>
      <c r="X175" s="113">
        <f t="shared" si="38"/>
        <v>0</v>
      </c>
      <c r="Y175" s="113">
        <v>0</v>
      </c>
      <c r="Z175" s="114">
        <v>0</v>
      </c>
      <c r="AA175" s="11">
        <f t="shared" si="39"/>
        <v>0</v>
      </c>
      <c r="AB175" s="115">
        <f t="shared" si="31"/>
        <v>0</v>
      </c>
      <c r="AC175" s="115">
        <f t="shared" si="32"/>
        <v>-19627.849999999999</v>
      </c>
      <c r="AD175" s="115">
        <f t="shared" si="33"/>
        <v>0</v>
      </c>
      <c r="AE175" s="11"/>
      <c r="AF175" s="115">
        <f t="shared" si="40"/>
        <v>0</v>
      </c>
      <c r="AG175" s="115">
        <f t="shared" si="41"/>
        <v>40000</v>
      </c>
      <c r="AH175" s="115">
        <f t="shared" si="42"/>
        <v>0</v>
      </c>
      <c r="AJ175" s="11">
        <f t="shared" si="34"/>
        <v>20372.150000000001</v>
      </c>
    </row>
    <row r="176" spans="1:36">
      <c r="A176" s="129"/>
      <c r="B176" s="129" t="s">
        <v>49</v>
      </c>
      <c r="C176" s="96"/>
      <c r="D176" s="120" t="s">
        <v>287</v>
      </c>
      <c r="E176" s="98"/>
      <c r="F176" s="99">
        <f>VLOOKUP(D176,'Dec 2012 Revenue'!D:T,17,FALSE)</f>
        <v>4650.5</v>
      </c>
      <c r="G176" s="100"/>
      <c r="H176" s="100"/>
      <c r="I176" s="101"/>
      <c r="J176" s="102">
        <f t="shared" si="28"/>
        <v>4650.5</v>
      </c>
      <c r="K176" s="103"/>
      <c r="L176" s="104"/>
      <c r="M176" s="105">
        <v>15000</v>
      </c>
      <c r="N176" s="103">
        <v>0</v>
      </c>
      <c r="O176" s="106"/>
      <c r="P176" s="103">
        <v>0</v>
      </c>
      <c r="Q176" s="107">
        <f t="shared" si="29"/>
        <v>15000</v>
      </c>
      <c r="R176" s="108">
        <f>17655.78+1120.83</f>
        <v>18776.61</v>
      </c>
      <c r="S176" s="119"/>
      <c r="T176" s="110">
        <f t="shared" si="35"/>
        <v>3776.6100000000006</v>
      </c>
      <c r="U176" s="103"/>
      <c r="V176" s="112">
        <f t="shared" si="36"/>
        <v>15000</v>
      </c>
      <c r="W176" s="112">
        <f t="shared" si="37"/>
        <v>0</v>
      </c>
      <c r="X176" s="113">
        <f t="shared" si="38"/>
        <v>0</v>
      </c>
      <c r="Y176" s="113">
        <v>0</v>
      </c>
      <c r="Z176" s="114">
        <v>0</v>
      </c>
      <c r="AA176" s="11">
        <f t="shared" si="39"/>
        <v>0</v>
      </c>
      <c r="AB176" s="115">
        <f t="shared" si="31"/>
        <v>4650.5</v>
      </c>
      <c r="AC176" s="115">
        <f t="shared" si="32"/>
        <v>0</v>
      </c>
      <c r="AD176" s="115">
        <f t="shared" si="33"/>
        <v>0</v>
      </c>
      <c r="AE176" s="11"/>
      <c r="AF176" s="115">
        <f t="shared" si="40"/>
        <v>15000</v>
      </c>
      <c r="AG176" s="115">
        <f t="shared" si="41"/>
        <v>0</v>
      </c>
      <c r="AH176" s="115">
        <f t="shared" si="42"/>
        <v>0</v>
      </c>
      <c r="AJ176" s="11">
        <f t="shared" si="34"/>
        <v>19650.5</v>
      </c>
    </row>
    <row r="177" spans="1:36">
      <c r="A177" s="116" t="s">
        <v>60</v>
      </c>
      <c r="B177" s="116" t="s">
        <v>49</v>
      </c>
      <c r="C177" s="122"/>
      <c r="D177" s="120" t="s">
        <v>433</v>
      </c>
      <c r="E177" s="98"/>
      <c r="F177" s="99">
        <f>VLOOKUP(D177,'Dec 2012 Revenue'!D:T,17,FALSE)</f>
        <v>0</v>
      </c>
      <c r="G177" s="100"/>
      <c r="H177" s="100"/>
      <c r="I177" s="101"/>
      <c r="J177" s="102">
        <f t="shared" si="28"/>
        <v>0</v>
      </c>
      <c r="K177" s="103"/>
      <c r="L177" s="104"/>
      <c r="M177" s="105"/>
      <c r="N177" s="103">
        <v>0</v>
      </c>
      <c r="O177" s="106"/>
      <c r="P177" s="103">
        <v>0</v>
      </c>
      <c r="Q177" s="107">
        <f t="shared" si="29"/>
        <v>0</v>
      </c>
      <c r="R177" s="108">
        <v>0</v>
      </c>
      <c r="S177" s="119"/>
      <c r="T177" s="110">
        <f t="shared" si="35"/>
        <v>0</v>
      </c>
      <c r="U177" s="103"/>
      <c r="V177" s="112">
        <f t="shared" si="36"/>
        <v>0</v>
      </c>
      <c r="W177" s="112">
        <f t="shared" si="37"/>
        <v>0</v>
      </c>
      <c r="X177" s="113">
        <f t="shared" si="38"/>
        <v>0</v>
      </c>
      <c r="Y177" s="113">
        <v>0</v>
      </c>
      <c r="Z177" s="114">
        <v>0</v>
      </c>
      <c r="AA177" s="11">
        <f t="shared" si="39"/>
        <v>0</v>
      </c>
      <c r="AB177" s="115">
        <f t="shared" si="31"/>
        <v>0</v>
      </c>
      <c r="AC177" s="115">
        <f t="shared" si="32"/>
        <v>0</v>
      </c>
      <c r="AD177" s="115">
        <f t="shared" si="33"/>
        <v>0</v>
      </c>
      <c r="AE177" s="11"/>
      <c r="AF177" s="115">
        <f t="shared" si="40"/>
        <v>0</v>
      </c>
      <c r="AG177" s="115">
        <f t="shared" si="41"/>
        <v>0</v>
      </c>
      <c r="AH177" s="115">
        <f t="shared" si="42"/>
        <v>0</v>
      </c>
      <c r="AJ177" s="11">
        <f t="shared" si="34"/>
        <v>0</v>
      </c>
    </row>
    <row r="178" spans="1:36">
      <c r="A178" s="116"/>
      <c r="B178" s="116" t="s">
        <v>49</v>
      </c>
      <c r="C178" s="122" t="s">
        <v>289</v>
      </c>
      <c r="D178" s="120" t="s">
        <v>290</v>
      </c>
      <c r="E178" s="98"/>
      <c r="F178" s="99">
        <f>VLOOKUP(D178,'Dec 2012 Revenue'!D:T,17,FALSE)</f>
        <v>112037.91999999993</v>
      </c>
      <c r="G178" s="100"/>
      <c r="H178" s="100"/>
      <c r="I178" s="101"/>
      <c r="J178" s="102">
        <f t="shared" si="28"/>
        <v>112037.91999999993</v>
      </c>
      <c r="K178" s="103"/>
      <c r="L178" s="104"/>
      <c r="M178" s="105">
        <v>1000000</v>
      </c>
      <c r="N178" s="103">
        <v>0</v>
      </c>
      <c r="O178" s="106"/>
      <c r="P178" s="103">
        <v>0</v>
      </c>
      <c r="Q178" s="107">
        <f t="shared" si="29"/>
        <v>1000000</v>
      </c>
      <c r="R178" s="108">
        <f>1071402.6+118.65</f>
        <v>1071521.25</v>
      </c>
      <c r="S178" s="119"/>
      <c r="T178" s="110">
        <f t="shared" si="35"/>
        <v>71521.25</v>
      </c>
      <c r="U178" s="103"/>
      <c r="V178" s="112">
        <f t="shared" si="36"/>
        <v>1000000</v>
      </c>
      <c r="W178" s="112">
        <f t="shared" si="37"/>
        <v>0</v>
      </c>
      <c r="X178" s="113">
        <f t="shared" si="38"/>
        <v>0</v>
      </c>
      <c r="Y178" s="113">
        <v>0</v>
      </c>
      <c r="Z178" s="114">
        <v>0</v>
      </c>
      <c r="AA178" s="11">
        <f t="shared" si="39"/>
        <v>0</v>
      </c>
      <c r="AB178" s="115">
        <f t="shared" si="31"/>
        <v>112037.91999999993</v>
      </c>
      <c r="AC178" s="115">
        <f t="shared" si="32"/>
        <v>0</v>
      </c>
      <c r="AD178" s="115">
        <f t="shared" si="33"/>
        <v>0</v>
      </c>
      <c r="AE178" s="11"/>
      <c r="AF178" s="115">
        <f t="shared" si="40"/>
        <v>1000000</v>
      </c>
      <c r="AG178" s="115">
        <f t="shared" si="41"/>
        <v>0</v>
      </c>
      <c r="AH178" s="115">
        <f t="shared" si="42"/>
        <v>0</v>
      </c>
      <c r="AJ178" s="11">
        <f t="shared" si="34"/>
        <v>1112037.92</v>
      </c>
    </row>
    <row r="179" spans="1:36">
      <c r="A179" s="116"/>
      <c r="B179" s="116" t="s">
        <v>49</v>
      </c>
      <c r="C179" s="122" t="s">
        <v>289</v>
      </c>
      <c r="D179" s="120" t="s">
        <v>292</v>
      </c>
      <c r="E179" s="98"/>
      <c r="F179" s="99">
        <f>VLOOKUP(D179,'Dec 2012 Revenue'!D:T,17,FALSE)</f>
        <v>-6202.8600000000006</v>
      </c>
      <c r="G179" s="100"/>
      <c r="H179" s="100"/>
      <c r="I179" s="101"/>
      <c r="J179" s="102">
        <f t="shared" si="28"/>
        <v>-6202.8600000000006</v>
      </c>
      <c r="K179" s="103"/>
      <c r="L179" s="104"/>
      <c r="M179" s="105"/>
      <c r="N179" s="103">
        <v>0</v>
      </c>
      <c r="O179" s="106"/>
      <c r="P179" s="103">
        <v>0</v>
      </c>
      <c r="Q179" s="107">
        <f t="shared" si="29"/>
        <v>0</v>
      </c>
      <c r="R179" s="108">
        <v>4869.43</v>
      </c>
      <c r="S179" s="119"/>
      <c r="T179" s="110">
        <f t="shared" si="35"/>
        <v>4869.43</v>
      </c>
      <c r="U179" s="103"/>
      <c r="V179" s="112">
        <f t="shared" si="36"/>
        <v>0</v>
      </c>
      <c r="W179" s="112">
        <f t="shared" si="37"/>
        <v>0</v>
      </c>
      <c r="X179" s="113">
        <f t="shared" si="38"/>
        <v>0</v>
      </c>
      <c r="Y179" s="113">
        <v>0</v>
      </c>
      <c r="Z179" s="114">
        <v>0</v>
      </c>
      <c r="AA179" s="11">
        <f t="shared" si="39"/>
        <v>0</v>
      </c>
      <c r="AB179" s="115">
        <f t="shared" si="31"/>
        <v>-6202.8600000000006</v>
      </c>
      <c r="AC179" s="115">
        <f t="shared" si="32"/>
        <v>0</v>
      </c>
      <c r="AD179" s="115">
        <f t="shared" si="33"/>
        <v>0</v>
      </c>
      <c r="AE179" s="11"/>
      <c r="AF179" s="115">
        <f t="shared" si="40"/>
        <v>0</v>
      </c>
      <c r="AG179" s="115">
        <f t="shared" si="41"/>
        <v>0</v>
      </c>
      <c r="AH179" s="115">
        <f t="shared" si="42"/>
        <v>0</v>
      </c>
      <c r="AJ179" s="11">
        <f t="shared" si="34"/>
        <v>-6202.8600000000006</v>
      </c>
    </row>
    <row r="180" spans="1:36">
      <c r="A180" s="129"/>
      <c r="B180" s="129" t="s">
        <v>49</v>
      </c>
      <c r="C180" s="96"/>
      <c r="D180" s="120" t="s">
        <v>293</v>
      </c>
      <c r="E180" s="98"/>
      <c r="F180" s="99">
        <f>VLOOKUP(D180,'Dec 2012 Revenue'!D:T,17,FALSE)</f>
        <v>0</v>
      </c>
      <c r="G180" s="100"/>
      <c r="H180" s="100"/>
      <c r="I180" s="101"/>
      <c r="J180" s="102">
        <f t="shared" si="28"/>
        <v>0</v>
      </c>
      <c r="K180" s="103"/>
      <c r="L180" s="104"/>
      <c r="M180" s="105"/>
      <c r="N180" s="103">
        <v>0</v>
      </c>
      <c r="O180" s="106"/>
      <c r="P180" s="103">
        <v>0</v>
      </c>
      <c r="Q180" s="107">
        <f t="shared" si="29"/>
        <v>0</v>
      </c>
      <c r="R180" s="108">
        <v>0</v>
      </c>
      <c r="S180" s="119"/>
      <c r="T180" s="110">
        <f t="shared" si="35"/>
        <v>0</v>
      </c>
      <c r="U180" s="103"/>
      <c r="V180" s="112">
        <f t="shared" si="36"/>
        <v>0</v>
      </c>
      <c r="W180" s="112">
        <f t="shared" si="37"/>
        <v>0</v>
      </c>
      <c r="X180" s="113">
        <f t="shared" si="38"/>
        <v>0</v>
      </c>
      <c r="Y180" s="113">
        <v>0</v>
      </c>
      <c r="Z180" s="114">
        <v>0</v>
      </c>
      <c r="AA180" s="11">
        <f t="shared" si="39"/>
        <v>0</v>
      </c>
      <c r="AB180" s="115">
        <f t="shared" si="31"/>
        <v>0</v>
      </c>
      <c r="AC180" s="115">
        <f t="shared" si="32"/>
        <v>0</v>
      </c>
      <c r="AD180" s="115">
        <f t="shared" si="33"/>
        <v>0</v>
      </c>
      <c r="AE180" s="11"/>
      <c r="AF180" s="115">
        <f t="shared" si="40"/>
        <v>0</v>
      </c>
      <c r="AG180" s="115">
        <f t="shared" si="41"/>
        <v>0</v>
      </c>
      <c r="AH180" s="115">
        <f t="shared" si="42"/>
        <v>0</v>
      </c>
      <c r="AJ180" s="11">
        <f t="shared" si="34"/>
        <v>0</v>
      </c>
    </row>
    <row r="181" spans="1:36">
      <c r="A181" s="129"/>
      <c r="B181" s="129" t="s">
        <v>46</v>
      </c>
      <c r="C181" s="96"/>
      <c r="D181" s="120" t="s">
        <v>294</v>
      </c>
      <c r="E181" s="98"/>
      <c r="F181" s="99">
        <f>VLOOKUP(D181,'Dec 2012 Revenue'!D:T,17,FALSE)</f>
        <v>0</v>
      </c>
      <c r="G181" s="100"/>
      <c r="H181" s="100"/>
      <c r="I181" s="101"/>
      <c r="J181" s="102">
        <f t="shared" si="28"/>
        <v>0</v>
      </c>
      <c r="K181" s="103"/>
      <c r="L181" s="104"/>
      <c r="M181" s="105"/>
      <c r="N181" s="103">
        <v>0</v>
      </c>
      <c r="O181" s="106"/>
      <c r="P181" s="103">
        <v>0</v>
      </c>
      <c r="Q181" s="107">
        <f t="shared" si="29"/>
        <v>0</v>
      </c>
      <c r="R181" s="108">
        <v>0</v>
      </c>
      <c r="S181" s="119"/>
      <c r="T181" s="110">
        <f t="shared" si="35"/>
        <v>0</v>
      </c>
      <c r="U181" s="103"/>
      <c r="V181" s="112">
        <f t="shared" si="36"/>
        <v>0</v>
      </c>
      <c r="W181" s="112">
        <f t="shared" si="37"/>
        <v>0</v>
      </c>
      <c r="X181" s="113">
        <f t="shared" si="38"/>
        <v>0</v>
      </c>
      <c r="Y181" s="113">
        <v>0</v>
      </c>
      <c r="Z181" s="114">
        <v>0</v>
      </c>
      <c r="AA181" s="11">
        <f t="shared" si="39"/>
        <v>0</v>
      </c>
      <c r="AB181" s="115">
        <f t="shared" si="31"/>
        <v>0</v>
      </c>
      <c r="AC181" s="115">
        <f t="shared" si="32"/>
        <v>0</v>
      </c>
      <c r="AD181" s="115">
        <f t="shared" si="33"/>
        <v>0</v>
      </c>
      <c r="AE181" s="11"/>
      <c r="AF181" s="115">
        <f t="shared" si="40"/>
        <v>0</v>
      </c>
      <c r="AG181" s="115">
        <f t="shared" si="41"/>
        <v>0</v>
      </c>
      <c r="AH181" s="115">
        <f t="shared" si="42"/>
        <v>0</v>
      </c>
      <c r="AJ181" s="11">
        <f t="shared" si="34"/>
        <v>0</v>
      </c>
    </row>
    <row r="182" spans="1:36">
      <c r="A182" s="129"/>
      <c r="B182" s="129" t="s">
        <v>46</v>
      </c>
      <c r="C182" s="96"/>
      <c r="D182" s="120" t="s">
        <v>295</v>
      </c>
      <c r="E182" s="98"/>
      <c r="F182" s="99">
        <f>VLOOKUP(D182,'Dec 2012 Revenue'!D:T,17,FALSE)</f>
        <v>-5000</v>
      </c>
      <c r="G182" s="100"/>
      <c r="H182" s="100"/>
      <c r="I182" s="101"/>
      <c r="J182" s="102">
        <f t="shared" si="28"/>
        <v>-5000</v>
      </c>
      <c r="K182" s="103"/>
      <c r="L182" s="104"/>
      <c r="M182" s="105">
        <v>6000</v>
      </c>
      <c r="N182" s="103">
        <v>0</v>
      </c>
      <c r="O182" s="106"/>
      <c r="P182" s="103">
        <v>0</v>
      </c>
      <c r="Q182" s="107">
        <f t="shared" si="29"/>
        <v>6000</v>
      </c>
      <c r="R182" s="108">
        <v>0</v>
      </c>
      <c r="S182" s="119"/>
      <c r="T182" s="110">
        <f t="shared" si="35"/>
        <v>-6000</v>
      </c>
      <c r="U182" s="103"/>
      <c r="V182" s="112">
        <f t="shared" si="36"/>
        <v>0</v>
      </c>
      <c r="W182" s="112">
        <f t="shared" si="37"/>
        <v>6000</v>
      </c>
      <c r="X182" s="113">
        <f t="shared" si="38"/>
        <v>0</v>
      </c>
      <c r="Y182" s="113">
        <v>0</v>
      </c>
      <c r="Z182" s="114">
        <v>0</v>
      </c>
      <c r="AA182" s="11">
        <f t="shared" si="39"/>
        <v>0</v>
      </c>
      <c r="AB182" s="115">
        <f t="shared" si="31"/>
        <v>0</v>
      </c>
      <c r="AC182" s="115">
        <f t="shared" si="32"/>
        <v>-5000</v>
      </c>
      <c r="AD182" s="115">
        <f t="shared" si="33"/>
        <v>0</v>
      </c>
      <c r="AE182" s="11"/>
      <c r="AF182" s="115">
        <f t="shared" si="40"/>
        <v>0</v>
      </c>
      <c r="AG182" s="115">
        <f t="shared" si="41"/>
        <v>6000</v>
      </c>
      <c r="AH182" s="115">
        <f t="shared" si="42"/>
        <v>0</v>
      </c>
      <c r="AJ182" s="11">
        <f t="shared" si="34"/>
        <v>1000</v>
      </c>
    </row>
    <row r="183" spans="1:36">
      <c r="A183" s="129"/>
      <c r="B183" s="129" t="s">
        <v>46</v>
      </c>
      <c r="C183" s="96"/>
      <c r="D183" s="120" t="s">
        <v>296</v>
      </c>
      <c r="E183" s="98"/>
      <c r="F183" s="99">
        <f>VLOOKUP(D183,'Dec 2012 Revenue'!D:T,17,FALSE)</f>
        <v>0</v>
      </c>
      <c r="G183" s="100"/>
      <c r="H183" s="100"/>
      <c r="I183" s="101"/>
      <c r="J183" s="102">
        <f t="shared" si="28"/>
        <v>0</v>
      </c>
      <c r="K183" s="103"/>
      <c r="L183" s="104"/>
      <c r="M183" s="105"/>
      <c r="N183" s="103">
        <v>0</v>
      </c>
      <c r="O183" s="106"/>
      <c r="P183" s="103">
        <v>0</v>
      </c>
      <c r="Q183" s="107">
        <f t="shared" si="29"/>
        <v>0</v>
      </c>
      <c r="R183" s="108">
        <v>0</v>
      </c>
      <c r="S183" s="119"/>
      <c r="T183" s="110">
        <f t="shared" si="35"/>
        <v>0</v>
      </c>
      <c r="U183" s="103"/>
      <c r="V183" s="112">
        <f t="shared" si="36"/>
        <v>0</v>
      </c>
      <c r="W183" s="112">
        <f t="shared" si="37"/>
        <v>0</v>
      </c>
      <c r="X183" s="113">
        <f t="shared" si="38"/>
        <v>0</v>
      </c>
      <c r="Y183" s="113">
        <v>0</v>
      </c>
      <c r="Z183" s="114">
        <v>0</v>
      </c>
      <c r="AA183" s="11">
        <f t="shared" si="39"/>
        <v>0</v>
      </c>
      <c r="AB183" s="115">
        <f t="shared" si="31"/>
        <v>0</v>
      </c>
      <c r="AC183" s="115">
        <f t="shared" si="32"/>
        <v>0</v>
      </c>
      <c r="AD183" s="115">
        <f t="shared" si="33"/>
        <v>0</v>
      </c>
      <c r="AE183" s="11"/>
      <c r="AF183" s="115">
        <f t="shared" si="40"/>
        <v>0</v>
      </c>
      <c r="AG183" s="115">
        <f t="shared" si="41"/>
        <v>0</v>
      </c>
      <c r="AH183" s="115">
        <f t="shared" si="42"/>
        <v>0</v>
      </c>
      <c r="AJ183" s="11">
        <f t="shared" si="34"/>
        <v>0</v>
      </c>
    </row>
    <row r="184" spans="1:36">
      <c r="A184" s="129"/>
      <c r="B184" s="129" t="s">
        <v>46</v>
      </c>
      <c r="C184" s="96" t="s">
        <v>298</v>
      </c>
      <c r="D184" s="120" t="s">
        <v>299</v>
      </c>
      <c r="E184" s="98"/>
      <c r="F184" s="99">
        <f>VLOOKUP(D184,'Dec 2012 Revenue'!D:T,17,FALSE)</f>
        <v>0</v>
      </c>
      <c r="G184" s="100"/>
      <c r="H184" s="100"/>
      <c r="I184" s="101"/>
      <c r="J184" s="102">
        <f t="shared" si="28"/>
        <v>0</v>
      </c>
      <c r="K184" s="103"/>
      <c r="L184" s="104"/>
      <c r="M184" s="105"/>
      <c r="N184" s="103">
        <v>0</v>
      </c>
      <c r="O184" s="106"/>
      <c r="P184" s="103">
        <v>0</v>
      </c>
      <c r="Q184" s="107">
        <f t="shared" si="29"/>
        <v>0</v>
      </c>
      <c r="R184" s="108">
        <v>128.69</v>
      </c>
      <c r="S184" s="119"/>
      <c r="T184" s="110">
        <f t="shared" si="35"/>
        <v>128.69</v>
      </c>
      <c r="U184" s="103"/>
      <c r="V184" s="112">
        <f t="shared" si="36"/>
        <v>0</v>
      </c>
      <c r="W184" s="112">
        <f t="shared" si="37"/>
        <v>0</v>
      </c>
      <c r="X184" s="113">
        <f t="shared" si="38"/>
        <v>0</v>
      </c>
      <c r="Y184" s="113">
        <v>0</v>
      </c>
      <c r="Z184" s="114">
        <v>0</v>
      </c>
      <c r="AA184" s="11">
        <f t="shared" si="39"/>
        <v>0</v>
      </c>
      <c r="AB184" s="115">
        <f t="shared" si="31"/>
        <v>0</v>
      </c>
      <c r="AC184" s="115">
        <f t="shared" si="32"/>
        <v>0</v>
      </c>
      <c r="AD184" s="115">
        <f t="shared" si="33"/>
        <v>0</v>
      </c>
      <c r="AE184" s="11"/>
      <c r="AF184" s="115">
        <f t="shared" si="40"/>
        <v>0</v>
      </c>
      <c r="AG184" s="115">
        <f t="shared" si="41"/>
        <v>0</v>
      </c>
      <c r="AH184" s="115">
        <f t="shared" si="42"/>
        <v>0</v>
      </c>
      <c r="AJ184" s="11">
        <f t="shared" si="34"/>
        <v>0</v>
      </c>
    </row>
    <row r="185" spans="1:36">
      <c r="A185" s="116"/>
      <c r="B185" s="116" t="s">
        <v>49</v>
      </c>
      <c r="C185" s="122" t="s">
        <v>300</v>
      </c>
      <c r="D185" s="120" t="s">
        <v>301</v>
      </c>
      <c r="E185" s="98"/>
      <c r="F185" s="99">
        <f>VLOOKUP(D185,'Dec 2012 Revenue'!D:T,17,FALSE)</f>
        <v>0</v>
      </c>
      <c r="G185" s="100"/>
      <c r="H185" s="100"/>
      <c r="I185" s="101"/>
      <c r="J185" s="102">
        <f t="shared" si="28"/>
        <v>0</v>
      </c>
      <c r="K185" s="103"/>
      <c r="L185" s="104"/>
      <c r="M185" s="105"/>
      <c r="N185" s="103">
        <v>0</v>
      </c>
      <c r="O185" s="106"/>
      <c r="P185" s="103">
        <v>0</v>
      </c>
      <c r="Q185" s="107">
        <f t="shared" si="29"/>
        <v>0</v>
      </c>
      <c r="R185" s="108">
        <v>0</v>
      </c>
      <c r="S185" s="119"/>
      <c r="T185" s="110">
        <f t="shared" si="35"/>
        <v>0</v>
      </c>
      <c r="U185" s="103"/>
      <c r="V185" s="112">
        <f t="shared" si="36"/>
        <v>0</v>
      </c>
      <c r="W185" s="112">
        <f t="shared" si="37"/>
        <v>0</v>
      </c>
      <c r="X185" s="113">
        <f t="shared" si="38"/>
        <v>0</v>
      </c>
      <c r="Y185" s="113">
        <v>0</v>
      </c>
      <c r="Z185" s="114">
        <v>0</v>
      </c>
      <c r="AA185" s="11">
        <f t="shared" si="39"/>
        <v>0</v>
      </c>
      <c r="AB185" s="115">
        <f t="shared" si="31"/>
        <v>0</v>
      </c>
      <c r="AC185" s="115">
        <f t="shared" si="32"/>
        <v>0</v>
      </c>
      <c r="AD185" s="115">
        <f t="shared" si="33"/>
        <v>0</v>
      </c>
      <c r="AE185" s="11"/>
      <c r="AF185" s="115">
        <f t="shared" si="40"/>
        <v>0</v>
      </c>
      <c r="AG185" s="115">
        <f t="shared" si="41"/>
        <v>0</v>
      </c>
      <c r="AH185" s="115">
        <f t="shared" si="42"/>
        <v>0</v>
      </c>
      <c r="AJ185" s="11">
        <f t="shared" si="34"/>
        <v>0</v>
      </c>
    </row>
    <row r="186" spans="1:36">
      <c r="A186" s="116"/>
      <c r="B186" s="116" t="s">
        <v>49</v>
      </c>
      <c r="C186" s="122"/>
      <c r="D186" s="120" t="s">
        <v>302</v>
      </c>
      <c r="E186" s="98"/>
      <c r="F186" s="99">
        <f>VLOOKUP(D186,'Dec 2012 Revenue'!D:T,17,FALSE)</f>
        <v>0</v>
      </c>
      <c r="G186" s="100"/>
      <c r="H186" s="100"/>
      <c r="I186" s="101"/>
      <c r="J186" s="102">
        <f t="shared" si="28"/>
        <v>0</v>
      </c>
      <c r="K186" s="103"/>
      <c r="L186" s="104"/>
      <c r="M186" s="105"/>
      <c r="N186" s="103">
        <v>0</v>
      </c>
      <c r="O186" s="106"/>
      <c r="P186" s="103">
        <v>0</v>
      </c>
      <c r="Q186" s="107">
        <f t="shared" si="29"/>
        <v>0</v>
      </c>
      <c r="R186" s="108">
        <v>375.38</v>
      </c>
      <c r="S186" s="119"/>
      <c r="T186" s="110">
        <f t="shared" si="35"/>
        <v>375.38</v>
      </c>
      <c r="U186" s="103"/>
      <c r="V186" s="112">
        <f t="shared" si="36"/>
        <v>0</v>
      </c>
      <c r="W186" s="112">
        <f t="shared" si="37"/>
        <v>0</v>
      </c>
      <c r="X186" s="113">
        <f t="shared" si="38"/>
        <v>0</v>
      </c>
      <c r="Y186" s="113">
        <v>0</v>
      </c>
      <c r="Z186" s="114">
        <v>0</v>
      </c>
      <c r="AA186" s="11">
        <f t="shared" si="39"/>
        <v>0</v>
      </c>
      <c r="AB186" s="115">
        <f t="shared" si="31"/>
        <v>0</v>
      </c>
      <c r="AC186" s="115">
        <f t="shared" si="32"/>
        <v>0</v>
      </c>
      <c r="AD186" s="115">
        <f t="shared" si="33"/>
        <v>0</v>
      </c>
      <c r="AE186" s="11"/>
      <c r="AF186" s="115">
        <f t="shared" si="40"/>
        <v>0</v>
      </c>
      <c r="AG186" s="115">
        <f t="shared" si="41"/>
        <v>0</v>
      </c>
      <c r="AH186" s="115">
        <f t="shared" si="42"/>
        <v>0</v>
      </c>
      <c r="AJ186" s="11">
        <f t="shared" si="34"/>
        <v>0</v>
      </c>
    </row>
    <row r="187" spans="1:36">
      <c r="A187" s="116"/>
      <c r="B187" s="116" t="s">
        <v>49</v>
      </c>
      <c r="C187" s="126" t="s">
        <v>304</v>
      </c>
      <c r="D187" s="120" t="s">
        <v>305</v>
      </c>
      <c r="E187" s="98"/>
      <c r="F187" s="99">
        <f>VLOOKUP(D187,'Dec 2012 Revenue'!D:T,17,FALSE)</f>
        <v>580.98</v>
      </c>
      <c r="G187" s="100"/>
      <c r="H187" s="100"/>
      <c r="I187" s="101"/>
      <c r="J187" s="102">
        <f t="shared" si="28"/>
        <v>580.98</v>
      </c>
      <c r="K187" s="103"/>
      <c r="L187" s="104"/>
      <c r="M187" s="105"/>
      <c r="N187" s="103">
        <v>0</v>
      </c>
      <c r="O187" s="106"/>
      <c r="P187" s="103">
        <v>0</v>
      </c>
      <c r="Q187" s="107">
        <f t="shared" si="29"/>
        <v>0</v>
      </c>
      <c r="R187" s="108">
        <v>658.37</v>
      </c>
      <c r="S187" s="119"/>
      <c r="T187" s="110">
        <f t="shared" si="35"/>
        <v>658.37</v>
      </c>
      <c r="U187" s="103"/>
      <c r="V187" s="112">
        <f t="shared" si="36"/>
        <v>0</v>
      </c>
      <c r="W187" s="112">
        <f t="shared" si="37"/>
        <v>0</v>
      </c>
      <c r="X187" s="113">
        <f t="shared" si="38"/>
        <v>0</v>
      </c>
      <c r="Y187" s="113">
        <v>0</v>
      </c>
      <c r="Z187" s="114">
        <v>0</v>
      </c>
      <c r="AA187" s="11">
        <f t="shared" si="39"/>
        <v>0</v>
      </c>
      <c r="AB187" s="115">
        <f t="shared" si="31"/>
        <v>580.98</v>
      </c>
      <c r="AC187" s="115">
        <f t="shared" si="32"/>
        <v>0</v>
      </c>
      <c r="AD187" s="115">
        <f t="shared" si="33"/>
        <v>0</v>
      </c>
      <c r="AE187" s="11"/>
      <c r="AF187" s="115">
        <f t="shared" si="40"/>
        <v>0</v>
      </c>
      <c r="AG187" s="115">
        <f t="shared" si="41"/>
        <v>0</v>
      </c>
      <c r="AH187" s="115">
        <f t="shared" si="42"/>
        <v>0</v>
      </c>
      <c r="AJ187" s="11">
        <f t="shared" si="34"/>
        <v>580.98</v>
      </c>
    </row>
    <row r="188" spans="1:36">
      <c r="A188" s="116"/>
      <c r="B188" s="116" t="s">
        <v>46</v>
      </c>
      <c r="C188" s="122" t="s">
        <v>307</v>
      </c>
      <c r="D188" s="120" t="s">
        <v>308</v>
      </c>
      <c r="E188" s="98"/>
      <c r="F188" s="99">
        <f>VLOOKUP(D188,'Dec 2012 Revenue'!D:T,17,FALSE)</f>
        <v>0</v>
      </c>
      <c r="G188" s="100"/>
      <c r="H188" s="100"/>
      <c r="I188" s="101"/>
      <c r="J188" s="102">
        <f t="shared" si="28"/>
        <v>0</v>
      </c>
      <c r="K188" s="103"/>
      <c r="L188" s="104"/>
      <c r="M188" s="105">
        <v>19000</v>
      </c>
      <c r="N188" s="103">
        <v>0</v>
      </c>
      <c r="O188" s="106"/>
      <c r="P188" s="103">
        <v>0</v>
      </c>
      <c r="Q188" s="107">
        <f t="shared" si="29"/>
        <v>19000</v>
      </c>
      <c r="R188" s="108">
        <v>16701.36</v>
      </c>
      <c r="S188" s="119"/>
      <c r="T188" s="110">
        <f t="shared" si="35"/>
        <v>-2298.6399999999994</v>
      </c>
      <c r="U188" s="103"/>
      <c r="V188" s="112">
        <f t="shared" si="36"/>
        <v>0</v>
      </c>
      <c r="W188" s="112">
        <f t="shared" si="37"/>
        <v>19000</v>
      </c>
      <c r="X188" s="113">
        <f t="shared" si="38"/>
        <v>0</v>
      </c>
      <c r="Y188" s="113">
        <v>0</v>
      </c>
      <c r="Z188" s="114">
        <v>0</v>
      </c>
      <c r="AA188" s="11">
        <f t="shared" si="39"/>
        <v>0</v>
      </c>
      <c r="AB188" s="115">
        <f t="shared" si="31"/>
        <v>0</v>
      </c>
      <c r="AC188" s="115">
        <f t="shared" si="32"/>
        <v>0</v>
      </c>
      <c r="AD188" s="115">
        <f t="shared" si="33"/>
        <v>0</v>
      </c>
      <c r="AE188" s="11"/>
      <c r="AF188" s="115">
        <f t="shared" si="40"/>
        <v>0</v>
      </c>
      <c r="AG188" s="115">
        <f t="shared" si="41"/>
        <v>19000</v>
      </c>
      <c r="AH188" s="115">
        <f t="shared" si="42"/>
        <v>0</v>
      </c>
      <c r="AJ188" s="11">
        <f t="shared" si="34"/>
        <v>19000</v>
      </c>
    </row>
    <row r="189" spans="1:36">
      <c r="A189" s="116"/>
      <c r="B189" s="116" t="s">
        <v>46</v>
      </c>
      <c r="C189" s="122" t="s">
        <v>307</v>
      </c>
      <c r="D189" s="120" t="s">
        <v>309</v>
      </c>
      <c r="E189" s="98"/>
      <c r="F189" s="99">
        <f>VLOOKUP(D189,'Dec 2012 Revenue'!D:T,17,FALSE)</f>
        <v>0</v>
      </c>
      <c r="G189" s="100"/>
      <c r="H189" s="100"/>
      <c r="I189" s="101"/>
      <c r="J189" s="102">
        <f t="shared" si="28"/>
        <v>0</v>
      </c>
      <c r="K189" s="103"/>
      <c r="L189" s="104"/>
      <c r="M189" s="105">
        <v>12000</v>
      </c>
      <c r="N189" s="103">
        <v>0</v>
      </c>
      <c r="O189" s="106"/>
      <c r="P189" s="103">
        <v>0</v>
      </c>
      <c r="Q189" s="107">
        <f t="shared" si="29"/>
        <v>12000</v>
      </c>
      <c r="R189" s="108">
        <v>12337.12</v>
      </c>
      <c r="S189" s="119"/>
      <c r="T189" s="110">
        <f t="shared" si="35"/>
        <v>337.1200000000008</v>
      </c>
      <c r="U189" s="103"/>
      <c r="V189" s="112">
        <f t="shared" si="36"/>
        <v>0</v>
      </c>
      <c r="W189" s="112">
        <f t="shared" si="37"/>
        <v>12000</v>
      </c>
      <c r="X189" s="113">
        <f t="shared" si="38"/>
        <v>0</v>
      </c>
      <c r="Y189" s="113">
        <v>0</v>
      </c>
      <c r="Z189" s="114">
        <v>0</v>
      </c>
      <c r="AA189" s="11">
        <f t="shared" si="39"/>
        <v>0</v>
      </c>
      <c r="AB189" s="115">
        <f t="shared" si="31"/>
        <v>0</v>
      </c>
      <c r="AC189" s="115">
        <f t="shared" si="32"/>
        <v>0</v>
      </c>
      <c r="AD189" s="115">
        <f t="shared" si="33"/>
        <v>0</v>
      </c>
      <c r="AE189" s="11"/>
      <c r="AF189" s="115">
        <f t="shared" si="40"/>
        <v>0</v>
      </c>
      <c r="AG189" s="115">
        <f t="shared" si="41"/>
        <v>12000</v>
      </c>
      <c r="AH189" s="115">
        <f t="shared" si="42"/>
        <v>0</v>
      </c>
      <c r="AJ189" s="11">
        <f t="shared" si="34"/>
        <v>12000</v>
      </c>
    </row>
    <row r="190" spans="1:36">
      <c r="A190" s="129"/>
      <c r="B190" s="129" t="s">
        <v>46</v>
      </c>
      <c r="C190" s="122" t="s">
        <v>307</v>
      </c>
      <c r="D190" s="120" t="s">
        <v>310</v>
      </c>
      <c r="E190" s="98"/>
      <c r="F190" s="99">
        <f>VLOOKUP(D190,'Dec 2012 Revenue'!D:T,17,FALSE)</f>
        <v>0</v>
      </c>
      <c r="G190" s="100"/>
      <c r="H190" s="100"/>
      <c r="I190" s="101"/>
      <c r="J190" s="102">
        <f t="shared" si="28"/>
        <v>0</v>
      </c>
      <c r="K190" s="103"/>
      <c r="L190" s="104"/>
      <c r="M190" s="105"/>
      <c r="N190" s="103">
        <v>0</v>
      </c>
      <c r="O190" s="106"/>
      <c r="P190" s="103">
        <v>0</v>
      </c>
      <c r="Q190" s="107">
        <f t="shared" si="29"/>
        <v>0</v>
      </c>
      <c r="R190" s="108">
        <v>0</v>
      </c>
      <c r="S190" s="119"/>
      <c r="T190" s="110">
        <f t="shared" si="35"/>
        <v>0</v>
      </c>
      <c r="U190" s="103"/>
      <c r="V190" s="112">
        <f t="shared" si="36"/>
        <v>0</v>
      </c>
      <c r="W190" s="112">
        <f t="shared" si="37"/>
        <v>0</v>
      </c>
      <c r="X190" s="113">
        <f t="shared" si="38"/>
        <v>0</v>
      </c>
      <c r="Y190" s="113">
        <v>0</v>
      </c>
      <c r="Z190" s="114">
        <v>0</v>
      </c>
      <c r="AA190" s="11">
        <f t="shared" si="39"/>
        <v>0</v>
      </c>
      <c r="AB190" s="115">
        <f t="shared" si="31"/>
        <v>0</v>
      </c>
      <c r="AC190" s="115">
        <f t="shared" si="32"/>
        <v>0</v>
      </c>
      <c r="AD190" s="115">
        <f t="shared" si="33"/>
        <v>0</v>
      </c>
      <c r="AE190" s="11"/>
      <c r="AF190" s="115">
        <f t="shared" si="40"/>
        <v>0</v>
      </c>
      <c r="AG190" s="115">
        <f t="shared" si="41"/>
        <v>0</v>
      </c>
      <c r="AH190" s="115">
        <f t="shared" si="42"/>
        <v>0</v>
      </c>
      <c r="AJ190" s="11">
        <f t="shared" si="34"/>
        <v>0</v>
      </c>
    </row>
    <row r="191" spans="1:36">
      <c r="A191" s="129"/>
      <c r="B191" s="129" t="s">
        <v>46</v>
      </c>
      <c r="C191" s="122" t="s">
        <v>307</v>
      </c>
      <c r="D191" s="120" t="s">
        <v>311</v>
      </c>
      <c r="E191" s="98"/>
      <c r="F191" s="99">
        <f>VLOOKUP(D191,'Dec 2012 Revenue'!D:T,17,FALSE)</f>
        <v>0</v>
      </c>
      <c r="G191" s="100"/>
      <c r="H191" s="100"/>
      <c r="I191" s="101"/>
      <c r="J191" s="102">
        <f t="shared" ref="J191:J218" si="43">SUM(E191:I191)</f>
        <v>0</v>
      </c>
      <c r="K191" s="103"/>
      <c r="L191" s="104"/>
      <c r="M191" s="105"/>
      <c r="N191" s="103">
        <v>0</v>
      </c>
      <c r="O191" s="106"/>
      <c r="P191" s="103">
        <v>0</v>
      </c>
      <c r="Q191" s="107">
        <f t="shared" si="29"/>
        <v>0</v>
      </c>
      <c r="R191" s="108">
        <v>0</v>
      </c>
      <c r="S191" s="119"/>
      <c r="T191" s="110">
        <f t="shared" si="35"/>
        <v>0</v>
      </c>
      <c r="U191" s="103"/>
      <c r="V191" s="112">
        <f t="shared" si="36"/>
        <v>0</v>
      </c>
      <c r="W191" s="112">
        <f t="shared" si="37"/>
        <v>0</v>
      </c>
      <c r="X191" s="113">
        <f t="shared" si="38"/>
        <v>0</v>
      </c>
      <c r="Y191" s="113">
        <v>0</v>
      </c>
      <c r="Z191" s="114">
        <v>0</v>
      </c>
      <c r="AA191" s="11">
        <f t="shared" si="39"/>
        <v>0</v>
      </c>
      <c r="AB191" s="115">
        <f t="shared" si="31"/>
        <v>0</v>
      </c>
      <c r="AC191" s="115">
        <f t="shared" si="32"/>
        <v>0</v>
      </c>
      <c r="AD191" s="115">
        <f t="shared" si="33"/>
        <v>0</v>
      </c>
      <c r="AE191" s="11"/>
      <c r="AF191" s="115">
        <f t="shared" si="40"/>
        <v>0</v>
      </c>
      <c r="AG191" s="115">
        <f t="shared" si="41"/>
        <v>0</v>
      </c>
      <c r="AH191" s="115">
        <f t="shared" si="42"/>
        <v>0</v>
      </c>
      <c r="AJ191" s="11">
        <f t="shared" si="34"/>
        <v>0</v>
      </c>
    </row>
    <row r="192" spans="1:36">
      <c r="A192" s="129"/>
      <c r="B192" s="129" t="s">
        <v>46</v>
      </c>
      <c r="C192" s="96"/>
      <c r="D192" s="120" t="s">
        <v>312</v>
      </c>
      <c r="E192" s="98"/>
      <c r="F192" s="99">
        <f>VLOOKUP(D192,'Dec 2012 Revenue'!D:T,17,FALSE)</f>
        <v>0</v>
      </c>
      <c r="G192" s="100"/>
      <c r="H192" s="100"/>
      <c r="I192" s="101"/>
      <c r="J192" s="102">
        <f t="shared" si="43"/>
        <v>0</v>
      </c>
      <c r="K192" s="103"/>
      <c r="L192" s="104"/>
      <c r="M192" s="105">
        <v>5000</v>
      </c>
      <c r="N192" s="103">
        <v>0</v>
      </c>
      <c r="O192" s="106"/>
      <c r="P192" s="103">
        <v>0</v>
      </c>
      <c r="Q192" s="107">
        <f t="shared" si="29"/>
        <v>5000</v>
      </c>
      <c r="R192" s="108">
        <v>4196.3</v>
      </c>
      <c r="S192" s="119"/>
      <c r="T192" s="110">
        <f t="shared" si="35"/>
        <v>-803.69999999999982</v>
      </c>
      <c r="U192" s="133"/>
      <c r="V192" s="112">
        <f t="shared" si="36"/>
        <v>0</v>
      </c>
      <c r="W192" s="112">
        <f t="shared" si="37"/>
        <v>5000</v>
      </c>
      <c r="X192" s="113">
        <f t="shared" si="38"/>
        <v>0</v>
      </c>
      <c r="Y192" s="113">
        <v>0</v>
      </c>
      <c r="Z192" s="114">
        <v>0</v>
      </c>
      <c r="AA192" s="11">
        <f t="shared" si="39"/>
        <v>0</v>
      </c>
      <c r="AB192" s="115">
        <f t="shared" si="31"/>
        <v>0</v>
      </c>
      <c r="AC192" s="115">
        <f t="shared" si="32"/>
        <v>0</v>
      </c>
      <c r="AD192" s="115">
        <f t="shared" si="33"/>
        <v>0</v>
      </c>
      <c r="AE192" s="11"/>
      <c r="AF192" s="115">
        <f t="shared" si="40"/>
        <v>0</v>
      </c>
      <c r="AG192" s="115">
        <f t="shared" si="41"/>
        <v>5000</v>
      </c>
      <c r="AH192" s="115">
        <f t="shared" si="42"/>
        <v>0</v>
      </c>
      <c r="AJ192" s="11">
        <f t="shared" si="34"/>
        <v>5000</v>
      </c>
    </row>
    <row r="193" spans="1:36">
      <c r="A193" s="129"/>
      <c r="B193" s="129" t="s">
        <v>46</v>
      </c>
      <c r="C193" s="96"/>
      <c r="D193" s="148" t="s">
        <v>313</v>
      </c>
      <c r="E193" s="98"/>
      <c r="F193" s="99">
        <f>VLOOKUP(D193,'Dec 2012 Revenue'!D:T,17,FALSE)</f>
        <v>0</v>
      </c>
      <c r="G193" s="100"/>
      <c r="H193" s="100"/>
      <c r="I193" s="101"/>
      <c r="J193" s="102">
        <f t="shared" si="43"/>
        <v>0</v>
      </c>
      <c r="K193" s="103"/>
      <c r="L193" s="104"/>
      <c r="M193" s="105"/>
      <c r="N193" s="103">
        <v>0</v>
      </c>
      <c r="O193" s="106"/>
      <c r="P193" s="103">
        <v>0</v>
      </c>
      <c r="Q193" s="107">
        <f t="shared" si="29"/>
        <v>0</v>
      </c>
      <c r="R193" s="108">
        <v>90.78</v>
      </c>
      <c r="S193" s="119"/>
      <c r="T193" s="110">
        <f t="shared" si="35"/>
        <v>90.78</v>
      </c>
      <c r="U193" s="133"/>
      <c r="V193" s="112">
        <f t="shared" si="36"/>
        <v>0</v>
      </c>
      <c r="W193" s="112">
        <f t="shared" si="37"/>
        <v>0</v>
      </c>
      <c r="X193" s="113">
        <f t="shared" si="38"/>
        <v>0</v>
      </c>
      <c r="Y193" s="113">
        <v>0</v>
      </c>
      <c r="Z193" s="114">
        <v>0</v>
      </c>
      <c r="AA193" s="11">
        <f t="shared" si="39"/>
        <v>0</v>
      </c>
      <c r="AB193" s="115">
        <f t="shared" si="31"/>
        <v>0</v>
      </c>
      <c r="AC193" s="115">
        <f t="shared" si="32"/>
        <v>0</v>
      </c>
      <c r="AD193" s="115">
        <f t="shared" si="33"/>
        <v>0</v>
      </c>
      <c r="AE193" s="11"/>
      <c r="AF193" s="115">
        <f t="shared" si="40"/>
        <v>0</v>
      </c>
      <c r="AG193" s="115">
        <f t="shared" si="41"/>
        <v>0</v>
      </c>
      <c r="AH193" s="115">
        <f t="shared" si="42"/>
        <v>0</v>
      </c>
      <c r="AJ193" s="11">
        <f t="shared" si="34"/>
        <v>0</v>
      </c>
    </row>
    <row r="194" spans="1:36">
      <c r="A194" s="129" t="s">
        <v>46</v>
      </c>
      <c r="B194" s="129" t="s">
        <v>81</v>
      </c>
      <c r="C194" s="96" t="s">
        <v>314</v>
      </c>
      <c r="D194" s="148" t="s">
        <v>315</v>
      </c>
      <c r="E194" s="98"/>
      <c r="F194" s="99">
        <f>VLOOKUP(D194,'Dec 2012 Revenue'!D:T,17,FALSE)</f>
        <v>-28000</v>
      </c>
      <c r="G194" s="100"/>
      <c r="H194" s="100"/>
      <c r="I194" s="101"/>
      <c r="J194" s="102">
        <f t="shared" si="43"/>
        <v>-28000</v>
      </c>
      <c r="K194" s="103"/>
      <c r="L194" s="104"/>
      <c r="M194" s="105">
        <v>55000</v>
      </c>
      <c r="N194" s="103">
        <v>0</v>
      </c>
      <c r="O194" s="106"/>
      <c r="P194" s="103">
        <v>0</v>
      </c>
      <c r="Q194" s="107">
        <f t="shared" si="29"/>
        <v>55000</v>
      </c>
      <c r="R194" s="108">
        <v>19804</v>
      </c>
      <c r="S194" s="119"/>
      <c r="T194" s="110">
        <f t="shared" si="35"/>
        <v>-35196</v>
      </c>
      <c r="U194" s="103"/>
      <c r="V194" s="112">
        <f t="shared" si="36"/>
        <v>0</v>
      </c>
      <c r="W194" s="112">
        <f t="shared" si="37"/>
        <v>0</v>
      </c>
      <c r="X194" s="113">
        <f t="shared" si="38"/>
        <v>55000</v>
      </c>
      <c r="Y194" s="113">
        <v>0</v>
      </c>
      <c r="Z194" s="114">
        <v>0</v>
      </c>
      <c r="AA194" s="11">
        <f t="shared" si="39"/>
        <v>0</v>
      </c>
      <c r="AB194" s="115">
        <f t="shared" si="31"/>
        <v>0</v>
      </c>
      <c r="AC194" s="115">
        <f t="shared" si="32"/>
        <v>0</v>
      </c>
      <c r="AD194" s="115">
        <f t="shared" si="33"/>
        <v>-28000</v>
      </c>
      <c r="AE194" s="11"/>
      <c r="AF194" s="115">
        <f t="shared" si="40"/>
        <v>0</v>
      </c>
      <c r="AG194" s="115">
        <f t="shared" si="41"/>
        <v>0</v>
      </c>
      <c r="AH194" s="115">
        <f t="shared" si="42"/>
        <v>55000</v>
      </c>
      <c r="AJ194" s="11">
        <f t="shared" si="34"/>
        <v>27000</v>
      </c>
    </row>
    <row r="195" spans="1:36">
      <c r="A195" s="116" t="s">
        <v>60</v>
      </c>
      <c r="B195" s="116" t="s">
        <v>46</v>
      </c>
      <c r="C195" s="122"/>
      <c r="D195" s="120" t="s">
        <v>316</v>
      </c>
      <c r="E195" s="98"/>
      <c r="F195" s="99">
        <f>VLOOKUP(D195,'Dec 2012 Revenue'!D:T,17,FALSE)</f>
        <v>0</v>
      </c>
      <c r="G195" s="100"/>
      <c r="H195" s="100"/>
      <c r="I195" s="101"/>
      <c r="J195" s="102">
        <f t="shared" si="43"/>
        <v>0</v>
      </c>
      <c r="K195" s="103"/>
      <c r="L195" s="104"/>
      <c r="M195" s="105"/>
      <c r="N195" s="103">
        <v>0</v>
      </c>
      <c r="O195" s="106"/>
      <c r="P195" s="103">
        <v>0</v>
      </c>
      <c r="Q195" s="107">
        <f t="shared" si="29"/>
        <v>0</v>
      </c>
      <c r="R195" s="108">
        <v>0</v>
      </c>
      <c r="S195" s="119"/>
      <c r="T195" s="110">
        <f t="shared" si="35"/>
        <v>0</v>
      </c>
      <c r="U195" s="103"/>
      <c r="V195" s="112">
        <f t="shared" si="36"/>
        <v>0</v>
      </c>
      <c r="W195" s="112">
        <f t="shared" si="37"/>
        <v>0</v>
      </c>
      <c r="X195" s="113">
        <f t="shared" si="38"/>
        <v>0</v>
      </c>
      <c r="Y195" s="113">
        <v>0</v>
      </c>
      <c r="Z195" s="114">
        <v>0</v>
      </c>
      <c r="AA195" s="11">
        <f t="shared" si="39"/>
        <v>0</v>
      </c>
      <c r="AB195" s="115">
        <f t="shared" si="31"/>
        <v>0</v>
      </c>
      <c r="AC195" s="115">
        <f t="shared" si="32"/>
        <v>0</v>
      </c>
      <c r="AD195" s="115">
        <f t="shared" si="33"/>
        <v>0</v>
      </c>
      <c r="AE195" s="11"/>
      <c r="AF195" s="115">
        <f t="shared" si="40"/>
        <v>0</v>
      </c>
      <c r="AG195" s="115">
        <f t="shared" si="41"/>
        <v>0</v>
      </c>
      <c r="AH195" s="115">
        <f t="shared" si="42"/>
        <v>0</v>
      </c>
      <c r="AJ195" s="11">
        <f t="shared" si="34"/>
        <v>0</v>
      </c>
    </row>
    <row r="196" spans="1:36">
      <c r="A196" s="116"/>
      <c r="B196" s="116" t="s">
        <v>81</v>
      </c>
      <c r="C196" s="126" t="s">
        <v>318</v>
      </c>
      <c r="D196" s="120" t="s">
        <v>319</v>
      </c>
      <c r="E196" s="98"/>
      <c r="F196" s="99">
        <f>VLOOKUP(D196,'Dec 2012 Revenue'!D:T,17,FALSE)</f>
        <v>0</v>
      </c>
      <c r="G196" s="100"/>
      <c r="H196" s="100"/>
      <c r="I196" s="101"/>
      <c r="J196" s="102">
        <f t="shared" si="43"/>
        <v>0</v>
      </c>
      <c r="K196" s="103"/>
      <c r="L196" s="104"/>
      <c r="M196" s="105"/>
      <c r="N196" s="103">
        <v>0</v>
      </c>
      <c r="O196" s="106"/>
      <c r="P196" s="103">
        <v>0</v>
      </c>
      <c r="Q196" s="107">
        <f t="shared" si="29"/>
        <v>0</v>
      </c>
      <c r="R196" s="108">
        <v>2121.1</v>
      </c>
      <c r="S196" s="119"/>
      <c r="T196" s="110">
        <f t="shared" si="35"/>
        <v>2121.1</v>
      </c>
      <c r="U196" s="103"/>
      <c r="V196" s="112">
        <f t="shared" si="36"/>
        <v>0</v>
      </c>
      <c r="W196" s="112">
        <f t="shared" si="37"/>
        <v>0</v>
      </c>
      <c r="X196" s="113">
        <f t="shared" si="38"/>
        <v>0</v>
      </c>
      <c r="Y196" s="113">
        <v>0</v>
      </c>
      <c r="Z196" s="114">
        <v>0</v>
      </c>
      <c r="AA196" s="11">
        <f t="shared" si="39"/>
        <v>0</v>
      </c>
      <c r="AB196" s="115">
        <f t="shared" si="31"/>
        <v>0</v>
      </c>
      <c r="AC196" s="115">
        <f t="shared" si="32"/>
        <v>0</v>
      </c>
      <c r="AD196" s="115">
        <f t="shared" si="33"/>
        <v>0</v>
      </c>
      <c r="AE196" s="11"/>
      <c r="AF196" s="115">
        <f t="shared" si="40"/>
        <v>0</v>
      </c>
      <c r="AG196" s="115">
        <f t="shared" si="41"/>
        <v>0</v>
      </c>
      <c r="AH196" s="115">
        <f t="shared" si="42"/>
        <v>0</v>
      </c>
      <c r="AJ196" s="11">
        <f t="shared" si="34"/>
        <v>0</v>
      </c>
    </row>
    <row r="197" spans="1:36">
      <c r="A197" s="116"/>
      <c r="B197" s="116" t="s">
        <v>49</v>
      </c>
      <c r="C197" s="122"/>
      <c r="D197" s="120" t="s">
        <v>320</v>
      </c>
      <c r="E197" s="98"/>
      <c r="F197" s="99">
        <f>VLOOKUP(D197,'Dec 2012 Revenue'!D:T,17,FALSE)</f>
        <v>0</v>
      </c>
      <c r="G197" s="100"/>
      <c r="H197" s="100"/>
      <c r="I197" s="101"/>
      <c r="J197" s="102">
        <f t="shared" si="43"/>
        <v>0</v>
      </c>
      <c r="K197" s="103"/>
      <c r="L197" s="104"/>
      <c r="M197" s="105"/>
      <c r="N197" s="103">
        <v>0</v>
      </c>
      <c r="O197" s="106"/>
      <c r="P197" s="103">
        <v>0</v>
      </c>
      <c r="Q197" s="107">
        <f t="shared" si="29"/>
        <v>0</v>
      </c>
      <c r="R197" s="108">
        <v>0</v>
      </c>
      <c r="S197" s="119"/>
      <c r="T197" s="110">
        <f t="shared" si="35"/>
        <v>0</v>
      </c>
      <c r="U197" s="103"/>
      <c r="V197" s="112">
        <f t="shared" si="36"/>
        <v>0</v>
      </c>
      <c r="W197" s="112">
        <f t="shared" si="37"/>
        <v>0</v>
      </c>
      <c r="X197" s="113">
        <f t="shared" si="38"/>
        <v>0</v>
      </c>
      <c r="Y197" s="113">
        <v>0</v>
      </c>
      <c r="Z197" s="114">
        <v>0</v>
      </c>
      <c r="AA197" s="11">
        <f t="shared" si="39"/>
        <v>0</v>
      </c>
      <c r="AB197" s="115">
        <f t="shared" si="31"/>
        <v>0</v>
      </c>
      <c r="AC197" s="115">
        <f t="shared" si="32"/>
        <v>0</v>
      </c>
      <c r="AD197" s="115">
        <f t="shared" si="33"/>
        <v>0</v>
      </c>
      <c r="AE197" s="11"/>
      <c r="AF197" s="115">
        <f t="shared" si="40"/>
        <v>0</v>
      </c>
      <c r="AG197" s="115">
        <f t="shared" si="41"/>
        <v>0</v>
      </c>
      <c r="AH197" s="115">
        <f t="shared" si="42"/>
        <v>0</v>
      </c>
      <c r="AJ197" s="11">
        <f t="shared" si="34"/>
        <v>0</v>
      </c>
    </row>
    <row r="198" spans="1:36">
      <c r="A198" s="116"/>
      <c r="B198" s="116" t="s">
        <v>49</v>
      </c>
      <c r="C198" s="122"/>
      <c r="D198" s="120" t="s">
        <v>321</v>
      </c>
      <c r="E198" s="98"/>
      <c r="F198" s="99">
        <f>VLOOKUP(D198,'Dec 2012 Revenue'!D:T,17,FALSE)</f>
        <v>1350.33</v>
      </c>
      <c r="G198" s="100"/>
      <c r="H198" s="100"/>
      <c r="I198" s="125">
        <v>10671.32</v>
      </c>
      <c r="J198" s="102">
        <f t="shared" si="43"/>
        <v>12021.65</v>
      </c>
      <c r="K198" s="103"/>
      <c r="L198" s="104"/>
      <c r="M198" s="105"/>
      <c r="N198" s="103"/>
      <c r="O198" s="106"/>
      <c r="P198" s="103"/>
      <c r="Q198" s="107">
        <f t="shared" si="29"/>
        <v>0</v>
      </c>
      <c r="R198" s="108">
        <v>0</v>
      </c>
      <c r="S198" s="119"/>
      <c r="T198" s="110">
        <f t="shared" si="35"/>
        <v>0</v>
      </c>
      <c r="U198" s="103"/>
      <c r="V198" s="112">
        <f t="shared" si="36"/>
        <v>0</v>
      </c>
      <c r="W198" s="112">
        <f t="shared" si="37"/>
        <v>0</v>
      </c>
      <c r="X198" s="113">
        <f t="shared" si="38"/>
        <v>0</v>
      </c>
      <c r="Y198" s="113">
        <v>0</v>
      </c>
      <c r="Z198" s="114">
        <v>0</v>
      </c>
      <c r="AA198" s="11">
        <f t="shared" si="39"/>
        <v>0</v>
      </c>
      <c r="AB198" s="115">
        <f t="shared" si="31"/>
        <v>12021.65</v>
      </c>
      <c r="AC198" s="115">
        <f t="shared" si="32"/>
        <v>0</v>
      </c>
      <c r="AD198" s="115">
        <f t="shared" si="33"/>
        <v>0</v>
      </c>
      <c r="AE198" s="11"/>
      <c r="AF198" s="115">
        <f t="shared" si="40"/>
        <v>0</v>
      </c>
      <c r="AG198" s="115">
        <f t="shared" si="41"/>
        <v>0</v>
      </c>
      <c r="AH198" s="115">
        <f t="shared" si="42"/>
        <v>0</v>
      </c>
      <c r="AJ198" s="11">
        <f t="shared" si="34"/>
        <v>12021.65</v>
      </c>
    </row>
    <row r="199" spans="1:36" s="124" customFormat="1">
      <c r="A199" s="123"/>
      <c r="B199" s="123" t="s">
        <v>49</v>
      </c>
      <c r="C199" s="122" t="s">
        <v>322</v>
      </c>
      <c r="D199" s="149" t="s">
        <v>323</v>
      </c>
      <c r="E199" s="98"/>
      <c r="F199" s="99">
        <f>VLOOKUP(D199,'Dec 2012 Revenue'!D:T,17,FALSE)</f>
        <v>0</v>
      </c>
      <c r="G199" s="100"/>
      <c r="H199" s="100"/>
      <c r="I199" s="101"/>
      <c r="J199" s="102">
        <f t="shared" si="43"/>
        <v>0</v>
      </c>
      <c r="K199" s="103"/>
      <c r="L199" s="104"/>
      <c r="M199" s="105"/>
      <c r="N199" s="103">
        <v>0</v>
      </c>
      <c r="O199" s="106"/>
      <c r="P199" s="103">
        <v>0</v>
      </c>
      <c r="Q199" s="107">
        <f t="shared" si="29"/>
        <v>0</v>
      </c>
      <c r="R199" s="108">
        <v>0</v>
      </c>
      <c r="S199" s="119"/>
      <c r="T199" s="110">
        <f t="shared" si="35"/>
        <v>0</v>
      </c>
      <c r="U199" s="103"/>
      <c r="V199" s="112">
        <f t="shared" si="36"/>
        <v>0</v>
      </c>
      <c r="W199" s="112">
        <f t="shared" si="37"/>
        <v>0</v>
      </c>
      <c r="X199" s="113">
        <f t="shared" si="38"/>
        <v>0</v>
      </c>
      <c r="Y199" s="113">
        <v>0</v>
      </c>
      <c r="Z199" s="114">
        <v>0</v>
      </c>
      <c r="AA199" s="11">
        <f t="shared" si="39"/>
        <v>0</v>
      </c>
      <c r="AB199" s="115">
        <f t="shared" si="31"/>
        <v>0</v>
      </c>
      <c r="AC199" s="115">
        <f t="shared" si="32"/>
        <v>0</v>
      </c>
      <c r="AD199" s="115">
        <f t="shared" si="33"/>
        <v>0</v>
      </c>
      <c r="AE199" s="11"/>
      <c r="AF199" s="115">
        <f t="shared" si="40"/>
        <v>0</v>
      </c>
      <c r="AG199" s="115">
        <f t="shared" si="41"/>
        <v>0</v>
      </c>
      <c r="AH199" s="115">
        <f t="shared" si="42"/>
        <v>0</v>
      </c>
      <c r="AJ199" s="11">
        <f t="shared" si="34"/>
        <v>0</v>
      </c>
    </row>
    <row r="200" spans="1:36" s="124" customFormat="1">
      <c r="A200" s="123"/>
      <c r="B200" s="123" t="s">
        <v>81</v>
      </c>
      <c r="C200" s="122" t="s">
        <v>322</v>
      </c>
      <c r="D200" s="118" t="s">
        <v>324</v>
      </c>
      <c r="E200" s="98"/>
      <c r="F200" s="99">
        <f>VLOOKUP(D200,'Dec 2012 Revenue'!D:T,17,FALSE)</f>
        <v>634.67999999999938</v>
      </c>
      <c r="G200" s="100"/>
      <c r="H200" s="100"/>
      <c r="I200" s="101"/>
      <c r="J200" s="102">
        <f t="shared" si="43"/>
        <v>634.67999999999938</v>
      </c>
      <c r="K200" s="103"/>
      <c r="L200" s="104">
        <v>4935</v>
      </c>
      <c r="M200" s="105"/>
      <c r="N200" s="103">
        <v>0</v>
      </c>
      <c r="O200" s="106"/>
      <c r="P200" s="103">
        <v>0</v>
      </c>
      <c r="Q200" s="107">
        <f t="shared" si="29"/>
        <v>4935</v>
      </c>
      <c r="R200" s="108">
        <f>640.25+4934.34</f>
        <v>5574.59</v>
      </c>
      <c r="S200" s="119"/>
      <c r="T200" s="110">
        <f t="shared" si="35"/>
        <v>639.59000000000015</v>
      </c>
      <c r="U200" s="103"/>
      <c r="V200" s="112">
        <f t="shared" si="36"/>
        <v>0</v>
      </c>
      <c r="W200" s="112">
        <f t="shared" si="37"/>
        <v>0</v>
      </c>
      <c r="X200" s="113">
        <f t="shared" si="38"/>
        <v>4935</v>
      </c>
      <c r="Y200" s="113">
        <v>0</v>
      </c>
      <c r="Z200" s="114">
        <v>0</v>
      </c>
      <c r="AA200" s="11">
        <f t="shared" si="39"/>
        <v>0</v>
      </c>
      <c r="AB200" s="115">
        <f t="shared" si="31"/>
        <v>0</v>
      </c>
      <c r="AC200" s="115">
        <f t="shared" si="32"/>
        <v>0</v>
      </c>
      <c r="AD200" s="115">
        <f t="shared" si="33"/>
        <v>634.67999999999938</v>
      </c>
      <c r="AE200" s="11"/>
      <c r="AF200" s="115">
        <f t="shared" si="40"/>
        <v>0</v>
      </c>
      <c r="AG200" s="115">
        <f t="shared" si="41"/>
        <v>0</v>
      </c>
      <c r="AH200" s="115">
        <f t="shared" si="42"/>
        <v>4935</v>
      </c>
      <c r="AJ200" s="11">
        <f t="shared" si="34"/>
        <v>5569.6799999999994</v>
      </c>
    </row>
    <row r="201" spans="1:36" s="124" customFormat="1">
      <c r="A201" s="123"/>
      <c r="B201" s="123" t="s">
        <v>49</v>
      </c>
      <c r="C201" s="122" t="s">
        <v>322</v>
      </c>
      <c r="D201" s="118" t="s">
        <v>325</v>
      </c>
      <c r="E201" s="98"/>
      <c r="F201" s="99">
        <f>VLOOKUP(D201,'Dec 2012 Revenue'!D:T,17,FALSE)</f>
        <v>0.95000000001164153</v>
      </c>
      <c r="G201" s="100"/>
      <c r="H201" s="100"/>
      <c r="I201" s="101"/>
      <c r="J201" s="102">
        <f t="shared" si="43"/>
        <v>0.95000000001164153</v>
      </c>
      <c r="K201" s="103"/>
      <c r="L201" s="104"/>
      <c r="M201" s="105"/>
      <c r="N201" s="103">
        <v>0</v>
      </c>
      <c r="O201" s="106"/>
      <c r="P201" s="103">
        <v>0</v>
      </c>
      <c r="Q201" s="107">
        <f t="shared" si="29"/>
        <v>0</v>
      </c>
      <c r="R201" s="108">
        <v>0</v>
      </c>
      <c r="S201" s="119"/>
      <c r="T201" s="110">
        <f t="shared" si="35"/>
        <v>0</v>
      </c>
      <c r="U201" s="103"/>
      <c r="V201" s="112">
        <f t="shared" si="36"/>
        <v>0</v>
      </c>
      <c r="W201" s="112">
        <f t="shared" si="37"/>
        <v>0</v>
      </c>
      <c r="X201" s="113">
        <f t="shared" si="38"/>
        <v>0</v>
      </c>
      <c r="Y201" s="113">
        <v>0</v>
      </c>
      <c r="Z201" s="114">
        <v>0</v>
      </c>
      <c r="AA201" s="11">
        <f t="shared" si="39"/>
        <v>0</v>
      </c>
      <c r="AB201" s="115">
        <f t="shared" si="31"/>
        <v>0.95000000001164153</v>
      </c>
      <c r="AC201" s="115">
        <f t="shared" si="32"/>
        <v>0</v>
      </c>
      <c r="AD201" s="115">
        <f t="shared" si="33"/>
        <v>0</v>
      </c>
      <c r="AE201" s="11"/>
      <c r="AF201" s="115">
        <f t="shared" si="40"/>
        <v>0</v>
      </c>
      <c r="AG201" s="115">
        <f t="shared" si="41"/>
        <v>0</v>
      </c>
      <c r="AH201" s="115">
        <f t="shared" si="42"/>
        <v>0</v>
      </c>
      <c r="AJ201" s="11">
        <f t="shared" si="34"/>
        <v>0.95000000001164153</v>
      </c>
    </row>
    <row r="202" spans="1:36" s="124" customFormat="1">
      <c r="A202" s="123"/>
      <c r="B202" s="123" t="s">
        <v>49</v>
      </c>
      <c r="C202" s="122" t="s">
        <v>322</v>
      </c>
      <c r="D202" s="118" t="s">
        <v>326</v>
      </c>
      <c r="E202" s="98"/>
      <c r="F202" s="99">
        <f>VLOOKUP(D202,'Dec 2012 Revenue'!D:T,17,FALSE)</f>
        <v>0</v>
      </c>
      <c r="G202" s="100"/>
      <c r="H202" s="100"/>
      <c r="I202" s="101"/>
      <c r="J202" s="102">
        <f t="shared" si="43"/>
        <v>0</v>
      </c>
      <c r="K202" s="103"/>
      <c r="L202" s="104">
        <v>270469</v>
      </c>
      <c r="M202" s="105"/>
      <c r="N202" s="103">
        <v>0</v>
      </c>
      <c r="O202" s="106"/>
      <c r="P202" s="103">
        <v>0</v>
      </c>
      <c r="Q202" s="107">
        <f t="shared" si="29"/>
        <v>270469</v>
      </c>
      <c r="R202" s="108">
        <v>270469.36</v>
      </c>
      <c r="S202" s="119"/>
      <c r="T202" s="110">
        <f t="shared" si="35"/>
        <v>0.35999999998603016</v>
      </c>
      <c r="U202" s="103"/>
      <c r="V202" s="112">
        <f t="shared" si="36"/>
        <v>270469</v>
      </c>
      <c r="W202" s="112">
        <f t="shared" si="37"/>
        <v>0</v>
      </c>
      <c r="X202" s="113">
        <f t="shared" si="38"/>
        <v>0</v>
      </c>
      <c r="Y202" s="113">
        <v>0</v>
      </c>
      <c r="Z202" s="114">
        <v>0</v>
      </c>
      <c r="AA202" s="11">
        <f t="shared" si="39"/>
        <v>0</v>
      </c>
      <c r="AB202" s="115">
        <f t="shared" si="31"/>
        <v>0</v>
      </c>
      <c r="AC202" s="115">
        <f t="shared" si="32"/>
        <v>0</v>
      </c>
      <c r="AD202" s="115">
        <f t="shared" si="33"/>
        <v>0</v>
      </c>
      <c r="AE202" s="11"/>
      <c r="AF202" s="115">
        <f t="shared" si="40"/>
        <v>270469</v>
      </c>
      <c r="AG202" s="115">
        <f t="shared" si="41"/>
        <v>0</v>
      </c>
      <c r="AH202" s="115">
        <f t="shared" si="42"/>
        <v>0</v>
      </c>
      <c r="AJ202" s="11">
        <f t="shared" si="34"/>
        <v>270469</v>
      </c>
    </row>
    <row r="203" spans="1:36">
      <c r="A203" s="129" t="s">
        <v>154</v>
      </c>
      <c r="B203" s="129" t="s">
        <v>46</v>
      </c>
      <c r="C203" s="96"/>
      <c r="D203" s="120" t="s">
        <v>327</v>
      </c>
      <c r="E203" s="98"/>
      <c r="F203" s="99">
        <f>VLOOKUP(D203,'Dec 2012 Revenue'!D:T,17,FALSE)</f>
        <v>0</v>
      </c>
      <c r="G203" s="100"/>
      <c r="H203" s="100"/>
      <c r="I203" s="101"/>
      <c r="J203" s="102">
        <f t="shared" si="43"/>
        <v>0</v>
      </c>
      <c r="K203" s="103"/>
      <c r="L203" s="104"/>
      <c r="M203" s="105"/>
      <c r="N203" s="103">
        <v>0</v>
      </c>
      <c r="O203" s="106"/>
      <c r="P203" s="103">
        <v>0</v>
      </c>
      <c r="Q203" s="107">
        <f t="shared" si="29"/>
        <v>0</v>
      </c>
      <c r="R203" s="108">
        <v>0</v>
      </c>
      <c r="S203" s="119"/>
      <c r="T203" s="110">
        <f t="shared" si="35"/>
        <v>0</v>
      </c>
      <c r="U203" s="103"/>
      <c r="V203" s="112">
        <f t="shared" si="36"/>
        <v>0</v>
      </c>
      <c r="W203" s="112">
        <f t="shared" si="37"/>
        <v>0</v>
      </c>
      <c r="X203" s="113">
        <f t="shared" si="38"/>
        <v>0</v>
      </c>
      <c r="Y203" s="113">
        <v>0</v>
      </c>
      <c r="Z203" s="114">
        <v>0</v>
      </c>
      <c r="AA203" s="11">
        <f t="shared" si="39"/>
        <v>0</v>
      </c>
      <c r="AB203" s="115">
        <f t="shared" si="31"/>
        <v>0</v>
      </c>
      <c r="AC203" s="115">
        <f t="shared" si="32"/>
        <v>0</v>
      </c>
      <c r="AD203" s="115">
        <f t="shared" si="33"/>
        <v>0</v>
      </c>
      <c r="AE203" s="11"/>
      <c r="AF203" s="115">
        <f t="shared" si="40"/>
        <v>0</v>
      </c>
      <c r="AG203" s="115">
        <f t="shared" si="41"/>
        <v>0</v>
      </c>
      <c r="AH203" s="115">
        <f t="shared" si="42"/>
        <v>0</v>
      </c>
      <c r="AJ203" s="11">
        <f t="shared" si="34"/>
        <v>0</v>
      </c>
    </row>
    <row r="204" spans="1:36">
      <c r="A204" s="129" t="s">
        <v>154</v>
      </c>
      <c r="B204" s="129" t="s">
        <v>81</v>
      </c>
      <c r="C204" s="96"/>
      <c r="D204" s="120" t="s">
        <v>328</v>
      </c>
      <c r="E204" s="98"/>
      <c r="F204" s="99">
        <f>VLOOKUP(D204,'Dec 2012 Revenue'!D:T,17,FALSE)</f>
        <v>0</v>
      </c>
      <c r="G204" s="100"/>
      <c r="H204" s="100"/>
      <c r="I204" s="101"/>
      <c r="J204" s="102">
        <f t="shared" si="43"/>
        <v>0</v>
      </c>
      <c r="K204" s="103"/>
      <c r="L204" s="104"/>
      <c r="M204" s="105"/>
      <c r="N204" s="103">
        <v>0</v>
      </c>
      <c r="O204" s="106"/>
      <c r="P204" s="103">
        <v>0</v>
      </c>
      <c r="Q204" s="107">
        <f t="shared" ref="Q204:Q218" si="44">L204+M204</f>
        <v>0</v>
      </c>
      <c r="R204" s="108">
        <v>0</v>
      </c>
      <c r="S204" s="119"/>
      <c r="T204" s="110">
        <f t="shared" si="35"/>
        <v>0</v>
      </c>
      <c r="U204" s="103"/>
      <c r="V204" s="112">
        <f t="shared" si="36"/>
        <v>0</v>
      </c>
      <c r="W204" s="112">
        <f t="shared" si="37"/>
        <v>0</v>
      </c>
      <c r="X204" s="113">
        <f t="shared" si="38"/>
        <v>0</v>
      </c>
      <c r="Y204" s="113">
        <v>0</v>
      </c>
      <c r="Z204" s="114">
        <v>0</v>
      </c>
      <c r="AA204" s="11">
        <f t="shared" si="39"/>
        <v>0</v>
      </c>
      <c r="AB204" s="115">
        <f t="shared" si="31"/>
        <v>0</v>
      </c>
      <c r="AC204" s="115">
        <f t="shared" si="32"/>
        <v>0</v>
      </c>
      <c r="AD204" s="115">
        <f t="shared" si="33"/>
        <v>0</v>
      </c>
      <c r="AE204" s="11"/>
      <c r="AF204" s="115">
        <f t="shared" si="40"/>
        <v>0</v>
      </c>
      <c r="AG204" s="115">
        <f t="shared" si="41"/>
        <v>0</v>
      </c>
      <c r="AH204" s="115">
        <f t="shared" si="42"/>
        <v>0</v>
      </c>
      <c r="AJ204" s="11">
        <f t="shared" si="34"/>
        <v>0</v>
      </c>
    </row>
    <row r="205" spans="1:36">
      <c r="A205" s="116"/>
      <c r="B205" s="116" t="s">
        <v>49</v>
      </c>
      <c r="C205" s="122"/>
      <c r="D205" s="120" t="s">
        <v>330</v>
      </c>
      <c r="E205" s="98"/>
      <c r="F205" s="99">
        <f>VLOOKUP(D205,'Dec 2012 Revenue'!D:T,17,FALSE)</f>
        <v>0</v>
      </c>
      <c r="G205" s="100"/>
      <c r="H205" s="100"/>
      <c r="I205" s="101"/>
      <c r="J205" s="102">
        <f t="shared" si="43"/>
        <v>0</v>
      </c>
      <c r="K205" s="103"/>
      <c r="L205" s="104"/>
      <c r="M205" s="105"/>
      <c r="N205" s="103">
        <v>0</v>
      </c>
      <c r="O205" s="106"/>
      <c r="P205" s="103">
        <v>0</v>
      </c>
      <c r="Q205" s="107">
        <f t="shared" si="44"/>
        <v>0</v>
      </c>
      <c r="R205" s="108">
        <v>0</v>
      </c>
      <c r="S205" s="119"/>
      <c r="T205" s="110">
        <f t="shared" si="35"/>
        <v>0</v>
      </c>
      <c r="U205" s="103"/>
      <c r="V205" s="112">
        <f t="shared" si="36"/>
        <v>0</v>
      </c>
      <c r="W205" s="112">
        <f t="shared" si="37"/>
        <v>0</v>
      </c>
      <c r="X205" s="113">
        <f t="shared" si="38"/>
        <v>0</v>
      </c>
      <c r="Y205" s="113">
        <v>0</v>
      </c>
      <c r="Z205" s="114">
        <v>0</v>
      </c>
      <c r="AA205" s="11">
        <f t="shared" si="39"/>
        <v>0</v>
      </c>
      <c r="AB205" s="115">
        <f t="shared" si="31"/>
        <v>0</v>
      </c>
      <c r="AC205" s="115">
        <f t="shared" si="32"/>
        <v>0</v>
      </c>
      <c r="AD205" s="115">
        <f t="shared" si="33"/>
        <v>0</v>
      </c>
      <c r="AE205" s="11"/>
      <c r="AF205" s="115">
        <f t="shared" si="40"/>
        <v>0</v>
      </c>
      <c r="AG205" s="115">
        <f t="shared" si="41"/>
        <v>0</v>
      </c>
      <c r="AH205" s="115">
        <f t="shared" si="42"/>
        <v>0</v>
      </c>
      <c r="AJ205" s="11">
        <f t="shared" si="34"/>
        <v>0</v>
      </c>
    </row>
    <row r="206" spans="1:36">
      <c r="A206" s="116"/>
      <c r="B206" s="116" t="s">
        <v>49</v>
      </c>
      <c r="C206" s="122" t="s">
        <v>331</v>
      </c>
      <c r="D206" s="118" t="s">
        <v>332</v>
      </c>
      <c r="E206" s="98"/>
      <c r="F206" s="99">
        <f>VLOOKUP(D206,'Dec 2012 Revenue'!D:T,17,FALSE)</f>
        <v>0</v>
      </c>
      <c r="G206" s="100"/>
      <c r="H206" s="100"/>
      <c r="I206" s="101"/>
      <c r="J206" s="102">
        <f t="shared" si="43"/>
        <v>0</v>
      </c>
      <c r="K206" s="103"/>
      <c r="L206" s="104"/>
      <c r="M206" s="105"/>
      <c r="N206" s="103">
        <v>0</v>
      </c>
      <c r="O206" s="106"/>
      <c r="P206" s="103">
        <v>0</v>
      </c>
      <c r="Q206" s="107">
        <f t="shared" si="44"/>
        <v>0</v>
      </c>
      <c r="R206" s="108">
        <v>0</v>
      </c>
      <c r="S206" s="119"/>
      <c r="T206" s="110">
        <f t="shared" si="35"/>
        <v>0</v>
      </c>
      <c r="U206" s="103"/>
      <c r="V206" s="112">
        <f t="shared" si="36"/>
        <v>0</v>
      </c>
      <c r="W206" s="112">
        <f t="shared" si="37"/>
        <v>0</v>
      </c>
      <c r="X206" s="113">
        <f t="shared" si="38"/>
        <v>0</v>
      </c>
      <c r="Y206" s="113">
        <v>0</v>
      </c>
      <c r="Z206" s="114">
        <v>0</v>
      </c>
      <c r="AA206" s="11">
        <f t="shared" si="39"/>
        <v>0</v>
      </c>
      <c r="AB206" s="115">
        <f t="shared" si="31"/>
        <v>0</v>
      </c>
      <c r="AC206" s="115">
        <f t="shared" si="32"/>
        <v>0</v>
      </c>
      <c r="AD206" s="115">
        <f t="shared" si="33"/>
        <v>0</v>
      </c>
      <c r="AE206" s="11"/>
      <c r="AF206" s="115">
        <f t="shared" si="40"/>
        <v>0</v>
      </c>
      <c r="AG206" s="115">
        <f t="shared" si="41"/>
        <v>0</v>
      </c>
      <c r="AH206" s="115">
        <f t="shared" si="42"/>
        <v>0</v>
      </c>
      <c r="AJ206" s="11">
        <f t="shared" si="34"/>
        <v>0</v>
      </c>
    </row>
    <row r="207" spans="1:36">
      <c r="A207" s="116"/>
      <c r="B207" s="116" t="s">
        <v>46</v>
      </c>
      <c r="C207" s="122" t="s">
        <v>331</v>
      </c>
      <c r="D207" s="118" t="s">
        <v>333</v>
      </c>
      <c r="E207" s="98"/>
      <c r="F207" s="99">
        <f>VLOOKUP(D207,'Dec 2012 Revenue'!D:T,17,FALSE)</f>
        <v>0</v>
      </c>
      <c r="G207" s="100"/>
      <c r="H207" s="100"/>
      <c r="I207" s="101"/>
      <c r="J207" s="102">
        <f t="shared" si="43"/>
        <v>0</v>
      </c>
      <c r="K207" s="103"/>
      <c r="L207" s="104"/>
      <c r="M207" s="105"/>
      <c r="N207" s="103">
        <v>0</v>
      </c>
      <c r="O207" s="106"/>
      <c r="P207" s="103">
        <v>0</v>
      </c>
      <c r="Q207" s="107">
        <f t="shared" si="44"/>
        <v>0</v>
      </c>
      <c r="R207" s="108">
        <v>0</v>
      </c>
      <c r="S207" s="119"/>
      <c r="T207" s="110">
        <f t="shared" si="35"/>
        <v>0</v>
      </c>
      <c r="U207" s="103"/>
      <c r="V207" s="112">
        <f t="shared" si="36"/>
        <v>0</v>
      </c>
      <c r="W207" s="112">
        <f t="shared" si="37"/>
        <v>0</v>
      </c>
      <c r="X207" s="113">
        <f t="shared" si="38"/>
        <v>0</v>
      </c>
      <c r="Y207" s="113">
        <v>0</v>
      </c>
      <c r="Z207" s="114">
        <v>0</v>
      </c>
      <c r="AA207" s="11">
        <f t="shared" si="39"/>
        <v>0</v>
      </c>
      <c r="AB207" s="115">
        <f t="shared" si="31"/>
        <v>0</v>
      </c>
      <c r="AC207" s="115">
        <f t="shared" si="32"/>
        <v>0</v>
      </c>
      <c r="AD207" s="115">
        <f t="shared" si="33"/>
        <v>0</v>
      </c>
      <c r="AE207" s="11"/>
      <c r="AF207" s="115">
        <f t="shared" si="40"/>
        <v>0</v>
      </c>
      <c r="AG207" s="115">
        <f t="shared" si="41"/>
        <v>0</v>
      </c>
      <c r="AH207" s="115">
        <f t="shared" si="42"/>
        <v>0</v>
      </c>
      <c r="AJ207" s="11">
        <f t="shared" si="34"/>
        <v>0</v>
      </c>
    </row>
    <row r="208" spans="1:36">
      <c r="A208" s="116"/>
      <c r="B208" s="116" t="s">
        <v>46</v>
      </c>
      <c r="C208" s="122"/>
      <c r="D208" s="118" t="s">
        <v>334</v>
      </c>
      <c r="E208" s="98"/>
      <c r="F208" s="99">
        <f>VLOOKUP(D208,'Dec 2012 Revenue'!D:T,17,FALSE)</f>
        <v>0</v>
      </c>
      <c r="G208" s="100"/>
      <c r="H208" s="100"/>
      <c r="I208" s="101"/>
      <c r="J208" s="102">
        <f t="shared" si="43"/>
        <v>0</v>
      </c>
      <c r="K208" s="103"/>
      <c r="L208" s="104"/>
      <c r="M208" s="105"/>
      <c r="N208" s="103">
        <v>0</v>
      </c>
      <c r="O208" s="106"/>
      <c r="P208" s="103">
        <v>0</v>
      </c>
      <c r="Q208" s="107">
        <f t="shared" si="44"/>
        <v>0</v>
      </c>
      <c r="R208" s="108">
        <v>0</v>
      </c>
      <c r="S208" s="119"/>
      <c r="T208" s="110">
        <f t="shared" si="35"/>
        <v>0</v>
      </c>
      <c r="U208" s="103"/>
      <c r="V208" s="112">
        <f t="shared" si="36"/>
        <v>0</v>
      </c>
      <c r="W208" s="112">
        <f t="shared" si="37"/>
        <v>0</v>
      </c>
      <c r="X208" s="113">
        <f t="shared" si="38"/>
        <v>0</v>
      </c>
      <c r="Y208" s="113">
        <v>0</v>
      </c>
      <c r="Z208" s="114">
        <v>0</v>
      </c>
      <c r="AA208" s="11">
        <f t="shared" si="39"/>
        <v>0</v>
      </c>
      <c r="AB208" s="115">
        <f t="shared" si="31"/>
        <v>0</v>
      </c>
      <c r="AC208" s="115">
        <f t="shared" si="32"/>
        <v>0</v>
      </c>
      <c r="AD208" s="115">
        <f t="shared" si="33"/>
        <v>0</v>
      </c>
      <c r="AE208" s="11"/>
      <c r="AF208" s="115">
        <f t="shared" si="40"/>
        <v>0</v>
      </c>
      <c r="AG208" s="115">
        <f t="shared" si="41"/>
        <v>0</v>
      </c>
      <c r="AH208" s="115">
        <f t="shared" si="42"/>
        <v>0</v>
      </c>
      <c r="AJ208" s="11">
        <f t="shared" ref="AJ208:AJ218" si="45">SUM(AB208:AH208)</f>
        <v>0</v>
      </c>
    </row>
    <row r="209" spans="1:36">
      <c r="A209" s="116"/>
      <c r="B209" s="116" t="s">
        <v>46</v>
      </c>
      <c r="C209" s="122"/>
      <c r="D209" s="118" t="s">
        <v>335</v>
      </c>
      <c r="E209" s="98"/>
      <c r="F209" s="99">
        <f>VLOOKUP(D209,'Dec 2012 Revenue'!D:T,17,FALSE)</f>
        <v>0</v>
      </c>
      <c r="G209" s="100"/>
      <c r="H209" s="100"/>
      <c r="I209" s="101"/>
      <c r="J209" s="102">
        <f t="shared" si="43"/>
        <v>0</v>
      </c>
      <c r="K209" s="103"/>
      <c r="L209" s="104"/>
      <c r="M209" s="105"/>
      <c r="N209" s="103">
        <v>0</v>
      </c>
      <c r="O209" s="106"/>
      <c r="P209" s="103">
        <v>0</v>
      </c>
      <c r="Q209" s="107">
        <f t="shared" si="44"/>
        <v>0</v>
      </c>
      <c r="R209" s="108">
        <v>0</v>
      </c>
      <c r="S209" s="119"/>
      <c r="T209" s="110">
        <f t="shared" ref="T209:T218" si="46">IF(R209="","",R209-Q209)</f>
        <v>0</v>
      </c>
      <c r="U209" s="103"/>
      <c r="V209" s="112">
        <f t="shared" ref="V209:V218" si="47">IF(B209="D",Q209,0)</f>
        <v>0</v>
      </c>
      <c r="W209" s="112">
        <f t="shared" ref="W209:W218" si="48">IF(B209="M",Q209,0)</f>
        <v>0</v>
      </c>
      <c r="X209" s="113">
        <f t="shared" ref="X209:X218" si="49">IF(B209="V",Q209,0)</f>
        <v>0</v>
      </c>
      <c r="Y209" s="113">
        <v>0</v>
      </c>
      <c r="Z209" s="114">
        <v>0</v>
      </c>
      <c r="AA209" s="11">
        <f t="shared" ref="AA209:AA218" si="50">(L209+M209)-(V209+W209+X209+Y209+Z209)</f>
        <v>0</v>
      </c>
      <c r="AB209" s="115">
        <f t="shared" si="31"/>
        <v>0</v>
      </c>
      <c r="AC209" s="115">
        <f t="shared" si="32"/>
        <v>0</v>
      </c>
      <c r="AD209" s="115">
        <f t="shared" si="33"/>
        <v>0</v>
      </c>
      <c r="AE209" s="11"/>
      <c r="AF209" s="115">
        <f t="shared" si="40"/>
        <v>0</v>
      </c>
      <c r="AG209" s="115">
        <f t="shared" si="41"/>
        <v>0</v>
      </c>
      <c r="AH209" s="115">
        <f t="shared" si="42"/>
        <v>0</v>
      </c>
      <c r="AJ209" s="11">
        <f t="shared" si="45"/>
        <v>0</v>
      </c>
    </row>
    <row r="210" spans="1:36">
      <c r="A210" s="116"/>
      <c r="B210" s="116" t="s">
        <v>46</v>
      </c>
      <c r="C210" s="122"/>
      <c r="D210" s="120" t="s">
        <v>336</v>
      </c>
      <c r="E210" s="98"/>
      <c r="F210" s="99">
        <f>VLOOKUP(D210,'Dec 2012 Revenue'!D:T,17,FALSE)</f>
        <v>0</v>
      </c>
      <c r="G210" s="100"/>
      <c r="H210" s="100"/>
      <c r="I210" s="101"/>
      <c r="J210" s="102">
        <f t="shared" si="43"/>
        <v>0</v>
      </c>
      <c r="K210" s="103"/>
      <c r="L210" s="104"/>
      <c r="M210" s="105"/>
      <c r="N210" s="103">
        <v>0</v>
      </c>
      <c r="O210" s="106"/>
      <c r="P210" s="103">
        <v>0</v>
      </c>
      <c r="Q210" s="107">
        <f t="shared" si="44"/>
        <v>0</v>
      </c>
      <c r="R210" s="108">
        <v>0</v>
      </c>
      <c r="S210" s="119"/>
      <c r="T210" s="110">
        <f t="shared" si="46"/>
        <v>0</v>
      </c>
      <c r="U210" s="103"/>
      <c r="V210" s="112">
        <f t="shared" si="47"/>
        <v>0</v>
      </c>
      <c r="W210" s="112">
        <f t="shared" si="48"/>
        <v>0</v>
      </c>
      <c r="X210" s="113">
        <f t="shared" si="49"/>
        <v>0</v>
      </c>
      <c r="Y210" s="113">
        <v>0</v>
      </c>
      <c r="Z210" s="114">
        <v>0</v>
      </c>
      <c r="AA210" s="11">
        <f t="shared" si="50"/>
        <v>0</v>
      </c>
      <c r="AB210" s="115">
        <f t="shared" ref="AB210:AB218" si="51">IF(B210="D",J210,0)</f>
        <v>0</v>
      </c>
      <c r="AC210" s="115">
        <f t="shared" ref="AC210:AC218" si="52">IF(B210="M",J210,0)</f>
        <v>0</v>
      </c>
      <c r="AD210" s="115">
        <f t="shared" ref="AD210:AD218" si="53">IF(B210="V",J210,0)</f>
        <v>0</v>
      </c>
      <c r="AE210" s="11"/>
      <c r="AF210" s="115">
        <f t="shared" ref="AF210:AF218" si="54">IF(B210="D",Q210,0)</f>
        <v>0</v>
      </c>
      <c r="AG210" s="115">
        <f t="shared" ref="AG210:AG218" si="55">IF(B210="M",Q210,0)</f>
        <v>0</v>
      </c>
      <c r="AH210" s="115">
        <f t="shared" ref="AH210:AH218" si="56">IF(B210="V",Q210,0)</f>
        <v>0</v>
      </c>
      <c r="AJ210" s="11">
        <f t="shared" si="45"/>
        <v>0</v>
      </c>
    </row>
    <row r="211" spans="1:36">
      <c r="A211" s="116"/>
      <c r="B211" s="116" t="s">
        <v>49</v>
      </c>
      <c r="C211" s="122"/>
      <c r="D211" s="120" t="s">
        <v>337</v>
      </c>
      <c r="E211" s="98"/>
      <c r="F211" s="99">
        <f>VLOOKUP(D211,'Dec 2012 Revenue'!D:T,17,FALSE)</f>
        <v>0</v>
      </c>
      <c r="G211" s="100"/>
      <c r="H211" s="100"/>
      <c r="I211" s="101"/>
      <c r="J211" s="102">
        <f t="shared" si="43"/>
        <v>0</v>
      </c>
      <c r="K211" s="103"/>
      <c r="L211" s="104"/>
      <c r="M211" s="105"/>
      <c r="N211" s="103">
        <v>0</v>
      </c>
      <c r="O211" s="106"/>
      <c r="P211" s="103">
        <v>0</v>
      </c>
      <c r="Q211" s="107">
        <f t="shared" si="44"/>
        <v>0</v>
      </c>
      <c r="R211" s="108">
        <v>0</v>
      </c>
      <c r="S211" s="119"/>
      <c r="T211" s="110">
        <f t="shared" si="46"/>
        <v>0</v>
      </c>
      <c r="U211" s="103"/>
      <c r="V211" s="112">
        <f t="shared" si="47"/>
        <v>0</v>
      </c>
      <c r="W211" s="112">
        <f t="shared" si="48"/>
        <v>0</v>
      </c>
      <c r="X211" s="113">
        <f t="shared" si="49"/>
        <v>0</v>
      </c>
      <c r="Y211" s="113">
        <v>0</v>
      </c>
      <c r="Z211" s="114">
        <v>0</v>
      </c>
      <c r="AA211" s="11">
        <f t="shared" si="50"/>
        <v>0</v>
      </c>
      <c r="AB211" s="115">
        <f t="shared" si="51"/>
        <v>0</v>
      </c>
      <c r="AC211" s="115">
        <f t="shared" si="52"/>
        <v>0</v>
      </c>
      <c r="AD211" s="115">
        <f t="shared" si="53"/>
        <v>0</v>
      </c>
      <c r="AE211" s="11"/>
      <c r="AF211" s="115">
        <f t="shared" si="54"/>
        <v>0</v>
      </c>
      <c r="AG211" s="115">
        <f t="shared" si="55"/>
        <v>0</v>
      </c>
      <c r="AH211" s="115">
        <f t="shared" si="56"/>
        <v>0</v>
      </c>
      <c r="AJ211" s="11">
        <f t="shared" si="45"/>
        <v>0</v>
      </c>
    </row>
    <row r="212" spans="1:36">
      <c r="A212" s="116"/>
      <c r="B212" s="116" t="s">
        <v>46</v>
      </c>
      <c r="C212" s="122" t="s">
        <v>338</v>
      </c>
      <c r="D212" s="120" t="s">
        <v>339</v>
      </c>
      <c r="E212" s="98"/>
      <c r="F212" s="99">
        <f>VLOOKUP(D212,'Dec 2012 Revenue'!D:T,17,FALSE)</f>
        <v>0</v>
      </c>
      <c r="G212" s="100"/>
      <c r="H212" s="100"/>
      <c r="I212" s="101"/>
      <c r="J212" s="102">
        <f t="shared" si="43"/>
        <v>0</v>
      </c>
      <c r="K212" s="103"/>
      <c r="L212" s="104"/>
      <c r="M212" s="105"/>
      <c r="N212" s="103">
        <v>0</v>
      </c>
      <c r="O212" s="106"/>
      <c r="P212" s="103">
        <v>0</v>
      </c>
      <c r="Q212" s="107">
        <f t="shared" si="44"/>
        <v>0</v>
      </c>
      <c r="R212" s="108">
        <v>0</v>
      </c>
      <c r="S212" s="119"/>
      <c r="T212" s="110">
        <f t="shared" si="46"/>
        <v>0</v>
      </c>
      <c r="U212" s="103"/>
      <c r="V212" s="112">
        <f t="shared" si="47"/>
        <v>0</v>
      </c>
      <c r="W212" s="112">
        <f t="shared" si="48"/>
        <v>0</v>
      </c>
      <c r="X212" s="113">
        <f t="shared" si="49"/>
        <v>0</v>
      </c>
      <c r="Y212" s="113">
        <v>0</v>
      </c>
      <c r="Z212" s="114">
        <v>0</v>
      </c>
      <c r="AA212" s="11">
        <f t="shared" si="50"/>
        <v>0</v>
      </c>
      <c r="AB212" s="115">
        <f t="shared" si="51"/>
        <v>0</v>
      </c>
      <c r="AC212" s="115">
        <f t="shared" si="52"/>
        <v>0</v>
      </c>
      <c r="AD212" s="115">
        <f t="shared" si="53"/>
        <v>0</v>
      </c>
      <c r="AE212" s="11"/>
      <c r="AF212" s="115">
        <f t="shared" si="54"/>
        <v>0</v>
      </c>
      <c r="AG212" s="115">
        <f t="shared" si="55"/>
        <v>0</v>
      </c>
      <c r="AH212" s="115">
        <f t="shared" si="56"/>
        <v>0</v>
      </c>
      <c r="AJ212" s="11">
        <f t="shared" si="45"/>
        <v>0</v>
      </c>
    </row>
    <row r="213" spans="1:36">
      <c r="A213" s="116" t="s">
        <v>340</v>
      </c>
      <c r="B213" s="116" t="s">
        <v>49</v>
      </c>
      <c r="C213" s="122"/>
      <c r="D213" s="120" t="s">
        <v>341</v>
      </c>
      <c r="E213" s="98"/>
      <c r="F213" s="99">
        <f>VLOOKUP(D213,'Dec 2012 Revenue'!D:T,17,FALSE)</f>
        <v>-8000</v>
      </c>
      <c r="G213" s="100"/>
      <c r="H213" s="100"/>
      <c r="I213" s="101"/>
      <c r="J213" s="102">
        <f t="shared" si="43"/>
        <v>-8000</v>
      </c>
      <c r="K213" s="103"/>
      <c r="L213" s="104"/>
      <c r="M213" s="105">
        <v>10000</v>
      </c>
      <c r="N213" s="103">
        <v>0</v>
      </c>
      <c r="O213" s="106"/>
      <c r="P213" s="103">
        <v>0</v>
      </c>
      <c r="Q213" s="107">
        <f t="shared" si="44"/>
        <v>10000</v>
      </c>
      <c r="R213" s="108">
        <v>0</v>
      </c>
      <c r="S213" s="119"/>
      <c r="T213" s="110">
        <f t="shared" si="46"/>
        <v>-10000</v>
      </c>
      <c r="U213" s="103"/>
      <c r="V213" s="112">
        <f t="shared" si="47"/>
        <v>10000</v>
      </c>
      <c r="W213" s="112">
        <f t="shared" si="48"/>
        <v>0</v>
      </c>
      <c r="X213" s="113">
        <f t="shared" si="49"/>
        <v>0</v>
      </c>
      <c r="Y213" s="113">
        <v>0</v>
      </c>
      <c r="Z213" s="114">
        <v>0</v>
      </c>
      <c r="AA213" s="11">
        <f t="shared" si="50"/>
        <v>0</v>
      </c>
      <c r="AB213" s="115">
        <f t="shared" si="51"/>
        <v>-8000</v>
      </c>
      <c r="AC213" s="115">
        <f t="shared" si="52"/>
        <v>0</v>
      </c>
      <c r="AD213" s="115">
        <f t="shared" si="53"/>
        <v>0</v>
      </c>
      <c r="AE213" s="11"/>
      <c r="AF213" s="115">
        <f t="shared" si="54"/>
        <v>10000</v>
      </c>
      <c r="AG213" s="115">
        <f t="shared" si="55"/>
        <v>0</v>
      </c>
      <c r="AH213" s="115">
        <f t="shared" si="56"/>
        <v>0</v>
      </c>
      <c r="AJ213" s="11">
        <f t="shared" si="45"/>
        <v>2000</v>
      </c>
    </row>
    <row r="214" spans="1:36">
      <c r="A214" s="116"/>
      <c r="B214" s="116" t="s">
        <v>49</v>
      </c>
      <c r="C214" s="122" t="s">
        <v>342</v>
      </c>
      <c r="D214" s="120" t="s">
        <v>343</v>
      </c>
      <c r="E214" s="98"/>
      <c r="F214" s="99">
        <f>VLOOKUP(D214,'Dec 2012 Revenue'!D:T,17,FALSE)</f>
        <v>0</v>
      </c>
      <c r="G214" s="100"/>
      <c r="H214" s="100"/>
      <c r="I214" s="101"/>
      <c r="J214" s="102">
        <f t="shared" si="43"/>
        <v>0</v>
      </c>
      <c r="K214" s="103"/>
      <c r="L214" s="104"/>
      <c r="M214" s="105"/>
      <c r="N214" s="103">
        <v>0</v>
      </c>
      <c r="O214" s="106"/>
      <c r="P214" s="103">
        <v>0</v>
      </c>
      <c r="Q214" s="107">
        <f t="shared" si="44"/>
        <v>0</v>
      </c>
      <c r="R214" s="108">
        <v>164.67</v>
      </c>
      <c r="S214" s="119"/>
      <c r="T214" s="110">
        <f t="shared" si="46"/>
        <v>164.67</v>
      </c>
      <c r="U214" s="103"/>
      <c r="V214" s="112">
        <f t="shared" si="47"/>
        <v>0</v>
      </c>
      <c r="W214" s="112">
        <f t="shared" si="48"/>
        <v>0</v>
      </c>
      <c r="X214" s="113">
        <f t="shared" si="49"/>
        <v>0</v>
      </c>
      <c r="Y214" s="113">
        <v>0</v>
      </c>
      <c r="Z214" s="114">
        <v>0</v>
      </c>
      <c r="AA214" s="11">
        <f t="shared" si="50"/>
        <v>0</v>
      </c>
      <c r="AB214" s="115">
        <f t="shared" si="51"/>
        <v>0</v>
      </c>
      <c r="AC214" s="115">
        <f t="shared" si="52"/>
        <v>0</v>
      </c>
      <c r="AD214" s="115">
        <f t="shared" si="53"/>
        <v>0</v>
      </c>
      <c r="AE214" s="11"/>
      <c r="AF214" s="115">
        <f t="shared" si="54"/>
        <v>0</v>
      </c>
      <c r="AG214" s="115">
        <f t="shared" si="55"/>
        <v>0</v>
      </c>
      <c r="AH214" s="115">
        <f t="shared" si="56"/>
        <v>0</v>
      </c>
      <c r="AJ214" s="11">
        <f t="shared" si="45"/>
        <v>0</v>
      </c>
    </row>
    <row r="215" spans="1:36">
      <c r="A215" s="129"/>
      <c r="B215" s="129" t="s">
        <v>49</v>
      </c>
      <c r="C215" s="96"/>
      <c r="D215" s="120" t="s">
        <v>434</v>
      </c>
      <c r="E215" s="98"/>
      <c r="F215" s="99">
        <f>VLOOKUP(D215,'Dec 2012 Revenue'!D:T,17,FALSE)</f>
        <v>0</v>
      </c>
      <c r="G215" s="100"/>
      <c r="H215" s="100"/>
      <c r="I215" s="101"/>
      <c r="J215" s="102">
        <f t="shared" si="43"/>
        <v>0</v>
      </c>
      <c r="K215" s="103"/>
      <c r="L215" s="104"/>
      <c r="M215" s="105"/>
      <c r="N215" s="103">
        <v>0</v>
      </c>
      <c r="O215" s="106"/>
      <c r="P215" s="103">
        <v>0</v>
      </c>
      <c r="Q215" s="107">
        <f t="shared" si="44"/>
        <v>0</v>
      </c>
      <c r="R215" s="108">
        <v>1076.3900000000001</v>
      </c>
      <c r="S215" s="119"/>
      <c r="T215" s="110">
        <f t="shared" si="46"/>
        <v>1076.3900000000001</v>
      </c>
      <c r="U215" s="103"/>
      <c r="V215" s="112">
        <f t="shared" si="47"/>
        <v>0</v>
      </c>
      <c r="W215" s="112">
        <f t="shared" si="48"/>
        <v>0</v>
      </c>
      <c r="X215" s="113">
        <f t="shared" si="49"/>
        <v>0</v>
      </c>
      <c r="Y215" s="113">
        <v>0</v>
      </c>
      <c r="Z215" s="114">
        <v>0</v>
      </c>
      <c r="AA215" s="11">
        <f t="shared" si="50"/>
        <v>0</v>
      </c>
      <c r="AB215" s="115">
        <f t="shared" si="51"/>
        <v>0</v>
      </c>
      <c r="AC215" s="115">
        <f t="shared" si="52"/>
        <v>0</v>
      </c>
      <c r="AD215" s="115">
        <f t="shared" si="53"/>
        <v>0</v>
      </c>
      <c r="AE215" s="11"/>
      <c r="AF215" s="115">
        <f t="shared" si="54"/>
        <v>0</v>
      </c>
      <c r="AG215" s="115">
        <f t="shared" si="55"/>
        <v>0</v>
      </c>
      <c r="AH215" s="115">
        <f t="shared" si="56"/>
        <v>0</v>
      </c>
      <c r="AJ215" s="11">
        <f t="shared" si="45"/>
        <v>0</v>
      </c>
    </row>
    <row r="216" spans="1:36">
      <c r="A216" s="129"/>
      <c r="B216" s="129" t="s">
        <v>81</v>
      </c>
      <c r="C216" s="96"/>
      <c r="D216" s="120" t="s">
        <v>345</v>
      </c>
      <c r="E216" s="98"/>
      <c r="F216" s="99">
        <f>VLOOKUP(D216,'Dec 2012 Revenue'!D:T,17,FALSE)</f>
        <v>2819</v>
      </c>
      <c r="G216" s="100"/>
      <c r="H216" s="100"/>
      <c r="I216" s="101"/>
      <c r="J216" s="102">
        <f t="shared" si="43"/>
        <v>2819</v>
      </c>
      <c r="K216" s="103"/>
      <c r="L216" s="104"/>
      <c r="M216" s="105"/>
      <c r="N216" s="103">
        <v>0</v>
      </c>
      <c r="O216" s="106"/>
      <c r="P216" s="103">
        <v>0</v>
      </c>
      <c r="Q216" s="107">
        <f t="shared" si="44"/>
        <v>0</v>
      </c>
      <c r="R216" s="108">
        <f>601.45+474.94+1760.49+637.23-R215</f>
        <v>2397.7200000000003</v>
      </c>
      <c r="S216" s="119"/>
      <c r="T216" s="110">
        <f t="shared" si="46"/>
        <v>2397.7200000000003</v>
      </c>
      <c r="U216" s="103"/>
      <c r="V216" s="112">
        <f t="shared" si="47"/>
        <v>0</v>
      </c>
      <c r="W216" s="112">
        <f t="shared" si="48"/>
        <v>0</v>
      </c>
      <c r="X216" s="113">
        <f t="shared" si="49"/>
        <v>0</v>
      </c>
      <c r="Y216" s="113">
        <v>0</v>
      </c>
      <c r="Z216" s="114">
        <v>0</v>
      </c>
      <c r="AA216" s="11">
        <f t="shared" si="50"/>
        <v>0</v>
      </c>
      <c r="AB216" s="115">
        <f t="shared" si="51"/>
        <v>0</v>
      </c>
      <c r="AC216" s="115">
        <f t="shared" si="52"/>
        <v>0</v>
      </c>
      <c r="AD216" s="115">
        <f t="shared" si="53"/>
        <v>2819</v>
      </c>
      <c r="AE216" s="11"/>
      <c r="AF216" s="115">
        <f t="shared" si="54"/>
        <v>0</v>
      </c>
      <c r="AG216" s="115">
        <f t="shared" si="55"/>
        <v>0</v>
      </c>
      <c r="AH216" s="115">
        <f t="shared" si="56"/>
        <v>0</v>
      </c>
      <c r="AJ216" s="11">
        <f t="shared" si="45"/>
        <v>2819</v>
      </c>
    </row>
    <row r="217" spans="1:36">
      <c r="A217" s="129"/>
      <c r="B217" s="129" t="s">
        <v>81</v>
      </c>
      <c r="C217" s="151"/>
      <c r="D217" s="152" t="s">
        <v>346</v>
      </c>
      <c r="E217" s="98"/>
      <c r="F217" s="99">
        <f>VLOOKUP(D217,'Dec 2012 Revenue'!D:T,17,FALSE)</f>
        <v>0</v>
      </c>
      <c r="G217" s="100"/>
      <c r="H217" s="100"/>
      <c r="I217" s="101"/>
      <c r="J217" s="102">
        <f t="shared" si="43"/>
        <v>0</v>
      </c>
      <c r="K217" s="103"/>
      <c r="L217" s="104"/>
      <c r="M217" s="105"/>
      <c r="N217" s="103">
        <v>0</v>
      </c>
      <c r="O217" s="106"/>
      <c r="P217" s="103">
        <v>0</v>
      </c>
      <c r="Q217" s="107">
        <f t="shared" si="44"/>
        <v>0</v>
      </c>
      <c r="R217" s="108">
        <v>0</v>
      </c>
      <c r="S217" s="119"/>
      <c r="T217" s="110">
        <f t="shared" si="46"/>
        <v>0</v>
      </c>
      <c r="U217" s="103"/>
      <c r="V217" s="112">
        <f t="shared" si="47"/>
        <v>0</v>
      </c>
      <c r="W217" s="112">
        <f t="shared" si="48"/>
        <v>0</v>
      </c>
      <c r="X217" s="113">
        <f t="shared" si="49"/>
        <v>0</v>
      </c>
      <c r="Y217" s="113">
        <v>0</v>
      </c>
      <c r="Z217" s="114">
        <v>0</v>
      </c>
      <c r="AA217" s="11">
        <f t="shared" si="50"/>
        <v>0</v>
      </c>
      <c r="AB217" s="115">
        <f t="shared" si="51"/>
        <v>0</v>
      </c>
      <c r="AC217" s="115">
        <f t="shared" si="52"/>
        <v>0</v>
      </c>
      <c r="AD217" s="115">
        <f t="shared" si="53"/>
        <v>0</v>
      </c>
      <c r="AE217" s="11"/>
      <c r="AF217" s="115">
        <f t="shared" si="54"/>
        <v>0</v>
      </c>
      <c r="AG217" s="115">
        <f t="shared" si="55"/>
        <v>0</v>
      </c>
      <c r="AH217" s="115">
        <f t="shared" si="56"/>
        <v>0</v>
      </c>
      <c r="AJ217" s="11">
        <f t="shared" si="45"/>
        <v>0</v>
      </c>
    </row>
    <row r="218" spans="1:36" s="9" customFormat="1" ht="13" thickBot="1">
      <c r="A218" s="129"/>
      <c r="B218" s="129" t="s">
        <v>49</v>
      </c>
      <c r="C218" s="96"/>
      <c r="D218" s="120" t="s">
        <v>348</v>
      </c>
      <c r="E218" s="98"/>
      <c r="F218" s="99">
        <f>VLOOKUP(D218,'Dec 2012 Revenue'!D:T,17,FALSE)</f>
        <v>0</v>
      </c>
      <c r="G218" s="100"/>
      <c r="H218" s="100"/>
      <c r="I218" s="101"/>
      <c r="J218" s="102">
        <f t="shared" si="43"/>
        <v>0</v>
      </c>
      <c r="K218" s="103"/>
      <c r="L218" s="104"/>
      <c r="M218" s="105"/>
      <c r="N218" s="103">
        <v>0</v>
      </c>
      <c r="O218" s="106"/>
      <c r="P218" s="103">
        <v>0</v>
      </c>
      <c r="Q218" s="107">
        <f t="shared" si="44"/>
        <v>0</v>
      </c>
      <c r="R218" s="108">
        <v>0</v>
      </c>
      <c r="S218" s="119"/>
      <c r="T218" s="110">
        <f t="shared" si="46"/>
        <v>0</v>
      </c>
      <c r="U218" s="103"/>
      <c r="V218" s="112">
        <f t="shared" si="47"/>
        <v>0</v>
      </c>
      <c r="W218" s="112">
        <f t="shared" si="48"/>
        <v>0</v>
      </c>
      <c r="X218" s="113">
        <f t="shared" si="49"/>
        <v>0</v>
      </c>
      <c r="Y218" s="113">
        <v>0</v>
      </c>
      <c r="Z218" s="114">
        <v>0</v>
      </c>
      <c r="AA218" s="11">
        <f t="shared" si="50"/>
        <v>0</v>
      </c>
      <c r="AB218" s="115">
        <f t="shared" si="51"/>
        <v>0</v>
      </c>
      <c r="AC218" s="115">
        <f t="shared" si="52"/>
        <v>0</v>
      </c>
      <c r="AD218" s="115">
        <f t="shared" si="53"/>
        <v>0</v>
      </c>
      <c r="AE218" s="11"/>
      <c r="AF218" s="115">
        <f t="shared" si="54"/>
        <v>0</v>
      </c>
      <c r="AG218" s="115">
        <f t="shared" si="55"/>
        <v>0</v>
      </c>
      <c r="AH218" s="115">
        <f t="shared" si="56"/>
        <v>0</v>
      </c>
      <c r="AJ218" s="11">
        <f t="shared" si="45"/>
        <v>0</v>
      </c>
    </row>
    <row r="219" spans="1:36" ht="13" thickBot="1">
      <c r="A219" s="153"/>
      <c r="B219" s="154"/>
      <c r="C219" s="155"/>
      <c r="D219" s="156" t="s">
        <v>349</v>
      </c>
      <c r="E219" s="157">
        <f t="shared" ref="E219:J219" si="57">SUM(E16:E218)</f>
        <v>43257.69</v>
      </c>
      <c r="F219" s="157">
        <f t="shared" si="57"/>
        <v>-241203.86000000004</v>
      </c>
      <c r="G219" s="157">
        <f t="shared" si="57"/>
        <v>0</v>
      </c>
      <c r="H219" s="157">
        <f t="shared" si="57"/>
        <v>0</v>
      </c>
      <c r="I219" s="157">
        <f t="shared" si="57"/>
        <v>6061397.2199999997</v>
      </c>
      <c r="J219" s="157">
        <f t="shared" si="57"/>
        <v>5863451.0500000017</v>
      </c>
      <c r="K219" s="157"/>
      <c r="L219" s="157">
        <f>SUM(L16:L218)</f>
        <v>275404</v>
      </c>
      <c r="M219" s="157">
        <f>SUM(M16:M218)</f>
        <v>3133000</v>
      </c>
      <c r="N219" s="157">
        <f>SUM(N16:N218)</f>
        <v>0</v>
      </c>
      <c r="O219" s="158">
        <f>SUM(O16:O218)</f>
        <v>0</v>
      </c>
      <c r="P219" s="159">
        <f>SUM(P17:P218)</f>
        <v>0</v>
      </c>
      <c r="Q219" s="158">
        <f>SUM(Q16:Q218)</f>
        <v>3408404</v>
      </c>
      <c r="R219" s="158">
        <f>SUM(R16:R218)</f>
        <v>2938487.23</v>
      </c>
      <c r="S219" s="160"/>
      <c r="T219" s="158">
        <f>SUM(T16:T218)</f>
        <v>-469916.77000000008</v>
      </c>
      <c r="U219" s="103"/>
      <c r="V219" s="161">
        <f>SUM(V16:V218)</f>
        <v>2823469</v>
      </c>
      <c r="W219" s="161">
        <f>SUM(W16:W218)</f>
        <v>499000</v>
      </c>
      <c r="X219" s="161">
        <f>SUM(X16:X218)</f>
        <v>85935</v>
      </c>
      <c r="Y219" s="161">
        <f>SUM(Y16:Y218)</f>
        <v>0</v>
      </c>
      <c r="Z219" s="161">
        <f>SUM(Z16:Z218)</f>
        <v>0</v>
      </c>
      <c r="AA219" s="11"/>
      <c r="AB219" s="161">
        <f>SUM(AB16:AB218)</f>
        <v>5944699.2000000011</v>
      </c>
      <c r="AC219" s="161">
        <f>SUM(AC16:AC218)</f>
        <v>-75826.509999999995</v>
      </c>
      <c r="AD219" s="161">
        <f>SUM(AD16:AD218)</f>
        <v>-5421.6399999999994</v>
      </c>
      <c r="AE219" s="11"/>
      <c r="AF219" s="161">
        <f>SUM(AF16:AF218)</f>
        <v>2832887.7</v>
      </c>
      <c r="AG219" s="161">
        <f>SUM(AG16:AG218)</f>
        <v>489581.3</v>
      </c>
      <c r="AH219" s="161">
        <f>SUM(AH16:AH218)</f>
        <v>85935</v>
      </c>
    </row>
    <row r="220" spans="1:36" ht="13" thickBot="1">
      <c r="A220" s="162"/>
      <c r="B220" s="162"/>
      <c r="C220" s="163"/>
      <c r="D220" s="164"/>
      <c r="E220" s="165" t="s">
        <v>350</v>
      </c>
      <c r="F220" s="166">
        <f>F219-E219</f>
        <v>-284461.55000000005</v>
      </c>
      <c r="G220" s="167"/>
      <c r="H220" s="167" t="s">
        <v>351</v>
      </c>
      <c r="I220" s="167">
        <f>I219+H219+G219</f>
        <v>6061397.2199999997</v>
      </c>
      <c r="J220" s="168"/>
      <c r="K220" s="167"/>
      <c r="L220" s="167" t="s">
        <v>352</v>
      </c>
      <c r="M220" s="158">
        <f>M219+L219</f>
        <v>3408404</v>
      </c>
      <c r="N220" s="167"/>
      <c r="O220" s="169"/>
      <c r="P220" s="167"/>
      <c r="Q220" s="167"/>
      <c r="R220" s="167"/>
      <c r="S220" s="167"/>
      <c r="T220" s="167"/>
      <c r="U220" s="167"/>
      <c r="V220" s="170"/>
      <c r="W220" s="170"/>
      <c r="X220" s="170"/>
      <c r="Y220" s="170"/>
      <c r="Z220" s="171"/>
      <c r="AA220" s="11"/>
      <c r="AB220" s="172"/>
      <c r="AC220" s="172"/>
      <c r="AD220" s="172"/>
      <c r="AE220" s="11"/>
      <c r="AF220" s="11"/>
      <c r="AG220" s="11"/>
      <c r="AH220" s="11"/>
    </row>
    <row r="221" spans="1:36" ht="13" thickBot="1">
      <c r="A221" s="162"/>
      <c r="B221" s="162"/>
      <c r="C221" s="163"/>
      <c r="E221" s="173"/>
      <c r="F221" s="167"/>
      <c r="G221" s="167"/>
      <c r="H221" s="167"/>
      <c r="I221" s="167"/>
      <c r="J221" s="167"/>
      <c r="K221" s="167"/>
      <c r="L221" s="167"/>
      <c r="M221" s="174"/>
      <c r="N221" s="167"/>
      <c r="O221" s="167"/>
      <c r="P221" s="167"/>
      <c r="Q221" s="167"/>
      <c r="R221" s="167"/>
      <c r="S221" s="167"/>
      <c r="T221" s="167"/>
      <c r="U221" s="167"/>
      <c r="V221" s="175" t="s">
        <v>353</v>
      </c>
      <c r="W221" s="170"/>
      <c r="X221" s="170"/>
      <c r="Y221" s="170"/>
      <c r="Z221" s="171"/>
      <c r="AA221" s="17" t="s">
        <v>354</v>
      </c>
      <c r="AB221" s="176">
        <v>-56529.04</v>
      </c>
      <c r="AC221" s="176"/>
      <c r="AD221" s="176">
        <f>-SUM(AB221)</f>
        <v>56529.04</v>
      </c>
      <c r="AE221" s="11"/>
      <c r="AF221" s="172"/>
      <c r="AG221" s="172"/>
      <c r="AH221" s="172"/>
    </row>
    <row r="222" spans="1:36" ht="17" thickTop="1" thickBot="1">
      <c r="E222" s="177"/>
      <c r="F222" s="178"/>
      <c r="G222" s="179"/>
      <c r="H222" s="180"/>
      <c r="I222" s="180"/>
      <c r="J222" s="17"/>
      <c r="K222" s="8"/>
      <c r="L222" s="181"/>
      <c r="M222" s="181"/>
      <c r="N222" s="11"/>
      <c r="O222" s="182"/>
      <c r="P222" s="170"/>
      <c r="Q222" s="170"/>
      <c r="R222" s="62"/>
      <c r="S222" s="62"/>
      <c r="T222" s="62"/>
      <c r="U222" s="8"/>
      <c r="V222" s="183"/>
      <c r="W222" s="184"/>
      <c r="X222" s="185"/>
      <c r="Y222" s="185"/>
      <c r="Z222" s="186"/>
      <c r="AA222" s="17" t="s">
        <v>355</v>
      </c>
      <c r="AB222" s="187">
        <v>-191247.63020000001</v>
      </c>
      <c r="AC222" s="176"/>
      <c r="AD222" s="187">
        <f>-SUM(AB222)</f>
        <v>191247.63020000001</v>
      </c>
      <c r="AE222" s="11"/>
      <c r="AF222" s="11"/>
      <c r="AG222" s="11"/>
      <c r="AH222" s="11"/>
    </row>
    <row r="223" spans="1:36" ht="17" thickBot="1">
      <c r="E223" s="177"/>
      <c r="F223" s="178"/>
      <c r="G223" s="179"/>
      <c r="H223" s="180"/>
      <c r="J223" s="41">
        <f>J219</f>
        <v>5863451.0500000017</v>
      </c>
      <c r="K223" s="180" t="s">
        <v>452</v>
      </c>
      <c r="L223" s="8"/>
      <c r="M223" s="188"/>
      <c r="N223" s="11"/>
      <c r="O223" s="45"/>
      <c r="P223" s="171"/>
      <c r="Q223" s="170"/>
      <c r="R223" s="62"/>
      <c r="S223" s="62"/>
      <c r="T223" s="62"/>
      <c r="U223" s="8"/>
      <c r="V223" s="189"/>
      <c r="W223" s="190"/>
      <c r="X223" s="191" t="s">
        <v>357</v>
      </c>
      <c r="Y223" s="191" t="s">
        <v>358</v>
      </c>
      <c r="Z223" s="190"/>
      <c r="AA223" s="192" t="s">
        <v>359</v>
      </c>
      <c r="AB223" s="193">
        <f>SUM(AB219:AB222)</f>
        <v>5696922.5298000015</v>
      </c>
      <c r="AC223" s="193">
        <f>AC219</f>
        <v>-75826.509999999995</v>
      </c>
      <c r="AD223" s="193">
        <f>SUM(AD219:AD222)</f>
        <v>242355.03020000001</v>
      </c>
      <c r="AE223" s="193"/>
      <c r="AF223" s="193">
        <f>AF219</f>
        <v>2832887.7</v>
      </c>
      <c r="AG223" s="193">
        <f>AG219</f>
        <v>489581.3</v>
      </c>
      <c r="AH223" s="194">
        <f>AH219</f>
        <v>85935</v>
      </c>
      <c r="AJ223" s="11">
        <f>SUM(AJ17:AJ222)</f>
        <v>9271855.0500000026</v>
      </c>
    </row>
    <row r="224" spans="1:36" ht="15" thickBot="1">
      <c r="D224" s="195"/>
      <c r="E224" s="196"/>
      <c r="F224" s="178"/>
      <c r="G224" s="179"/>
      <c r="H224" s="197"/>
      <c r="J224" s="198" t="e">
        <f>SUM(#REF!)</f>
        <v>#REF!</v>
      </c>
      <c r="K224" s="199" t="s">
        <v>360</v>
      </c>
      <c r="L224" s="200"/>
      <c r="M224" s="182"/>
      <c r="N224" s="62"/>
      <c r="O224" s="45"/>
      <c r="P224" s="171"/>
      <c r="Q224" s="170"/>
      <c r="R224" s="62"/>
      <c r="S224" s="62"/>
      <c r="T224" s="62"/>
      <c r="U224" s="8"/>
      <c r="V224" s="201" t="s">
        <v>361</v>
      </c>
      <c r="W224" s="171" t="s">
        <v>362</v>
      </c>
      <c r="X224" s="171">
        <f>V219+W219+X219</f>
        <v>3408404</v>
      </c>
      <c r="Y224" s="171"/>
      <c r="Z224" s="202"/>
      <c r="AA224" s="203"/>
      <c r="AB224" s="11"/>
      <c r="AC224" s="11"/>
      <c r="AD224" s="11"/>
      <c r="AE224" s="11"/>
      <c r="AF224" s="11"/>
      <c r="AG224" s="11"/>
      <c r="AH224" s="11"/>
    </row>
    <row r="225" spans="4:34" ht="15" thickTop="1">
      <c r="D225" s="195"/>
      <c r="E225" s="177"/>
      <c r="F225" s="178"/>
      <c r="G225" s="179"/>
      <c r="H225" s="179" t="s">
        <v>363</v>
      </c>
      <c r="J225" s="49" t="e">
        <f>J224+J223</f>
        <v>#REF!</v>
      </c>
      <c r="K225" s="179" t="s">
        <v>364</v>
      </c>
      <c r="L225" s="200"/>
      <c r="M225" s="45"/>
      <c r="N225" s="171"/>
      <c r="O225" s="49"/>
      <c r="P225" s="171"/>
      <c r="Q225" s="170"/>
      <c r="R225" s="170"/>
      <c r="S225" s="170"/>
      <c r="T225" s="170"/>
      <c r="U225" s="8"/>
      <c r="V225" s="201"/>
      <c r="W225" s="171"/>
      <c r="X225" s="171"/>
      <c r="Y225" s="171"/>
      <c r="Z225" s="202"/>
      <c r="AA225" s="203"/>
      <c r="AB225" s="11"/>
      <c r="AC225" s="11"/>
      <c r="AD225" s="11" t="s">
        <v>349</v>
      </c>
      <c r="AE225" s="11"/>
      <c r="AF225" s="181">
        <f>SUM(AB223+AF223)</f>
        <v>8529810.2298000008</v>
      </c>
      <c r="AG225" s="181">
        <f t="shared" ref="AG225:AH225" si="58">SUM(AC223+AG223)</f>
        <v>413754.79</v>
      </c>
      <c r="AH225" s="181">
        <f t="shared" si="58"/>
        <v>328290.03020000004</v>
      </c>
    </row>
    <row r="226" spans="4:34" ht="14">
      <c r="D226" s="195"/>
      <c r="E226" s="177"/>
      <c r="F226" s="178" t="e">
        <f>#REF!+F220</f>
        <v>#REF!</v>
      </c>
      <c r="G226" s="179"/>
      <c r="H226" s="179"/>
      <c r="J226" s="45"/>
      <c r="K226" s="179"/>
      <c r="L226" s="200"/>
      <c r="M226" s="171"/>
      <c r="N226" s="11"/>
      <c r="O226" s="170"/>
      <c r="P226" s="171"/>
      <c r="Q226" s="170"/>
      <c r="R226" s="170"/>
      <c r="S226" s="170"/>
      <c r="T226" s="170"/>
      <c r="U226" s="8"/>
      <c r="V226" s="201" t="s">
        <v>365</v>
      </c>
      <c r="W226" s="171" t="s">
        <v>366</v>
      </c>
      <c r="X226" s="171"/>
      <c r="Y226" s="171">
        <f>V219</f>
        <v>2823469</v>
      </c>
      <c r="Z226" s="202"/>
      <c r="AA226" s="11"/>
      <c r="AB226" s="206" t="s">
        <v>367</v>
      </c>
      <c r="AC226" s="11"/>
      <c r="AD226" s="11"/>
      <c r="AE226" s="11"/>
      <c r="AF226" s="181"/>
      <c r="AG226" s="181"/>
      <c r="AH226" s="181"/>
    </row>
    <row r="227" spans="4:34" ht="15" thickBot="1">
      <c r="D227" s="195" t="s">
        <v>368</v>
      </c>
      <c r="E227" s="177"/>
      <c r="F227" s="178"/>
      <c r="G227" s="179"/>
      <c r="H227" s="179"/>
      <c r="J227" s="207">
        <f>M220</f>
        <v>3408404</v>
      </c>
      <c r="K227" s="179" t="s">
        <v>453</v>
      </c>
      <c r="L227" s="208"/>
      <c r="M227" s="49"/>
      <c r="N227" s="11"/>
      <c r="O227" s="170"/>
      <c r="P227" s="171"/>
      <c r="Q227" s="170"/>
      <c r="R227" s="209"/>
      <c r="S227" s="170"/>
      <c r="T227" s="210"/>
      <c r="U227" s="8"/>
      <c r="V227" s="201"/>
      <c r="W227" s="171" t="s">
        <v>370</v>
      </c>
      <c r="X227" s="171"/>
      <c r="Y227" s="171">
        <f>Y219</f>
        <v>0</v>
      </c>
      <c r="Z227" s="202"/>
      <c r="AA227" s="11"/>
      <c r="AB227" s="11"/>
      <c r="AC227" s="11"/>
      <c r="AD227" s="11"/>
      <c r="AE227" s="11"/>
      <c r="AF227" s="211" t="s">
        <v>371</v>
      </c>
      <c r="AG227" s="212">
        <f>SUM(AF225:AH225)</f>
        <v>9271855.0500000007</v>
      </c>
      <c r="AH227" s="213"/>
    </row>
    <row r="228" spans="4:34" ht="16" thickTop="1" thickBot="1">
      <c r="D228" s="195"/>
      <c r="E228" s="177"/>
      <c r="F228" s="178"/>
      <c r="G228" s="179"/>
      <c r="H228" s="179"/>
      <c r="J228" s="49">
        <v>0</v>
      </c>
      <c r="K228" s="179"/>
      <c r="L228" s="200"/>
      <c r="M228" s="49"/>
      <c r="N228" s="11"/>
      <c r="O228" s="62"/>
      <c r="P228" s="11"/>
      <c r="Q228" s="170"/>
      <c r="R228" s="170"/>
      <c r="S228" s="170"/>
      <c r="T228" s="170"/>
      <c r="U228" s="8"/>
      <c r="V228" s="201"/>
      <c r="W228" s="171"/>
      <c r="X228" s="171"/>
      <c r="Y228" s="171"/>
      <c r="Z228" s="202"/>
      <c r="AA228" s="11"/>
      <c r="AB228" s="11"/>
      <c r="AC228" s="11"/>
      <c r="AD228" s="11"/>
      <c r="AE228" s="11"/>
    </row>
    <row r="229" spans="4:34" ht="15" thickBot="1">
      <c r="E229" s="177"/>
      <c r="F229" s="178"/>
      <c r="G229" s="179"/>
      <c r="H229" s="179"/>
      <c r="J229" s="214">
        <f>J223+J227</f>
        <v>9271855.0500000007</v>
      </c>
      <c r="K229" s="179" t="s">
        <v>454</v>
      </c>
      <c r="L229" s="200"/>
      <c r="M229" s="49"/>
      <c r="N229" s="11"/>
      <c r="O229" s="62"/>
      <c r="P229" s="11"/>
      <c r="Q229" s="170"/>
      <c r="R229" s="170"/>
      <c r="S229" s="170"/>
      <c r="T229" s="170"/>
      <c r="U229" s="8"/>
      <c r="V229" s="201" t="s">
        <v>373</v>
      </c>
      <c r="W229" s="171" t="s">
        <v>374</v>
      </c>
      <c r="X229" s="171"/>
      <c r="Y229" s="171">
        <f>W219</f>
        <v>499000</v>
      </c>
      <c r="Z229" s="202"/>
      <c r="AA229" s="11"/>
      <c r="AB229" s="11"/>
      <c r="AC229" s="11"/>
      <c r="AD229" s="11"/>
      <c r="AE229" s="11"/>
      <c r="AF229" s="215" t="s">
        <v>375</v>
      </c>
      <c r="AG229" s="11">
        <f>AG227-AH225</f>
        <v>8943565.0197999999</v>
      </c>
      <c r="AH229" s="11"/>
    </row>
    <row r="230" spans="4:34">
      <c r="E230" s="177"/>
      <c r="F230" s="178"/>
      <c r="G230" s="179"/>
      <c r="H230" s="179"/>
      <c r="J230" s="216"/>
      <c r="K230" s="179"/>
      <c r="L230" s="49"/>
      <c r="M230" s="217"/>
      <c r="N230" s="11"/>
      <c r="O230" s="62"/>
      <c r="P230" s="11"/>
      <c r="Q230" s="170"/>
      <c r="R230" s="170"/>
      <c r="S230" s="170"/>
      <c r="T230" s="170"/>
      <c r="U230" s="8"/>
      <c r="V230" s="218"/>
      <c r="W230" s="171" t="s">
        <v>376</v>
      </c>
      <c r="X230" s="171"/>
      <c r="Y230" s="171">
        <f>Z219</f>
        <v>0</v>
      </c>
      <c r="Z230" s="202"/>
      <c r="AA230" s="11"/>
      <c r="AB230" s="11"/>
      <c r="AC230" s="11"/>
      <c r="AD230" s="11"/>
      <c r="AE230" s="11"/>
      <c r="AF230" s="11"/>
      <c r="AG230" s="11"/>
      <c r="AH230" s="11"/>
    </row>
    <row r="231" spans="4:34">
      <c r="E231" s="177"/>
      <c r="F231" s="178"/>
      <c r="G231" s="179"/>
      <c r="H231" s="179"/>
      <c r="J231" s="219">
        <f>SUM(AB223:AH223)</f>
        <v>9271855.0500000026</v>
      </c>
      <c r="K231" s="179" t="s">
        <v>377</v>
      </c>
      <c r="L231" s="220"/>
      <c r="M231" s="216"/>
      <c r="N231" s="11"/>
      <c r="O231" s="62"/>
      <c r="P231" s="11"/>
      <c r="Q231" s="170"/>
      <c r="R231" s="170"/>
      <c r="S231" s="170"/>
      <c r="T231" s="170"/>
      <c r="U231" s="8"/>
      <c r="V231" s="218"/>
      <c r="W231" s="171"/>
      <c r="X231" s="171"/>
      <c r="Y231" s="171"/>
      <c r="Z231" s="202"/>
      <c r="AA231" s="11"/>
      <c r="AB231" s="11"/>
      <c r="AC231" s="11"/>
      <c r="AD231" s="11"/>
      <c r="AE231" s="11"/>
      <c r="AF231" s="11"/>
      <c r="AG231" s="11"/>
      <c r="AH231" s="11"/>
    </row>
    <row r="232" spans="4:34" ht="13" thickBot="1">
      <c r="E232" s="177"/>
      <c r="F232" s="178"/>
      <c r="G232" s="179"/>
      <c r="H232" s="179"/>
      <c r="J232" s="8"/>
      <c r="K232" s="179" t="s">
        <v>364</v>
      </c>
      <c r="L232" s="221"/>
      <c r="M232" s="222"/>
      <c r="N232" s="11"/>
      <c r="O232" s="62"/>
      <c r="P232" s="11"/>
      <c r="Q232" s="170"/>
      <c r="R232" s="170"/>
      <c r="S232" s="170"/>
      <c r="T232" s="170"/>
      <c r="U232" s="8"/>
      <c r="V232" s="201" t="s">
        <v>378</v>
      </c>
      <c r="W232" s="190" t="s">
        <v>379</v>
      </c>
      <c r="X232" s="190"/>
      <c r="Y232" s="190">
        <f>X219</f>
        <v>85935</v>
      </c>
      <c r="Z232" s="223"/>
      <c r="AA232" s="11"/>
      <c r="AB232" s="11"/>
      <c r="AC232" s="11"/>
      <c r="AD232" s="11"/>
      <c r="AE232" s="11"/>
      <c r="AF232" s="11"/>
      <c r="AG232" s="11"/>
      <c r="AH232" s="11"/>
    </row>
    <row r="233" spans="4:34" ht="15" thickBot="1">
      <c r="E233" s="177"/>
      <c r="F233" s="178"/>
      <c r="G233" s="179"/>
      <c r="H233" s="179"/>
      <c r="J233" s="224"/>
      <c r="K233" s="179" t="s">
        <v>380</v>
      </c>
      <c r="L233" s="8"/>
      <c r="M233" s="8"/>
      <c r="N233" s="11"/>
      <c r="O233" s="62"/>
      <c r="P233" s="11"/>
      <c r="Q233" s="62"/>
      <c r="R233" s="62"/>
      <c r="S233" s="62"/>
      <c r="T233" s="62"/>
      <c r="U233" s="8"/>
      <c r="V233" s="225"/>
      <c r="W233" s="171"/>
      <c r="X233" s="45">
        <f>SUM(X224:X232)</f>
        <v>3408404</v>
      </c>
      <c r="Y233" s="45">
        <f>SUM(Y224:Y232)</f>
        <v>3408404</v>
      </c>
      <c r="Z233" s="202"/>
      <c r="AA233" s="11"/>
      <c r="AB233" s="11"/>
      <c r="AC233" s="11"/>
      <c r="AD233" s="11"/>
      <c r="AE233" s="11"/>
      <c r="AF233" s="11"/>
      <c r="AG233" s="11"/>
      <c r="AH233" s="11"/>
    </row>
    <row r="234" spans="4:34">
      <c r="E234" s="177"/>
      <c r="F234" s="178"/>
      <c r="G234" s="179"/>
      <c r="H234" s="179"/>
      <c r="I234" s="179"/>
      <c r="J234" s="8"/>
      <c r="K234" s="8"/>
      <c r="L234" s="8"/>
      <c r="M234" s="8"/>
      <c r="N234" s="11"/>
      <c r="O234" s="62"/>
      <c r="P234" s="11"/>
      <c r="Q234" s="62"/>
      <c r="R234" s="62"/>
      <c r="S234" s="62"/>
      <c r="T234" s="62"/>
      <c r="U234" s="8"/>
      <c r="V234" s="225"/>
      <c r="W234" s="171"/>
      <c r="X234" s="171"/>
      <c r="Y234" s="171"/>
      <c r="Z234" s="202"/>
      <c r="AA234" s="11"/>
      <c r="AB234" s="11"/>
      <c r="AC234" s="11"/>
      <c r="AD234" s="11"/>
      <c r="AE234" s="11"/>
      <c r="AF234" s="11"/>
      <c r="AG234" s="11"/>
      <c r="AH234" s="11"/>
    </row>
    <row r="235" spans="4:34" ht="13" thickBot="1">
      <c r="E235" s="177"/>
      <c r="F235" s="178"/>
      <c r="G235" s="179"/>
      <c r="H235" s="179"/>
      <c r="I235" s="179"/>
      <c r="J235" s="8"/>
      <c r="K235" s="8"/>
      <c r="L235" s="8"/>
      <c r="M235" s="8"/>
      <c r="N235" s="11"/>
      <c r="O235" s="62"/>
      <c r="P235" s="11"/>
      <c r="Q235" s="62"/>
      <c r="R235" s="62"/>
      <c r="S235" s="62"/>
      <c r="T235" s="62"/>
      <c r="U235" s="8"/>
      <c r="V235" s="227"/>
      <c r="W235" s="228"/>
      <c r="X235" s="228"/>
      <c r="Y235" s="228"/>
      <c r="Z235" s="229"/>
      <c r="AA235" s="11"/>
      <c r="AB235" s="11"/>
      <c r="AC235" s="11"/>
      <c r="AD235" s="11"/>
      <c r="AE235" s="11"/>
      <c r="AF235" s="11"/>
      <c r="AG235" s="11"/>
      <c r="AH235" s="11"/>
    </row>
    <row r="236" spans="4:34">
      <c r="E236" s="177"/>
      <c r="F236" s="178"/>
      <c r="G236" s="179"/>
      <c r="H236" s="179"/>
      <c r="I236" s="179"/>
      <c r="J236" s="8"/>
      <c r="K236" s="8"/>
      <c r="L236" s="8"/>
      <c r="M236" s="8"/>
      <c r="N236" s="11"/>
      <c r="O236" s="62"/>
      <c r="P236" s="11"/>
      <c r="Q236" s="62"/>
      <c r="R236" s="62"/>
      <c r="S236" s="62"/>
      <c r="T236" s="62"/>
      <c r="U236" s="8"/>
      <c r="V236" s="171"/>
      <c r="W236" s="171"/>
      <c r="X236" s="171"/>
      <c r="Y236" s="171"/>
      <c r="Z236" s="171"/>
      <c r="AA236" s="11"/>
      <c r="AB236" s="11"/>
      <c r="AC236" s="11"/>
      <c r="AD236" s="11"/>
      <c r="AE236" s="11"/>
      <c r="AF236" s="11"/>
      <c r="AG236" s="11"/>
      <c r="AH236" s="11"/>
    </row>
    <row r="237" spans="4:34">
      <c r="E237" s="177"/>
      <c r="F237" s="178"/>
      <c r="G237" s="179"/>
      <c r="H237" s="179"/>
      <c r="I237" s="179"/>
      <c r="J237" s="8"/>
      <c r="K237" s="8"/>
      <c r="L237" s="8"/>
      <c r="M237" s="8"/>
      <c r="N237" s="11"/>
      <c r="O237" s="62"/>
      <c r="P237" s="11"/>
      <c r="Q237" s="62"/>
      <c r="R237" s="62"/>
      <c r="S237" s="62"/>
      <c r="T237" s="62"/>
      <c r="U237" s="8"/>
      <c r="AA237" s="11"/>
      <c r="AB237" s="11"/>
      <c r="AC237" s="11"/>
      <c r="AD237" s="11"/>
      <c r="AE237" s="11"/>
      <c r="AF237" s="11"/>
      <c r="AG237" s="11"/>
      <c r="AH237" s="11"/>
    </row>
    <row r="238" spans="4:34">
      <c r="E238" s="177"/>
      <c r="F238" s="178"/>
      <c r="G238" s="179"/>
      <c r="H238" s="179"/>
      <c r="I238" s="179"/>
      <c r="J238" s="8"/>
      <c r="K238" s="8"/>
      <c r="L238" s="8"/>
      <c r="M238" s="8"/>
      <c r="N238" s="11"/>
      <c r="O238" s="62"/>
      <c r="P238" s="11"/>
      <c r="Q238" s="62"/>
      <c r="R238" s="62"/>
      <c r="S238" s="62"/>
      <c r="T238" s="62"/>
      <c r="U238" s="8"/>
      <c r="AA238" s="11"/>
      <c r="AB238" s="11"/>
      <c r="AC238" s="11"/>
      <c r="AD238" s="11"/>
      <c r="AE238" s="11"/>
      <c r="AF238" s="11"/>
      <c r="AG238" s="11"/>
      <c r="AH238" s="11"/>
    </row>
    <row r="239" spans="4:34">
      <c r="E239" s="177"/>
      <c r="F239" s="178"/>
      <c r="G239" s="179"/>
      <c r="H239" s="179"/>
      <c r="I239" s="179"/>
      <c r="J239" s="8"/>
      <c r="K239" s="8"/>
      <c r="L239" s="8"/>
      <c r="M239" s="8"/>
      <c r="N239" s="11"/>
      <c r="O239" s="62"/>
      <c r="P239" s="11"/>
      <c r="Q239" s="62"/>
      <c r="R239" s="62"/>
      <c r="S239" s="62"/>
      <c r="T239" s="62"/>
      <c r="U239" s="8"/>
      <c r="AA239" s="11"/>
      <c r="AB239" s="11"/>
      <c r="AC239" s="11"/>
      <c r="AD239" s="11"/>
      <c r="AE239" s="11"/>
      <c r="AF239" s="11"/>
      <c r="AG239" s="11"/>
      <c r="AH239" s="11"/>
    </row>
    <row r="240" spans="4:34">
      <c r="E240" s="177"/>
      <c r="F240" s="178"/>
      <c r="G240" s="179"/>
      <c r="H240" s="179"/>
      <c r="I240" s="179"/>
      <c r="J240" s="8"/>
      <c r="K240" s="8"/>
      <c r="L240" s="8"/>
      <c r="M240" s="8"/>
      <c r="N240" s="11"/>
      <c r="O240" s="62"/>
      <c r="P240" s="11"/>
      <c r="Q240" s="62"/>
      <c r="R240" s="62"/>
      <c r="S240" s="62"/>
      <c r="T240" s="62"/>
      <c r="U240" s="8"/>
      <c r="AA240" s="11"/>
      <c r="AB240" s="11"/>
      <c r="AC240" s="11"/>
      <c r="AD240" s="11"/>
      <c r="AE240" s="11"/>
      <c r="AF240" s="11"/>
      <c r="AG240" s="11"/>
      <c r="AH240" s="11"/>
    </row>
    <row r="241" spans="5:34">
      <c r="E241" s="177"/>
      <c r="F241" s="178"/>
      <c r="G241" s="179"/>
      <c r="H241" s="179"/>
      <c r="I241" s="179"/>
      <c r="J241" s="8"/>
      <c r="K241" s="8"/>
      <c r="L241" s="8"/>
      <c r="M241" s="8"/>
      <c r="N241" s="11"/>
      <c r="O241" s="62"/>
      <c r="P241" s="11"/>
      <c r="Q241" s="62"/>
      <c r="R241" s="62"/>
      <c r="S241" s="62"/>
      <c r="T241" s="62"/>
      <c r="U241" s="8"/>
      <c r="AA241" s="11"/>
      <c r="AB241" s="11"/>
      <c r="AC241" s="11"/>
      <c r="AD241" s="11"/>
      <c r="AE241" s="11"/>
      <c r="AF241" s="11"/>
      <c r="AG241" s="11"/>
      <c r="AH241" s="11"/>
    </row>
    <row r="242" spans="5:34">
      <c r="E242" s="177"/>
      <c r="F242" s="178"/>
      <c r="G242" s="179"/>
      <c r="H242" s="179"/>
      <c r="I242" s="179"/>
      <c r="J242" s="8"/>
      <c r="K242" s="8"/>
      <c r="L242" s="8"/>
      <c r="M242" s="8"/>
      <c r="N242" s="11"/>
      <c r="O242" s="62"/>
      <c r="P242" s="11"/>
      <c r="Q242" s="62"/>
      <c r="R242" s="62"/>
      <c r="S242" s="62"/>
      <c r="T242" s="62"/>
      <c r="U242" s="8"/>
      <c r="AA242" s="11"/>
      <c r="AB242" s="11"/>
      <c r="AC242" s="11"/>
      <c r="AD242" s="11"/>
      <c r="AE242" s="11"/>
      <c r="AF242" s="11"/>
      <c r="AG242" s="11"/>
      <c r="AH242" s="11"/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49"/>
  <sheetViews>
    <sheetView topLeftCell="A13" workbookViewId="0">
      <pane xSplit="4" ySplit="3" topLeftCell="E167" activePane="bottomRight" state="frozenSplit"/>
      <selection activeCell="Z13" sqref="Z13"/>
      <selection pane="bottomLeft" activeCell="A167" sqref="A167"/>
      <selection pane="topRight" activeCell="D13" sqref="D13"/>
      <selection pane="bottomRight" activeCell="D201" sqref="D201"/>
    </sheetView>
  </sheetViews>
  <sheetFormatPr baseColWidth="10" defaultColWidth="9.19921875" defaultRowHeight="12" outlineLevelCol="1" x14ac:dyDescent="0"/>
  <cols>
    <col min="1" max="1" width="9" style="1" bestFit="1" customWidth="1" outlineLevel="1"/>
    <col min="2" max="2" width="8.3984375" style="1" bestFit="1" customWidth="1" outlineLevel="1"/>
    <col min="3" max="3" width="11.19921875" style="2" bestFit="1" customWidth="1" outlineLevel="1"/>
    <col min="4" max="4" width="32.19921875" style="3" customWidth="1"/>
    <col min="5" max="5" width="14.19921875" style="4" customWidth="1"/>
    <col min="6" max="6" width="15" style="16" bestFit="1" customWidth="1"/>
    <col min="7" max="8" width="15.3984375" style="43" hidden="1" customWidth="1"/>
    <col min="9" max="9" width="15.3984375" style="43" customWidth="1"/>
    <col min="10" max="10" width="16" style="14" bestFit="1" customWidth="1"/>
    <col min="11" max="11" width="3" style="14" customWidth="1"/>
    <col min="12" max="13" width="15.19921875" style="14" customWidth="1"/>
    <col min="14" max="14" width="1.796875" customWidth="1"/>
    <col min="15" max="15" width="7.3984375" style="9" customWidth="1"/>
    <col min="16" max="16" width="1.796875" customWidth="1"/>
    <col min="17" max="18" width="15.19921875" style="9" customWidth="1"/>
    <col min="19" max="19" width="1.796875" style="9" customWidth="1"/>
    <col min="20" max="20" width="15.19921875" style="9" customWidth="1"/>
    <col min="21" max="21" width="1.796875" style="14" customWidth="1"/>
    <col min="22" max="26" width="15.19921875" style="11" customWidth="1"/>
    <col min="27" max="27" width="15.19921875" customWidth="1"/>
    <col min="28" max="29" width="15.19921875" style="12" customWidth="1"/>
    <col min="30" max="30" width="15.796875" style="12" customWidth="1"/>
    <col min="31" max="31" width="2.19921875" style="12" customWidth="1"/>
    <col min="32" max="33" width="14.796875" style="12" bestFit="1" customWidth="1"/>
    <col min="34" max="34" width="14.19921875" style="12" customWidth="1"/>
    <col min="36" max="36" width="14.796875" bestFit="1" customWidth="1"/>
  </cols>
  <sheetData>
    <row r="1" spans="1:34">
      <c r="D1" s="3" t="s">
        <v>0</v>
      </c>
      <c r="F1" s="5"/>
      <c r="G1" s="6"/>
      <c r="H1" s="7"/>
      <c r="I1" s="7"/>
      <c r="J1" s="8"/>
      <c r="K1" s="8"/>
      <c r="L1" s="8"/>
      <c r="M1" s="8"/>
      <c r="N1" s="8"/>
      <c r="U1" s="10"/>
    </row>
    <row r="2" spans="1:34">
      <c r="D2" s="3" t="s">
        <v>1</v>
      </c>
      <c r="F2" s="5"/>
      <c r="G2" s="6"/>
      <c r="H2" s="7"/>
      <c r="I2" s="7"/>
      <c r="J2" s="8"/>
      <c r="K2" s="8"/>
      <c r="L2" s="8"/>
      <c r="M2" s="8"/>
      <c r="N2" s="8"/>
      <c r="U2" s="10"/>
    </row>
    <row r="3" spans="1:34">
      <c r="D3" s="3" t="s">
        <v>447</v>
      </c>
      <c r="F3" s="5"/>
      <c r="G3" s="1"/>
      <c r="H3" s="13"/>
      <c r="I3" s="13"/>
      <c r="J3" s="8"/>
      <c r="K3" s="8"/>
      <c r="L3" s="8"/>
      <c r="M3" s="8"/>
      <c r="N3" s="8"/>
    </row>
    <row r="4" spans="1:34">
      <c r="D4" s="15"/>
      <c r="G4" s="17"/>
      <c r="H4" s="13"/>
      <c r="I4" s="13"/>
      <c r="J4" s="8"/>
      <c r="K4" s="8"/>
      <c r="L4" s="8"/>
      <c r="M4" s="8"/>
      <c r="N4" s="8"/>
    </row>
    <row r="5" spans="1:34" ht="13" thickBot="1">
      <c r="D5" s="15"/>
      <c r="G5" s="18"/>
      <c r="H5" s="19"/>
      <c r="I5" s="19"/>
      <c r="J5" s="8"/>
      <c r="K5" s="8"/>
      <c r="L5" s="8"/>
      <c r="M5" s="8"/>
      <c r="N5" s="8"/>
    </row>
    <row r="6" spans="1:34">
      <c r="B6" s="20"/>
      <c r="C6" s="21"/>
      <c r="D6" s="22" t="s">
        <v>3</v>
      </c>
      <c r="E6" s="23" t="s">
        <v>4</v>
      </c>
      <c r="G6" s="18"/>
      <c r="H6" s="19"/>
      <c r="I6" s="19"/>
      <c r="J6" s="8"/>
      <c r="K6" s="8"/>
      <c r="L6" s="8"/>
      <c r="M6" s="8"/>
      <c r="N6" s="8"/>
      <c r="O6" s="16"/>
      <c r="P6" s="1"/>
      <c r="Q6" s="16"/>
      <c r="R6" s="16"/>
      <c r="S6" s="16"/>
      <c r="T6" s="16"/>
    </row>
    <row r="7" spans="1:34">
      <c r="B7" s="24"/>
      <c r="C7" s="25"/>
      <c r="D7" s="26" t="s">
        <v>5</v>
      </c>
      <c r="E7" s="27" t="s">
        <v>6</v>
      </c>
      <c r="F7" s="5"/>
      <c r="G7" s="18"/>
      <c r="H7" s="19"/>
      <c r="I7" s="19"/>
      <c r="J7" s="28"/>
      <c r="K7" s="29"/>
      <c r="L7" s="30"/>
      <c r="M7" s="30"/>
      <c r="U7" s="29"/>
    </row>
    <row r="8" spans="1:34">
      <c r="B8" s="24"/>
      <c r="C8" s="31"/>
      <c r="D8" s="32" t="s">
        <v>7</v>
      </c>
      <c r="E8" s="33" t="s">
        <v>8</v>
      </c>
      <c r="F8" s="5"/>
      <c r="G8" s="17"/>
      <c r="H8" s="19"/>
      <c r="I8" s="19"/>
      <c r="J8" s="34"/>
      <c r="K8" s="29"/>
      <c r="L8" s="35"/>
      <c r="M8" s="35"/>
      <c r="N8" s="36"/>
      <c r="O8" s="37"/>
      <c r="P8" s="36"/>
      <c r="Q8" s="37"/>
      <c r="R8" s="37"/>
      <c r="S8" s="37"/>
      <c r="T8" s="37"/>
      <c r="U8" s="29"/>
    </row>
    <row r="9" spans="1:34">
      <c r="B9" s="24"/>
      <c r="C9" s="25"/>
      <c r="D9" s="26" t="s">
        <v>9</v>
      </c>
      <c r="E9" s="38" t="s">
        <v>10</v>
      </c>
      <c r="F9" s="5"/>
      <c r="G9" s="18"/>
      <c r="H9" s="39"/>
      <c r="I9" s="39"/>
      <c r="J9" s="40"/>
      <c r="L9" s="41"/>
      <c r="M9" s="41"/>
      <c r="N9" s="36"/>
      <c r="O9" s="37"/>
      <c r="P9" s="36"/>
      <c r="Q9" s="37"/>
      <c r="R9" s="37"/>
      <c r="S9" s="37"/>
      <c r="T9" s="37"/>
    </row>
    <row r="10" spans="1:34">
      <c r="B10" s="24"/>
      <c r="C10" s="25"/>
      <c r="D10" s="26" t="s">
        <v>11</v>
      </c>
      <c r="E10" s="42" t="s">
        <v>12</v>
      </c>
      <c r="F10" s="5"/>
      <c r="J10" s="44"/>
      <c r="L10" s="45"/>
      <c r="M10" s="44"/>
      <c r="N10" s="36"/>
      <c r="O10" s="37"/>
      <c r="P10" s="36"/>
      <c r="Q10" s="37"/>
      <c r="R10" s="37"/>
      <c r="S10" s="37"/>
      <c r="T10" s="37"/>
    </row>
    <row r="11" spans="1:34">
      <c r="B11" s="24"/>
      <c r="C11" s="25"/>
      <c r="D11" s="26" t="s">
        <v>13</v>
      </c>
      <c r="E11" s="46" t="s">
        <v>14</v>
      </c>
      <c r="F11" s="5"/>
      <c r="G11" s="47"/>
      <c r="H11" s="48"/>
      <c r="I11" s="48"/>
      <c r="J11" s="44"/>
      <c r="L11" s="49"/>
      <c r="M11" s="49"/>
      <c r="N11" s="36"/>
      <c r="O11" s="37"/>
      <c r="P11" s="36"/>
      <c r="Q11" s="37"/>
      <c r="R11" s="37"/>
      <c r="S11" s="37"/>
      <c r="T11" s="37"/>
    </row>
    <row r="12" spans="1:34" ht="13" thickBot="1">
      <c r="B12" s="50"/>
      <c r="C12" s="51"/>
      <c r="D12" s="52" t="s">
        <v>15</v>
      </c>
      <c r="E12" s="53" t="s">
        <v>16</v>
      </c>
      <c r="F12" s="5"/>
      <c r="G12" s="47"/>
      <c r="H12" s="54"/>
      <c r="I12" s="54"/>
      <c r="J12" s="44"/>
    </row>
    <row r="13" spans="1:34" ht="13" thickBot="1">
      <c r="A13" s="16"/>
      <c r="B13" s="16"/>
      <c r="C13" s="55"/>
      <c r="D13" s="56"/>
      <c r="E13" s="57"/>
      <c r="G13" s="58"/>
      <c r="H13" s="59"/>
      <c r="I13" s="59"/>
      <c r="J13" s="60"/>
      <c r="K13" s="60"/>
      <c r="L13" s="60"/>
      <c r="M13" s="61"/>
      <c r="N13" s="9"/>
      <c r="P13" s="9"/>
      <c r="U13" s="60"/>
      <c r="V13" s="62"/>
      <c r="W13" s="62"/>
      <c r="X13" s="62"/>
      <c r="Y13" s="62"/>
    </row>
    <row r="14" spans="1:34" ht="13" thickBot="1">
      <c r="D14" s="63"/>
      <c r="E14" s="64" t="s">
        <v>446</v>
      </c>
      <c r="F14" s="65" t="s">
        <v>445</v>
      </c>
      <c r="G14" s="66"/>
      <c r="H14" s="66"/>
      <c r="I14" s="66"/>
      <c r="J14" s="66" t="s">
        <v>444</v>
      </c>
      <c r="K14" s="67"/>
      <c r="L14" s="66" t="s">
        <v>444</v>
      </c>
      <c r="M14" s="66" t="s">
        <v>444</v>
      </c>
      <c r="N14" s="68"/>
      <c r="O14" s="66"/>
      <c r="P14" s="68"/>
      <c r="Q14" s="69"/>
      <c r="R14" s="66"/>
      <c r="S14" s="70"/>
      <c r="T14" s="66"/>
      <c r="U14" s="68"/>
      <c r="V14" s="66"/>
      <c r="W14" s="66"/>
      <c r="X14" s="71"/>
      <c r="Y14" s="71"/>
      <c r="Z14" s="71"/>
      <c r="AC14" s="72" t="s">
        <v>20</v>
      </c>
      <c r="AG14" s="73" t="s">
        <v>21</v>
      </c>
    </row>
    <row r="15" spans="1:34" ht="13" thickBot="1">
      <c r="A15" s="74" t="s">
        <v>22</v>
      </c>
      <c r="B15" s="74" t="s">
        <v>23</v>
      </c>
      <c r="C15" s="75" t="s">
        <v>24</v>
      </c>
      <c r="D15" s="75" t="s">
        <v>25</v>
      </c>
      <c r="E15" s="76" t="s">
        <v>26</v>
      </c>
      <c r="F15" s="77" t="s">
        <v>27</v>
      </c>
      <c r="G15" s="78" t="s">
        <v>28</v>
      </c>
      <c r="H15" s="79" t="s">
        <v>29</v>
      </c>
      <c r="I15" s="80" t="s">
        <v>444</v>
      </c>
      <c r="J15" s="81" t="s">
        <v>30</v>
      </c>
      <c r="K15" s="68"/>
      <c r="L15" s="82" t="s">
        <v>31</v>
      </c>
      <c r="M15" s="83" t="s">
        <v>32</v>
      </c>
      <c r="N15" s="84"/>
      <c r="O15" s="85" t="s">
        <v>33</v>
      </c>
      <c r="P15" s="84"/>
      <c r="Q15" s="81" t="s">
        <v>443</v>
      </c>
      <c r="R15" s="86" t="s">
        <v>442</v>
      </c>
      <c r="S15" s="87"/>
      <c r="T15" s="88" t="s">
        <v>37</v>
      </c>
      <c r="U15" s="68"/>
      <c r="V15" s="89" t="s">
        <v>38</v>
      </c>
      <c r="W15" s="90" t="s">
        <v>39</v>
      </c>
      <c r="X15" s="89" t="s">
        <v>40</v>
      </c>
      <c r="Y15" s="89" t="s">
        <v>41</v>
      </c>
      <c r="Z15" s="91" t="s">
        <v>42</v>
      </c>
      <c r="AB15" s="92" t="s">
        <v>43</v>
      </c>
      <c r="AC15" s="93" t="s">
        <v>44</v>
      </c>
      <c r="AD15" s="93" t="s">
        <v>45</v>
      </c>
      <c r="AF15" s="92" t="s">
        <v>43</v>
      </c>
      <c r="AG15" s="93" t="s">
        <v>44</v>
      </c>
      <c r="AH15" s="93" t="s">
        <v>45</v>
      </c>
    </row>
    <row r="16" spans="1:34">
      <c r="A16" s="94" t="s">
        <v>46</v>
      </c>
      <c r="B16" s="95" t="s">
        <v>46</v>
      </c>
      <c r="C16" s="96"/>
      <c r="D16" s="97" t="s">
        <v>48</v>
      </c>
      <c r="E16" s="98">
        <f>3444.59</f>
        <v>3444.59</v>
      </c>
      <c r="F16" s="99" t="e">
        <f>VLOOKUP(D16,#REF!,17,FALSE)</f>
        <v>#REF!</v>
      </c>
      <c r="G16" s="100"/>
      <c r="H16" s="100"/>
      <c r="I16" s="101"/>
      <c r="J16" s="102" t="e">
        <f t="shared" ref="J16:J79" si="0">SUM(E16:I16)</f>
        <v>#REF!</v>
      </c>
      <c r="K16" s="103"/>
      <c r="L16" s="104"/>
      <c r="M16" s="105"/>
      <c r="N16" s="103">
        <v>0</v>
      </c>
      <c r="O16" s="106"/>
      <c r="P16" s="103">
        <v>0</v>
      </c>
      <c r="Q16" s="107">
        <f t="shared" ref="Q16:Q79" si="1">L16+M16</f>
        <v>0</v>
      </c>
      <c r="R16" s="108">
        <v>0</v>
      </c>
      <c r="S16" s="109"/>
      <c r="T16" s="110">
        <f t="shared" ref="T16:T42" si="2">IF(R16="","",R16-Q16)</f>
        <v>0</v>
      </c>
      <c r="U16" s="111"/>
      <c r="V16" s="112">
        <f t="shared" ref="V16:V79" si="3">IF(B16="D",Q16,0)</f>
        <v>0</v>
      </c>
      <c r="W16" s="112">
        <f t="shared" ref="W16:W79" si="4">IF(B16="M",Q16,0)</f>
        <v>0</v>
      </c>
      <c r="X16" s="113">
        <f t="shared" ref="X16:X79" si="5">IF(B16="V",Q16,0)</f>
        <v>0</v>
      </c>
      <c r="Y16" s="113">
        <v>0</v>
      </c>
      <c r="Z16" s="114">
        <v>0</v>
      </c>
      <c r="AA16" s="11">
        <f t="shared" ref="AA16:AA79" si="6">(L16+M16)-(V16+W16+X16+Y16+Z16)</f>
        <v>0</v>
      </c>
      <c r="AB16" s="115">
        <f t="shared" ref="AB16:AB79" si="7">IF(B16="D",J16,0)</f>
        <v>0</v>
      </c>
      <c r="AC16" s="115" t="e">
        <f t="shared" ref="AC16:AC79" si="8">IF(B16="M",J16,0)</f>
        <v>#REF!</v>
      </c>
      <c r="AD16" s="115">
        <f t="shared" ref="AD16:AD79" si="9">IF(B16="V",J16,0)</f>
        <v>0</v>
      </c>
      <c r="AE16" s="11"/>
      <c r="AF16" s="115">
        <f t="shared" ref="AF16:AF79" si="10">IF(B16="D",Q16,0)</f>
        <v>0</v>
      </c>
      <c r="AG16" s="115">
        <f t="shared" ref="AG16:AG79" si="11">IF(B16="M",Q16,0)</f>
        <v>0</v>
      </c>
      <c r="AH16" s="115">
        <f t="shared" ref="AH16:AH79" si="12">IF(B16="V",Q16,0)</f>
        <v>0</v>
      </c>
    </row>
    <row r="17" spans="1:36">
      <c r="A17" s="116" t="s">
        <v>46</v>
      </c>
      <c r="B17" s="116" t="s">
        <v>49</v>
      </c>
      <c r="C17" s="117" t="s">
        <v>50</v>
      </c>
      <c r="D17" s="118" t="s">
        <v>51</v>
      </c>
      <c r="E17" s="98"/>
      <c r="F17" s="99" t="e">
        <f>VLOOKUP(D17,#REF!,17,FALSE)</f>
        <v>#REF!</v>
      </c>
      <c r="G17" s="100"/>
      <c r="H17" s="100"/>
      <c r="I17" s="101"/>
      <c r="J17" s="102" t="e">
        <f t="shared" si="0"/>
        <v>#REF!</v>
      </c>
      <c r="K17" s="103"/>
      <c r="L17" s="104"/>
      <c r="M17" s="105">
        <v>10000</v>
      </c>
      <c r="N17" s="103">
        <v>0</v>
      </c>
      <c r="O17" s="106"/>
      <c r="P17" s="103">
        <v>0</v>
      </c>
      <c r="Q17" s="107">
        <f t="shared" si="1"/>
        <v>10000</v>
      </c>
      <c r="R17" s="108">
        <f>8798.76+2089.69</f>
        <v>10888.45</v>
      </c>
      <c r="S17" s="119"/>
      <c r="T17" s="110">
        <f t="shared" si="2"/>
        <v>888.45000000000073</v>
      </c>
      <c r="U17" s="103"/>
      <c r="V17" s="112">
        <f t="shared" si="3"/>
        <v>10000</v>
      </c>
      <c r="W17" s="112">
        <f t="shared" si="4"/>
        <v>0</v>
      </c>
      <c r="X17" s="113">
        <f t="shared" si="5"/>
        <v>0</v>
      </c>
      <c r="Y17" s="113">
        <v>0</v>
      </c>
      <c r="Z17" s="114">
        <v>0</v>
      </c>
      <c r="AA17" s="11">
        <f t="shared" si="6"/>
        <v>0</v>
      </c>
      <c r="AB17" s="115" t="e">
        <f t="shared" si="7"/>
        <v>#REF!</v>
      </c>
      <c r="AC17" s="115">
        <f t="shared" si="8"/>
        <v>0</v>
      </c>
      <c r="AD17" s="115">
        <f t="shared" si="9"/>
        <v>0</v>
      </c>
      <c r="AE17" s="11"/>
      <c r="AF17" s="115">
        <f t="shared" si="10"/>
        <v>10000</v>
      </c>
      <c r="AG17" s="115">
        <f t="shared" si="11"/>
        <v>0</v>
      </c>
      <c r="AH17" s="115">
        <f t="shared" si="12"/>
        <v>0</v>
      </c>
      <c r="AJ17" s="11" t="e">
        <f t="shared" ref="AJ17:AJ80" si="13">SUM(AB17:AH17)</f>
        <v>#REF!</v>
      </c>
    </row>
    <row r="18" spans="1:36">
      <c r="A18" s="116" t="s">
        <v>46</v>
      </c>
      <c r="B18" s="116" t="s">
        <v>46</v>
      </c>
      <c r="C18" s="117" t="s">
        <v>50</v>
      </c>
      <c r="D18" s="120" t="s">
        <v>52</v>
      </c>
      <c r="E18" s="98"/>
      <c r="F18" s="99" t="e">
        <f>VLOOKUP(D18,#REF!,17,FALSE)</f>
        <v>#REF!</v>
      </c>
      <c r="G18" s="100"/>
      <c r="H18" s="100"/>
      <c r="I18" s="101"/>
      <c r="J18" s="102" t="e">
        <f t="shared" si="0"/>
        <v>#REF!</v>
      </c>
      <c r="K18" s="103"/>
      <c r="L18" s="104"/>
      <c r="M18" s="105">
        <v>35000</v>
      </c>
      <c r="N18" s="103">
        <v>0</v>
      </c>
      <c r="O18" s="106"/>
      <c r="P18" s="103">
        <v>0</v>
      </c>
      <c r="Q18" s="107">
        <f t="shared" si="1"/>
        <v>35000</v>
      </c>
      <c r="R18" s="108">
        <v>28756.55</v>
      </c>
      <c r="S18" s="119"/>
      <c r="T18" s="110">
        <f t="shared" si="2"/>
        <v>-6243.4500000000007</v>
      </c>
      <c r="U18" s="103"/>
      <c r="V18" s="112">
        <f t="shared" si="3"/>
        <v>0</v>
      </c>
      <c r="W18" s="112">
        <f t="shared" si="4"/>
        <v>35000</v>
      </c>
      <c r="X18" s="113">
        <f t="shared" si="5"/>
        <v>0</v>
      </c>
      <c r="Y18" s="113">
        <v>0</v>
      </c>
      <c r="Z18" s="114">
        <v>0</v>
      </c>
      <c r="AA18" s="11">
        <f t="shared" si="6"/>
        <v>0</v>
      </c>
      <c r="AB18" s="115">
        <f t="shared" si="7"/>
        <v>0</v>
      </c>
      <c r="AC18" s="115" t="e">
        <f t="shared" si="8"/>
        <v>#REF!</v>
      </c>
      <c r="AD18" s="115">
        <f t="shared" si="9"/>
        <v>0</v>
      </c>
      <c r="AE18" s="11"/>
      <c r="AF18" s="115">
        <f t="shared" si="10"/>
        <v>0</v>
      </c>
      <c r="AG18" s="115">
        <f t="shared" si="11"/>
        <v>35000</v>
      </c>
      <c r="AH18" s="115">
        <f t="shared" si="12"/>
        <v>0</v>
      </c>
      <c r="AJ18" s="11" t="e">
        <f t="shared" si="13"/>
        <v>#REF!</v>
      </c>
    </row>
    <row r="19" spans="1:36">
      <c r="A19" s="116" t="s">
        <v>46</v>
      </c>
      <c r="B19" s="116" t="s">
        <v>46</v>
      </c>
      <c r="C19" s="117" t="s">
        <v>50</v>
      </c>
      <c r="D19" s="120" t="s">
        <v>53</v>
      </c>
      <c r="E19" s="98"/>
      <c r="F19" s="99" t="e">
        <f>VLOOKUP(D19,#REF!,17,FALSE)</f>
        <v>#REF!</v>
      </c>
      <c r="G19" s="100"/>
      <c r="H19" s="100"/>
      <c r="I19" s="101"/>
      <c r="J19" s="102" t="e">
        <f t="shared" si="0"/>
        <v>#REF!</v>
      </c>
      <c r="K19" s="103"/>
      <c r="L19" s="104"/>
      <c r="M19" s="105"/>
      <c r="N19" s="103">
        <v>0</v>
      </c>
      <c r="O19" s="106"/>
      <c r="P19" s="103">
        <v>0</v>
      </c>
      <c r="Q19" s="107">
        <f t="shared" si="1"/>
        <v>0</v>
      </c>
      <c r="R19" s="108">
        <v>25.25</v>
      </c>
      <c r="S19" s="119"/>
      <c r="T19" s="110">
        <f t="shared" si="2"/>
        <v>25.25</v>
      </c>
      <c r="U19" s="103"/>
      <c r="V19" s="112">
        <f t="shared" si="3"/>
        <v>0</v>
      </c>
      <c r="W19" s="112">
        <f t="shared" si="4"/>
        <v>0</v>
      </c>
      <c r="X19" s="113">
        <f t="shared" si="5"/>
        <v>0</v>
      </c>
      <c r="Y19" s="113">
        <v>0</v>
      </c>
      <c r="Z19" s="114">
        <v>0</v>
      </c>
      <c r="AA19" s="11">
        <f t="shared" si="6"/>
        <v>0</v>
      </c>
      <c r="AB19" s="115">
        <f t="shared" si="7"/>
        <v>0</v>
      </c>
      <c r="AC19" s="115" t="e">
        <f t="shared" si="8"/>
        <v>#REF!</v>
      </c>
      <c r="AD19" s="115">
        <f t="shared" si="9"/>
        <v>0</v>
      </c>
      <c r="AE19" s="11"/>
      <c r="AF19" s="115">
        <f t="shared" si="10"/>
        <v>0</v>
      </c>
      <c r="AG19" s="115">
        <f t="shared" si="11"/>
        <v>0</v>
      </c>
      <c r="AH19" s="115">
        <f t="shared" si="12"/>
        <v>0</v>
      </c>
      <c r="AJ19" s="11" t="e">
        <f t="shared" si="13"/>
        <v>#REF!</v>
      </c>
    </row>
    <row r="20" spans="1:36">
      <c r="A20" s="116" t="s">
        <v>46</v>
      </c>
      <c r="B20" s="116" t="s">
        <v>46</v>
      </c>
      <c r="C20" s="117" t="s">
        <v>50</v>
      </c>
      <c r="D20" s="121" t="s">
        <v>54</v>
      </c>
      <c r="E20" s="98"/>
      <c r="F20" s="99" t="e">
        <f>VLOOKUP(D20,#REF!,17,FALSE)</f>
        <v>#REF!</v>
      </c>
      <c r="G20" s="100"/>
      <c r="H20" s="100"/>
      <c r="I20" s="101"/>
      <c r="J20" s="102" t="e">
        <f t="shared" si="0"/>
        <v>#REF!</v>
      </c>
      <c r="K20" s="103"/>
      <c r="L20" s="104"/>
      <c r="M20" s="105"/>
      <c r="N20" s="103">
        <v>0</v>
      </c>
      <c r="O20" s="106"/>
      <c r="P20" s="103">
        <v>0</v>
      </c>
      <c r="Q20" s="107">
        <f t="shared" si="1"/>
        <v>0</v>
      </c>
      <c r="R20" s="108">
        <v>0</v>
      </c>
      <c r="S20" s="119"/>
      <c r="T20" s="110">
        <f t="shared" si="2"/>
        <v>0</v>
      </c>
      <c r="U20" s="103"/>
      <c r="V20" s="112">
        <f t="shared" si="3"/>
        <v>0</v>
      </c>
      <c r="W20" s="112">
        <f t="shared" si="4"/>
        <v>0</v>
      </c>
      <c r="X20" s="113">
        <f t="shared" si="5"/>
        <v>0</v>
      </c>
      <c r="Y20" s="113">
        <v>0</v>
      </c>
      <c r="Z20" s="114">
        <v>0</v>
      </c>
      <c r="AA20" s="11">
        <f t="shared" si="6"/>
        <v>0</v>
      </c>
      <c r="AB20" s="115">
        <f t="shared" si="7"/>
        <v>0</v>
      </c>
      <c r="AC20" s="115" t="e">
        <f t="shared" si="8"/>
        <v>#REF!</v>
      </c>
      <c r="AD20" s="115">
        <f t="shared" si="9"/>
        <v>0</v>
      </c>
      <c r="AE20" s="11"/>
      <c r="AF20" s="115">
        <f t="shared" si="10"/>
        <v>0</v>
      </c>
      <c r="AG20" s="115">
        <f t="shared" si="11"/>
        <v>0</v>
      </c>
      <c r="AH20" s="115">
        <f t="shared" si="12"/>
        <v>0</v>
      </c>
      <c r="AJ20" s="11" t="e">
        <f t="shared" si="13"/>
        <v>#REF!</v>
      </c>
    </row>
    <row r="21" spans="1:36">
      <c r="A21" s="116"/>
      <c r="B21" s="116" t="s">
        <v>49</v>
      </c>
      <c r="C21" s="122" t="s">
        <v>55</v>
      </c>
      <c r="D21" s="118" t="s">
        <v>56</v>
      </c>
      <c r="E21" s="98"/>
      <c r="F21" s="99" t="e">
        <f>VLOOKUP(D21,#REF!,17,FALSE)</f>
        <v>#REF!</v>
      </c>
      <c r="G21" s="100"/>
      <c r="H21" s="100"/>
      <c r="I21" s="125">
        <v>5080.24</v>
      </c>
      <c r="J21" s="102" t="e">
        <f t="shared" si="0"/>
        <v>#REF!</v>
      </c>
      <c r="K21" s="103"/>
      <c r="L21" s="104"/>
      <c r="M21" s="105"/>
      <c r="N21" s="103">
        <v>0</v>
      </c>
      <c r="O21" s="106"/>
      <c r="P21" s="103">
        <v>0</v>
      </c>
      <c r="Q21" s="107">
        <f t="shared" si="1"/>
        <v>0</v>
      </c>
      <c r="R21" s="108">
        <v>0</v>
      </c>
      <c r="S21" s="119"/>
      <c r="T21" s="110">
        <f t="shared" si="2"/>
        <v>0</v>
      </c>
      <c r="U21" s="103"/>
      <c r="V21" s="112">
        <f t="shared" si="3"/>
        <v>0</v>
      </c>
      <c r="W21" s="112">
        <f t="shared" si="4"/>
        <v>0</v>
      </c>
      <c r="X21" s="113">
        <f t="shared" si="5"/>
        <v>0</v>
      </c>
      <c r="Y21" s="113">
        <v>0</v>
      </c>
      <c r="Z21" s="114">
        <v>0</v>
      </c>
      <c r="AA21" s="11">
        <f t="shared" si="6"/>
        <v>0</v>
      </c>
      <c r="AB21" s="115" t="e">
        <f t="shared" si="7"/>
        <v>#REF!</v>
      </c>
      <c r="AC21" s="115">
        <f t="shared" si="8"/>
        <v>0</v>
      </c>
      <c r="AD21" s="115">
        <f t="shared" si="9"/>
        <v>0</v>
      </c>
      <c r="AE21" s="11"/>
      <c r="AF21" s="115">
        <f t="shared" si="10"/>
        <v>0</v>
      </c>
      <c r="AG21" s="115">
        <f t="shared" si="11"/>
        <v>0</v>
      </c>
      <c r="AH21" s="115">
        <f t="shared" si="12"/>
        <v>0</v>
      </c>
      <c r="AJ21" s="11" t="e">
        <f t="shared" si="13"/>
        <v>#REF!</v>
      </c>
    </row>
    <row r="22" spans="1:36">
      <c r="A22" s="116"/>
      <c r="B22" s="116" t="s">
        <v>49</v>
      </c>
      <c r="C22" s="122" t="s">
        <v>55</v>
      </c>
      <c r="D22" s="118" t="s">
        <v>57</v>
      </c>
      <c r="E22" s="98"/>
      <c r="F22" s="99" t="e">
        <f>VLOOKUP(D22,#REF!,17,FALSE)</f>
        <v>#REF!</v>
      </c>
      <c r="G22" s="100"/>
      <c r="H22" s="100"/>
      <c r="I22" s="125">
        <v>6515.27</v>
      </c>
      <c r="J22" s="102" t="e">
        <f t="shared" si="0"/>
        <v>#REF!</v>
      </c>
      <c r="K22" s="103"/>
      <c r="L22" s="104"/>
      <c r="M22" s="105"/>
      <c r="N22" s="103">
        <v>0</v>
      </c>
      <c r="O22" s="106"/>
      <c r="P22" s="103">
        <v>0</v>
      </c>
      <c r="Q22" s="107">
        <f t="shared" si="1"/>
        <v>0</v>
      </c>
      <c r="R22" s="108">
        <v>0</v>
      </c>
      <c r="S22" s="119"/>
      <c r="T22" s="110">
        <f t="shared" si="2"/>
        <v>0</v>
      </c>
      <c r="U22" s="103"/>
      <c r="V22" s="112">
        <f t="shared" si="3"/>
        <v>0</v>
      </c>
      <c r="W22" s="112">
        <f t="shared" si="4"/>
        <v>0</v>
      </c>
      <c r="X22" s="113">
        <f t="shared" si="5"/>
        <v>0</v>
      </c>
      <c r="Y22" s="113">
        <v>0</v>
      </c>
      <c r="Z22" s="114">
        <v>0</v>
      </c>
      <c r="AA22" s="11">
        <f t="shared" si="6"/>
        <v>0</v>
      </c>
      <c r="AB22" s="115" t="e">
        <f t="shared" si="7"/>
        <v>#REF!</v>
      </c>
      <c r="AC22" s="115">
        <f t="shared" si="8"/>
        <v>0</v>
      </c>
      <c r="AD22" s="115">
        <f t="shared" si="9"/>
        <v>0</v>
      </c>
      <c r="AE22" s="11"/>
      <c r="AF22" s="115">
        <f t="shared" si="10"/>
        <v>0</v>
      </c>
      <c r="AG22" s="115">
        <f t="shared" si="11"/>
        <v>0</v>
      </c>
      <c r="AH22" s="115">
        <f t="shared" si="12"/>
        <v>0</v>
      </c>
      <c r="AJ22" s="11" t="e">
        <f t="shared" si="13"/>
        <v>#REF!</v>
      </c>
    </row>
    <row r="23" spans="1:36">
      <c r="A23" s="116"/>
      <c r="B23" s="116" t="s">
        <v>49</v>
      </c>
      <c r="C23" s="122" t="s">
        <v>55</v>
      </c>
      <c r="D23" s="118" t="s">
        <v>58</v>
      </c>
      <c r="E23" s="98"/>
      <c r="F23" s="99" t="e">
        <f>VLOOKUP(D23,#REF!,17,FALSE)</f>
        <v>#REF!</v>
      </c>
      <c r="G23" s="100"/>
      <c r="H23" s="100"/>
      <c r="I23" s="125">
        <v>6865.9</v>
      </c>
      <c r="J23" s="102" t="e">
        <f t="shared" si="0"/>
        <v>#REF!</v>
      </c>
      <c r="K23" s="103"/>
      <c r="L23" s="104"/>
      <c r="M23" s="105"/>
      <c r="N23" s="103">
        <v>0</v>
      </c>
      <c r="O23" s="106"/>
      <c r="P23" s="103">
        <v>0</v>
      </c>
      <c r="Q23" s="107">
        <f t="shared" si="1"/>
        <v>0</v>
      </c>
      <c r="R23" s="108">
        <v>0</v>
      </c>
      <c r="S23" s="119"/>
      <c r="T23" s="110">
        <f t="shared" si="2"/>
        <v>0</v>
      </c>
      <c r="U23" s="103"/>
      <c r="V23" s="112">
        <f t="shared" si="3"/>
        <v>0</v>
      </c>
      <c r="W23" s="112">
        <f t="shared" si="4"/>
        <v>0</v>
      </c>
      <c r="X23" s="113">
        <f t="shared" si="5"/>
        <v>0</v>
      </c>
      <c r="Y23" s="113">
        <v>0</v>
      </c>
      <c r="Z23" s="114">
        <v>0</v>
      </c>
      <c r="AA23" s="11">
        <f t="shared" si="6"/>
        <v>0</v>
      </c>
      <c r="AB23" s="115" t="e">
        <f t="shared" si="7"/>
        <v>#REF!</v>
      </c>
      <c r="AC23" s="115">
        <f t="shared" si="8"/>
        <v>0</v>
      </c>
      <c r="AD23" s="115">
        <f t="shared" si="9"/>
        <v>0</v>
      </c>
      <c r="AE23" s="11"/>
      <c r="AF23" s="115">
        <f t="shared" si="10"/>
        <v>0</v>
      </c>
      <c r="AG23" s="115">
        <f t="shared" si="11"/>
        <v>0</v>
      </c>
      <c r="AH23" s="115">
        <f t="shared" si="12"/>
        <v>0</v>
      </c>
      <c r="AJ23" s="11" t="e">
        <f t="shared" si="13"/>
        <v>#REF!</v>
      </c>
    </row>
    <row r="24" spans="1:36" s="124" customFormat="1">
      <c r="A24" s="123" t="s">
        <v>60</v>
      </c>
      <c r="B24" s="123" t="s">
        <v>46</v>
      </c>
      <c r="C24" s="122" t="s">
        <v>61</v>
      </c>
      <c r="D24" s="118" t="s">
        <v>62</v>
      </c>
      <c r="E24" s="98">
        <v>30902.52</v>
      </c>
      <c r="F24" s="99" t="e">
        <f>VLOOKUP(D24,#REF!,17,FALSE)</f>
        <v>#REF!</v>
      </c>
      <c r="G24" s="100"/>
      <c r="H24" s="100"/>
      <c r="I24" s="101"/>
      <c r="J24" s="102" t="e">
        <f t="shared" si="0"/>
        <v>#REF!</v>
      </c>
      <c r="K24" s="103"/>
      <c r="L24" s="104"/>
      <c r="M24" s="105">
        <v>30000</v>
      </c>
      <c r="N24" s="103">
        <v>0</v>
      </c>
      <c r="O24" s="106"/>
      <c r="P24" s="103">
        <v>0</v>
      </c>
      <c r="Q24" s="107">
        <f t="shared" si="1"/>
        <v>30000</v>
      </c>
      <c r="R24" s="108">
        <v>0</v>
      </c>
      <c r="S24" s="119"/>
      <c r="T24" s="110">
        <f t="shared" si="2"/>
        <v>-30000</v>
      </c>
      <c r="U24" s="103"/>
      <c r="V24" s="112">
        <f t="shared" si="3"/>
        <v>0</v>
      </c>
      <c r="W24" s="112">
        <f t="shared" si="4"/>
        <v>30000</v>
      </c>
      <c r="X24" s="113">
        <f t="shared" si="5"/>
        <v>0</v>
      </c>
      <c r="Y24" s="113">
        <v>0</v>
      </c>
      <c r="Z24" s="114">
        <v>0</v>
      </c>
      <c r="AA24" s="11">
        <f t="shared" si="6"/>
        <v>0</v>
      </c>
      <c r="AB24" s="115">
        <f t="shared" si="7"/>
        <v>0</v>
      </c>
      <c r="AC24" s="115" t="e">
        <f t="shared" si="8"/>
        <v>#REF!</v>
      </c>
      <c r="AD24" s="115">
        <f t="shared" si="9"/>
        <v>0</v>
      </c>
      <c r="AE24" s="11"/>
      <c r="AF24" s="115">
        <f t="shared" si="10"/>
        <v>0</v>
      </c>
      <c r="AG24" s="115">
        <f t="shared" si="11"/>
        <v>30000</v>
      </c>
      <c r="AH24" s="115">
        <f t="shared" si="12"/>
        <v>0</v>
      </c>
      <c r="AJ24" s="11" t="e">
        <f t="shared" si="13"/>
        <v>#REF!</v>
      </c>
    </row>
    <row r="25" spans="1:36" s="124" customFormat="1">
      <c r="A25" s="123"/>
      <c r="B25" s="123" t="s">
        <v>46</v>
      </c>
      <c r="C25" s="122" t="s">
        <v>61</v>
      </c>
      <c r="D25" s="285" t="s">
        <v>404</v>
      </c>
      <c r="E25" s="98"/>
      <c r="F25" s="99" t="e">
        <f>VLOOKUP(D25,#REF!,17,FALSE)</f>
        <v>#REF!</v>
      </c>
      <c r="G25" s="100"/>
      <c r="H25" s="100"/>
      <c r="I25" s="101"/>
      <c r="J25" s="102" t="e">
        <f t="shared" si="0"/>
        <v>#REF!</v>
      </c>
      <c r="K25" s="103"/>
      <c r="L25" s="104"/>
      <c r="M25" s="105"/>
      <c r="N25" s="103">
        <v>0</v>
      </c>
      <c r="O25" s="106"/>
      <c r="P25" s="103">
        <v>0</v>
      </c>
      <c r="Q25" s="107">
        <f t="shared" si="1"/>
        <v>0</v>
      </c>
      <c r="R25" s="108">
        <v>0</v>
      </c>
      <c r="S25" s="119"/>
      <c r="T25" s="110">
        <f t="shared" si="2"/>
        <v>0</v>
      </c>
      <c r="U25" s="103"/>
      <c r="V25" s="112">
        <f t="shared" si="3"/>
        <v>0</v>
      </c>
      <c r="W25" s="112">
        <f t="shared" si="4"/>
        <v>0</v>
      </c>
      <c r="X25" s="113">
        <f t="shared" si="5"/>
        <v>0</v>
      </c>
      <c r="Y25" s="113">
        <v>0</v>
      </c>
      <c r="Z25" s="114">
        <v>0</v>
      </c>
      <c r="AA25" s="11">
        <f t="shared" si="6"/>
        <v>0</v>
      </c>
      <c r="AB25" s="115">
        <f t="shared" si="7"/>
        <v>0</v>
      </c>
      <c r="AC25" s="115" t="e">
        <f t="shared" si="8"/>
        <v>#REF!</v>
      </c>
      <c r="AD25" s="115">
        <f t="shared" si="9"/>
        <v>0</v>
      </c>
      <c r="AE25" s="11"/>
      <c r="AF25" s="115">
        <f t="shared" si="10"/>
        <v>0</v>
      </c>
      <c r="AG25" s="115">
        <f t="shared" si="11"/>
        <v>0</v>
      </c>
      <c r="AH25" s="115">
        <f t="shared" si="12"/>
        <v>0</v>
      </c>
      <c r="AJ25" s="11" t="e">
        <f t="shared" si="13"/>
        <v>#REF!</v>
      </c>
    </row>
    <row r="26" spans="1:36" s="124" customFormat="1">
      <c r="A26" s="123"/>
      <c r="B26" s="123" t="s">
        <v>46</v>
      </c>
      <c r="C26" s="122" t="s">
        <v>61</v>
      </c>
      <c r="D26" s="285" t="s">
        <v>405</v>
      </c>
      <c r="E26" s="98"/>
      <c r="F26" s="99" t="e">
        <f>VLOOKUP(D26,#REF!,17,FALSE)</f>
        <v>#REF!</v>
      </c>
      <c r="G26" s="100"/>
      <c r="H26" s="100"/>
      <c r="I26" s="101"/>
      <c r="J26" s="102" t="e">
        <f t="shared" si="0"/>
        <v>#REF!</v>
      </c>
      <c r="K26" s="103"/>
      <c r="L26" s="104"/>
      <c r="M26" s="105"/>
      <c r="N26" s="103">
        <v>0</v>
      </c>
      <c r="O26" s="106"/>
      <c r="P26" s="103">
        <v>0</v>
      </c>
      <c r="Q26" s="107">
        <f t="shared" si="1"/>
        <v>0</v>
      </c>
      <c r="R26" s="108">
        <v>0</v>
      </c>
      <c r="S26" s="119"/>
      <c r="T26" s="110">
        <f t="shared" si="2"/>
        <v>0</v>
      </c>
      <c r="U26" s="103"/>
      <c r="V26" s="112">
        <f t="shared" si="3"/>
        <v>0</v>
      </c>
      <c r="W26" s="112">
        <f t="shared" si="4"/>
        <v>0</v>
      </c>
      <c r="X26" s="113">
        <f t="shared" si="5"/>
        <v>0</v>
      </c>
      <c r="Y26" s="113">
        <v>0</v>
      </c>
      <c r="Z26" s="114">
        <v>0</v>
      </c>
      <c r="AA26" s="11">
        <f t="shared" si="6"/>
        <v>0</v>
      </c>
      <c r="AB26" s="115">
        <f t="shared" si="7"/>
        <v>0</v>
      </c>
      <c r="AC26" s="115" t="e">
        <f t="shared" si="8"/>
        <v>#REF!</v>
      </c>
      <c r="AD26" s="115">
        <f t="shared" si="9"/>
        <v>0</v>
      </c>
      <c r="AE26" s="11"/>
      <c r="AF26" s="115">
        <f t="shared" si="10"/>
        <v>0</v>
      </c>
      <c r="AG26" s="115">
        <f t="shared" si="11"/>
        <v>0</v>
      </c>
      <c r="AH26" s="115">
        <f t="shared" si="12"/>
        <v>0</v>
      </c>
      <c r="AJ26" s="11" t="e">
        <f t="shared" si="13"/>
        <v>#REF!</v>
      </c>
    </row>
    <row r="27" spans="1:36">
      <c r="A27" s="116"/>
      <c r="B27" s="116" t="s">
        <v>49</v>
      </c>
      <c r="C27" s="122"/>
      <c r="D27" s="120" t="s">
        <v>406</v>
      </c>
      <c r="E27" s="98"/>
      <c r="F27" s="99" t="e">
        <f>VLOOKUP(D27,#REF!,17,FALSE)</f>
        <v>#REF!</v>
      </c>
      <c r="G27" s="100"/>
      <c r="H27" s="100"/>
      <c r="I27" s="101"/>
      <c r="J27" s="102" t="e">
        <f t="shared" si="0"/>
        <v>#REF!</v>
      </c>
      <c r="K27" s="103"/>
      <c r="L27" s="104"/>
      <c r="M27" s="105"/>
      <c r="N27" s="103">
        <v>0</v>
      </c>
      <c r="O27" s="106"/>
      <c r="P27" s="103">
        <v>0</v>
      </c>
      <c r="Q27" s="107">
        <f t="shared" si="1"/>
        <v>0</v>
      </c>
      <c r="R27" s="108">
        <v>181.88</v>
      </c>
      <c r="S27" s="119"/>
      <c r="T27" s="110">
        <f t="shared" si="2"/>
        <v>181.88</v>
      </c>
      <c r="U27" s="103"/>
      <c r="V27" s="112">
        <f t="shared" si="3"/>
        <v>0</v>
      </c>
      <c r="W27" s="112">
        <f t="shared" si="4"/>
        <v>0</v>
      </c>
      <c r="X27" s="113">
        <f t="shared" si="5"/>
        <v>0</v>
      </c>
      <c r="Y27" s="113">
        <v>0</v>
      </c>
      <c r="Z27" s="114">
        <v>0</v>
      </c>
      <c r="AA27" s="11">
        <f t="shared" si="6"/>
        <v>0</v>
      </c>
      <c r="AB27" s="115" t="e">
        <f t="shared" si="7"/>
        <v>#REF!</v>
      </c>
      <c r="AC27" s="115">
        <f t="shared" si="8"/>
        <v>0</v>
      </c>
      <c r="AD27" s="115">
        <f t="shared" si="9"/>
        <v>0</v>
      </c>
      <c r="AE27" s="11"/>
      <c r="AF27" s="115">
        <f t="shared" si="10"/>
        <v>0</v>
      </c>
      <c r="AG27" s="115">
        <f t="shared" si="11"/>
        <v>0</v>
      </c>
      <c r="AH27" s="115">
        <f t="shared" si="12"/>
        <v>0</v>
      </c>
      <c r="AJ27" s="11" t="e">
        <f t="shared" si="13"/>
        <v>#REF!</v>
      </c>
    </row>
    <row r="28" spans="1:36">
      <c r="A28" s="116"/>
      <c r="B28" s="116" t="s">
        <v>49</v>
      </c>
      <c r="C28" s="122"/>
      <c r="D28" s="120" t="s">
        <v>64</v>
      </c>
      <c r="E28" s="98"/>
      <c r="F28" s="99" t="e">
        <f>VLOOKUP(D28,#REF!,17,FALSE)</f>
        <v>#REF!</v>
      </c>
      <c r="G28" s="100"/>
      <c r="H28" s="100"/>
      <c r="I28" s="101"/>
      <c r="J28" s="102" t="e">
        <f t="shared" si="0"/>
        <v>#REF!</v>
      </c>
      <c r="K28" s="103"/>
      <c r="L28" s="104"/>
      <c r="M28" s="105">
        <v>20000</v>
      </c>
      <c r="N28" s="103">
        <v>0</v>
      </c>
      <c r="O28" s="106"/>
      <c r="P28" s="103">
        <v>0</v>
      </c>
      <c r="Q28" s="107">
        <f t="shared" si="1"/>
        <v>20000</v>
      </c>
      <c r="R28" s="108">
        <v>18132.29</v>
      </c>
      <c r="S28" s="119"/>
      <c r="T28" s="110">
        <f t="shared" si="2"/>
        <v>-1867.7099999999991</v>
      </c>
      <c r="U28" s="103"/>
      <c r="V28" s="112">
        <f t="shared" si="3"/>
        <v>20000</v>
      </c>
      <c r="W28" s="112">
        <f t="shared" si="4"/>
        <v>0</v>
      </c>
      <c r="X28" s="113">
        <f t="shared" si="5"/>
        <v>0</v>
      </c>
      <c r="Y28" s="113">
        <v>0</v>
      </c>
      <c r="Z28" s="114">
        <v>0</v>
      </c>
      <c r="AA28" s="11">
        <f t="shared" si="6"/>
        <v>0</v>
      </c>
      <c r="AB28" s="115" t="e">
        <f t="shared" si="7"/>
        <v>#REF!</v>
      </c>
      <c r="AC28" s="115">
        <f t="shared" si="8"/>
        <v>0</v>
      </c>
      <c r="AD28" s="115">
        <f t="shared" si="9"/>
        <v>0</v>
      </c>
      <c r="AE28" s="11"/>
      <c r="AF28" s="115">
        <f t="shared" si="10"/>
        <v>20000</v>
      </c>
      <c r="AG28" s="115">
        <f t="shared" si="11"/>
        <v>0</v>
      </c>
      <c r="AH28" s="115">
        <f t="shared" si="12"/>
        <v>0</v>
      </c>
      <c r="AJ28" s="11" t="e">
        <f t="shared" si="13"/>
        <v>#REF!</v>
      </c>
    </row>
    <row r="29" spans="1:36">
      <c r="A29" s="116"/>
      <c r="B29" s="116" t="s">
        <v>49</v>
      </c>
      <c r="C29" s="122"/>
      <c r="D29" s="120" t="s">
        <v>65</v>
      </c>
      <c r="E29" s="98"/>
      <c r="F29" s="99" t="e">
        <f>VLOOKUP(D29,#REF!,17,FALSE)</f>
        <v>#REF!</v>
      </c>
      <c r="G29" s="100"/>
      <c r="H29" s="100"/>
      <c r="I29" s="101"/>
      <c r="J29" s="102" t="e">
        <f t="shared" si="0"/>
        <v>#REF!</v>
      </c>
      <c r="K29" s="103"/>
      <c r="L29" s="104"/>
      <c r="M29" s="105"/>
      <c r="N29" s="103">
        <v>0</v>
      </c>
      <c r="O29" s="106"/>
      <c r="P29" s="103">
        <v>0</v>
      </c>
      <c r="Q29" s="107">
        <f t="shared" si="1"/>
        <v>0</v>
      </c>
      <c r="R29" s="108">
        <v>0</v>
      </c>
      <c r="S29" s="119"/>
      <c r="T29" s="110">
        <f t="shared" si="2"/>
        <v>0</v>
      </c>
      <c r="U29" s="103"/>
      <c r="V29" s="112">
        <f t="shared" si="3"/>
        <v>0</v>
      </c>
      <c r="W29" s="112">
        <f t="shared" si="4"/>
        <v>0</v>
      </c>
      <c r="X29" s="113">
        <f t="shared" si="5"/>
        <v>0</v>
      </c>
      <c r="Y29" s="113">
        <v>0</v>
      </c>
      <c r="Z29" s="114">
        <v>0</v>
      </c>
      <c r="AA29" s="11">
        <f t="shared" si="6"/>
        <v>0</v>
      </c>
      <c r="AB29" s="115" t="e">
        <f t="shared" si="7"/>
        <v>#REF!</v>
      </c>
      <c r="AC29" s="115">
        <f t="shared" si="8"/>
        <v>0</v>
      </c>
      <c r="AD29" s="115">
        <f t="shared" si="9"/>
        <v>0</v>
      </c>
      <c r="AE29" s="11"/>
      <c r="AF29" s="115">
        <f t="shared" si="10"/>
        <v>0</v>
      </c>
      <c r="AG29" s="115">
        <f t="shared" si="11"/>
        <v>0</v>
      </c>
      <c r="AH29" s="115">
        <f t="shared" si="12"/>
        <v>0</v>
      </c>
      <c r="AJ29" s="11" t="e">
        <f t="shared" si="13"/>
        <v>#REF!</v>
      </c>
    </row>
    <row r="30" spans="1:36">
      <c r="A30" s="116"/>
      <c r="B30" s="116" t="s">
        <v>46</v>
      </c>
      <c r="C30" s="122" t="s">
        <v>66</v>
      </c>
      <c r="D30" s="120" t="s">
        <v>67</v>
      </c>
      <c r="E30" s="98"/>
      <c r="F30" s="99" t="e">
        <f>VLOOKUP(D30,#REF!,17,FALSE)</f>
        <v>#REF!</v>
      </c>
      <c r="G30" s="100"/>
      <c r="H30" s="100"/>
      <c r="I30" s="101"/>
      <c r="J30" s="102" t="e">
        <f t="shared" si="0"/>
        <v>#REF!</v>
      </c>
      <c r="K30" s="103"/>
      <c r="L30" s="104"/>
      <c r="M30" s="105"/>
      <c r="N30" s="103">
        <v>0</v>
      </c>
      <c r="O30" s="106"/>
      <c r="P30" s="103">
        <v>0</v>
      </c>
      <c r="Q30" s="107">
        <f t="shared" si="1"/>
        <v>0</v>
      </c>
      <c r="R30" s="108">
        <v>1699.46</v>
      </c>
      <c r="S30" s="119"/>
      <c r="T30" s="110">
        <f t="shared" si="2"/>
        <v>1699.46</v>
      </c>
      <c r="U30" s="111"/>
      <c r="V30" s="112">
        <f t="shared" si="3"/>
        <v>0</v>
      </c>
      <c r="W30" s="112">
        <f t="shared" si="4"/>
        <v>0</v>
      </c>
      <c r="X30" s="113">
        <f t="shared" si="5"/>
        <v>0</v>
      </c>
      <c r="Y30" s="113">
        <v>0</v>
      </c>
      <c r="Z30" s="114">
        <v>0</v>
      </c>
      <c r="AA30" s="11">
        <f t="shared" si="6"/>
        <v>0</v>
      </c>
      <c r="AB30" s="115">
        <f t="shared" si="7"/>
        <v>0</v>
      </c>
      <c r="AC30" s="115" t="e">
        <f t="shared" si="8"/>
        <v>#REF!</v>
      </c>
      <c r="AD30" s="115">
        <f t="shared" si="9"/>
        <v>0</v>
      </c>
      <c r="AE30" s="11"/>
      <c r="AF30" s="115">
        <f t="shared" si="10"/>
        <v>0</v>
      </c>
      <c r="AG30" s="115">
        <f t="shared" si="11"/>
        <v>0</v>
      </c>
      <c r="AH30" s="115">
        <f t="shared" si="12"/>
        <v>0</v>
      </c>
      <c r="AJ30" s="11" t="e">
        <f t="shared" si="13"/>
        <v>#REF!</v>
      </c>
    </row>
    <row r="31" spans="1:36" s="124" customFormat="1">
      <c r="A31" s="123"/>
      <c r="B31" s="123" t="s">
        <v>49</v>
      </c>
      <c r="C31" s="122" t="s">
        <v>68</v>
      </c>
      <c r="D31" s="118" t="s">
        <v>69</v>
      </c>
      <c r="E31" s="98"/>
      <c r="F31" s="99" t="e">
        <f>VLOOKUP(D31,#REF!,17,FALSE)</f>
        <v>#REF!</v>
      </c>
      <c r="G31" s="100"/>
      <c r="H31" s="100"/>
      <c r="I31" s="101"/>
      <c r="J31" s="102" t="e">
        <f t="shared" si="0"/>
        <v>#REF!</v>
      </c>
      <c r="K31" s="103"/>
      <c r="L31" s="104"/>
      <c r="M31" s="105">
        <v>460000</v>
      </c>
      <c r="N31" s="103">
        <v>0</v>
      </c>
      <c r="O31" s="106"/>
      <c r="P31" s="103">
        <v>0</v>
      </c>
      <c r="Q31" s="107">
        <f t="shared" si="1"/>
        <v>460000</v>
      </c>
      <c r="R31" s="108">
        <v>422148.3</v>
      </c>
      <c r="S31" s="119"/>
      <c r="T31" s="110">
        <f t="shared" si="2"/>
        <v>-37851.700000000012</v>
      </c>
      <c r="U31" s="103"/>
      <c r="V31" s="112">
        <f t="shared" si="3"/>
        <v>460000</v>
      </c>
      <c r="W31" s="112">
        <f t="shared" si="4"/>
        <v>0</v>
      </c>
      <c r="X31" s="113">
        <f t="shared" si="5"/>
        <v>0</v>
      </c>
      <c r="Y31" s="113">
        <v>0</v>
      </c>
      <c r="Z31" s="114">
        <v>0</v>
      </c>
      <c r="AA31" s="11">
        <f t="shared" si="6"/>
        <v>0</v>
      </c>
      <c r="AB31" s="115" t="e">
        <f t="shared" si="7"/>
        <v>#REF!</v>
      </c>
      <c r="AC31" s="115">
        <f t="shared" si="8"/>
        <v>0</v>
      </c>
      <c r="AD31" s="115">
        <f t="shared" si="9"/>
        <v>0</v>
      </c>
      <c r="AE31" s="11"/>
      <c r="AF31" s="115">
        <f t="shared" si="10"/>
        <v>460000</v>
      </c>
      <c r="AG31" s="115">
        <f t="shared" si="11"/>
        <v>0</v>
      </c>
      <c r="AH31" s="115">
        <f t="shared" si="12"/>
        <v>0</v>
      </c>
      <c r="AJ31" s="11" t="e">
        <f t="shared" si="13"/>
        <v>#REF!</v>
      </c>
    </row>
    <row r="32" spans="1:36" s="124" customFormat="1">
      <c r="A32" s="123"/>
      <c r="B32" s="123" t="s">
        <v>49</v>
      </c>
      <c r="C32" s="122" t="s">
        <v>70</v>
      </c>
      <c r="D32" s="118" t="s">
        <v>71</v>
      </c>
      <c r="E32" s="98"/>
      <c r="F32" s="99" t="e">
        <f>VLOOKUP(D32,#REF!,17,FALSE)</f>
        <v>#REF!</v>
      </c>
      <c r="G32" s="100"/>
      <c r="H32" s="100"/>
      <c r="I32" s="101"/>
      <c r="J32" s="102" t="e">
        <f t="shared" si="0"/>
        <v>#REF!</v>
      </c>
      <c r="K32" s="103"/>
      <c r="L32" s="104"/>
      <c r="M32" s="105">
        <v>75000</v>
      </c>
      <c r="N32" s="103">
        <v>0</v>
      </c>
      <c r="O32" s="106"/>
      <c r="P32" s="103">
        <v>0</v>
      </c>
      <c r="Q32" s="107">
        <f t="shared" si="1"/>
        <v>75000</v>
      </c>
      <c r="R32" s="108">
        <v>76570.34</v>
      </c>
      <c r="S32" s="119"/>
      <c r="T32" s="110">
        <f t="shared" si="2"/>
        <v>1570.3399999999965</v>
      </c>
      <c r="U32" s="103"/>
      <c r="V32" s="112">
        <f t="shared" si="3"/>
        <v>75000</v>
      </c>
      <c r="W32" s="112">
        <f t="shared" si="4"/>
        <v>0</v>
      </c>
      <c r="X32" s="113">
        <f t="shared" si="5"/>
        <v>0</v>
      </c>
      <c r="Y32" s="113">
        <v>0</v>
      </c>
      <c r="Z32" s="114">
        <v>0</v>
      </c>
      <c r="AA32" s="11">
        <f t="shared" si="6"/>
        <v>0</v>
      </c>
      <c r="AB32" s="115" t="e">
        <f t="shared" si="7"/>
        <v>#REF!</v>
      </c>
      <c r="AC32" s="115">
        <f t="shared" si="8"/>
        <v>0</v>
      </c>
      <c r="AD32" s="115">
        <f t="shared" si="9"/>
        <v>0</v>
      </c>
      <c r="AE32" s="11"/>
      <c r="AF32" s="115">
        <f t="shared" si="10"/>
        <v>75000</v>
      </c>
      <c r="AG32" s="115">
        <f t="shared" si="11"/>
        <v>0</v>
      </c>
      <c r="AH32" s="115">
        <f t="shared" si="12"/>
        <v>0</v>
      </c>
      <c r="AJ32" s="11" t="e">
        <f t="shared" si="13"/>
        <v>#REF!</v>
      </c>
    </row>
    <row r="33" spans="1:36" s="124" customFormat="1">
      <c r="A33" s="123"/>
      <c r="B33" s="123" t="s">
        <v>49</v>
      </c>
      <c r="C33" s="122" t="s">
        <v>70</v>
      </c>
      <c r="D33" s="118" t="s">
        <v>72</v>
      </c>
      <c r="E33" s="98"/>
      <c r="F33" s="99" t="e">
        <f>VLOOKUP(D33,#REF!,17,FALSE)</f>
        <v>#REF!</v>
      </c>
      <c r="G33" s="100"/>
      <c r="H33" s="100"/>
      <c r="I33" s="101"/>
      <c r="J33" s="102" t="e">
        <f t="shared" si="0"/>
        <v>#REF!</v>
      </c>
      <c r="K33" s="103"/>
      <c r="L33" s="104"/>
      <c r="M33" s="105">
        <v>80000</v>
      </c>
      <c r="N33" s="103">
        <v>0</v>
      </c>
      <c r="O33" s="106"/>
      <c r="P33" s="103">
        <v>0</v>
      </c>
      <c r="Q33" s="107">
        <f t="shared" si="1"/>
        <v>80000</v>
      </c>
      <c r="R33" s="108">
        <v>84281.55</v>
      </c>
      <c r="S33" s="119"/>
      <c r="T33" s="110">
        <f t="shared" si="2"/>
        <v>4281.5500000000029</v>
      </c>
      <c r="U33" s="103"/>
      <c r="V33" s="112">
        <f t="shared" si="3"/>
        <v>80000</v>
      </c>
      <c r="W33" s="112">
        <f t="shared" si="4"/>
        <v>0</v>
      </c>
      <c r="X33" s="113">
        <f t="shared" si="5"/>
        <v>0</v>
      </c>
      <c r="Y33" s="113">
        <v>0</v>
      </c>
      <c r="Z33" s="114">
        <v>0</v>
      </c>
      <c r="AA33" s="11">
        <f t="shared" si="6"/>
        <v>0</v>
      </c>
      <c r="AB33" s="115" t="e">
        <f t="shared" si="7"/>
        <v>#REF!</v>
      </c>
      <c r="AC33" s="115">
        <f t="shared" si="8"/>
        <v>0</v>
      </c>
      <c r="AD33" s="115">
        <f t="shared" si="9"/>
        <v>0</v>
      </c>
      <c r="AE33" s="11"/>
      <c r="AF33" s="115">
        <f t="shared" si="10"/>
        <v>80000</v>
      </c>
      <c r="AG33" s="115">
        <f t="shared" si="11"/>
        <v>0</v>
      </c>
      <c r="AH33" s="115">
        <f t="shared" si="12"/>
        <v>0</v>
      </c>
      <c r="AJ33" s="11" t="e">
        <f t="shared" si="13"/>
        <v>#REF!</v>
      </c>
    </row>
    <row r="34" spans="1:36" s="124" customFormat="1">
      <c r="A34" s="123"/>
      <c r="B34" s="123" t="s">
        <v>49</v>
      </c>
      <c r="C34" s="122" t="s">
        <v>70</v>
      </c>
      <c r="D34" s="118" t="s">
        <v>73</v>
      </c>
      <c r="E34" s="98"/>
      <c r="F34" s="99" t="e">
        <f>VLOOKUP(D34,#REF!,17,FALSE)</f>
        <v>#REF!</v>
      </c>
      <c r="G34" s="100"/>
      <c r="H34" s="100"/>
      <c r="I34" s="101"/>
      <c r="J34" s="102" t="e">
        <f t="shared" si="0"/>
        <v>#REF!</v>
      </c>
      <c r="K34" s="103"/>
      <c r="L34" s="104"/>
      <c r="M34" s="105">
        <v>15000</v>
      </c>
      <c r="N34" s="103">
        <v>0</v>
      </c>
      <c r="O34" s="106"/>
      <c r="P34" s="103">
        <v>0</v>
      </c>
      <c r="Q34" s="107">
        <f t="shared" si="1"/>
        <v>15000</v>
      </c>
      <c r="R34" s="108">
        <v>19771.060000000001</v>
      </c>
      <c r="S34" s="119"/>
      <c r="T34" s="110">
        <f t="shared" si="2"/>
        <v>4771.0600000000013</v>
      </c>
      <c r="U34" s="103"/>
      <c r="V34" s="112">
        <f t="shared" si="3"/>
        <v>15000</v>
      </c>
      <c r="W34" s="112">
        <f t="shared" si="4"/>
        <v>0</v>
      </c>
      <c r="X34" s="113">
        <f t="shared" si="5"/>
        <v>0</v>
      </c>
      <c r="Y34" s="113">
        <v>0</v>
      </c>
      <c r="Z34" s="114">
        <v>0</v>
      </c>
      <c r="AA34" s="11">
        <f t="shared" si="6"/>
        <v>0</v>
      </c>
      <c r="AB34" s="115" t="e">
        <f t="shared" si="7"/>
        <v>#REF!</v>
      </c>
      <c r="AC34" s="115">
        <f t="shared" si="8"/>
        <v>0</v>
      </c>
      <c r="AD34" s="115">
        <f t="shared" si="9"/>
        <v>0</v>
      </c>
      <c r="AE34" s="11"/>
      <c r="AF34" s="115">
        <f t="shared" si="10"/>
        <v>15000</v>
      </c>
      <c r="AG34" s="115">
        <f t="shared" si="11"/>
        <v>0</v>
      </c>
      <c r="AH34" s="115">
        <f t="shared" si="12"/>
        <v>0</v>
      </c>
      <c r="AJ34" s="11" t="e">
        <f t="shared" si="13"/>
        <v>#REF!</v>
      </c>
    </row>
    <row r="35" spans="1:36" s="124" customFormat="1">
      <c r="A35" s="123"/>
      <c r="B35" s="123" t="s">
        <v>49</v>
      </c>
      <c r="C35" s="122" t="s">
        <v>70</v>
      </c>
      <c r="D35" s="118" t="s">
        <v>74</v>
      </c>
      <c r="E35" s="98"/>
      <c r="F35" s="99" t="e">
        <f>VLOOKUP(D35,#REF!,17,FALSE)</f>
        <v>#REF!</v>
      </c>
      <c r="G35" s="100"/>
      <c r="H35" s="100"/>
      <c r="I35" s="101"/>
      <c r="J35" s="102" t="e">
        <f t="shared" si="0"/>
        <v>#REF!</v>
      </c>
      <c r="K35" s="103"/>
      <c r="L35" s="104"/>
      <c r="M35" s="105">
        <v>6000</v>
      </c>
      <c r="N35" s="103">
        <v>0</v>
      </c>
      <c r="O35" s="106"/>
      <c r="P35" s="103">
        <v>0</v>
      </c>
      <c r="Q35" s="107">
        <f t="shared" si="1"/>
        <v>6000</v>
      </c>
      <c r="R35" s="108">
        <v>6084.64</v>
      </c>
      <c r="S35" s="119"/>
      <c r="T35" s="110">
        <f t="shared" si="2"/>
        <v>84.640000000000327</v>
      </c>
      <c r="U35" s="103"/>
      <c r="V35" s="112">
        <f t="shared" si="3"/>
        <v>6000</v>
      </c>
      <c r="W35" s="112">
        <f t="shared" si="4"/>
        <v>0</v>
      </c>
      <c r="X35" s="113">
        <f t="shared" si="5"/>
        <v>0</v>
      </c>
      <c r="Y35" s="113">
        <v>0</v>
      </c>
      <c r="Z35" s="114">
        <v>0</v>
      </c>
      <c r="AA35" s="11">
        <f t="shared" si="6"/>
        <v>0</v>
      </c>
      <c r="AB35" s="115" t="e">
        <f t="shared" si="7"/>
        <v>#REF!</v>
      </c>
      <c r="AC35" s="115">
        <f t="shared" si="8"/>
        <v>0</v>
      </c>
      <c r="AD35" s="115">
        <f t="shared" si="9"/>
        <v>0</v>
      </c>
      <c r="AE35" s="11"/>
      <c r="AF35" s="115">
        <f t="shared" si="10"/>
        <v>6000</v>
      </c>
      <c r="AG35" s="115">
        <f t="shared" si="11"/>
        <v>0</v>
      </c>
      <c r="AH35" s="115">
        <f t="shared" si="12"/>
        <v>0</v>
      </c>
      <c r="AJ35" s="11" t="e">
        <f t="shared" si="13"/>
        <v>#REF!</v>
      </c>
    </row>
    <row r="36" spans="1:36" s="124" customFormat="1">
      <c r="A36" s="123"/>
      <c r="B36" s="123" t="s">
        <v>49</v>
      </c>
      <c r="C36" s="122" t="s">
        <v>70</v>
      </c>
      <c r="D36" s="118" t="s">
        <v>75</v>
      </c>
      <c r="E36" s="98"/>
      <c r="F36" s="99" t="e">
        <f>VLOOKUP(D36,#REF!,17,FALSE)</f>
        <v>#REF!</v>
      </c>
      <c r="G36" s="100"/>
      <c r="H36" s="100"/>
      <c r="I36" s="101"/>
      <c r="J36" s="102" t="e">
        <f t="shared" si="0"/>
        <v>#REF!</v>
      </c>
      <c r="K36" s="103"/>
      <c r="L36" s="104"/>
      <c r="M36" s="105"/>
      <c r="N36" s="103">
        <v>0</v>
      </c>
      <c r="O36" s="106"/>
      <c r="P36" s="103">
        <v>0</v>
      </c>
      <c r="Q36" s="107">
        <f t="shared" si="1"/>
        <v>0</v>
      </c>
      <c r="R36" s="108">
        <v>2859</v>
      </c>
      <c r="S36" s="119"/>
      <c r="T36" s="110">
        <f t="shared" si="2"/>
        <v>2859</v>
      </c>
      <c r="U36" s="103"/>
      <c r="V36" s="112">
        <f t="shared" si="3"/>
        <v>0</v>
      </c>
      <c r="W36" s="112">
        <f t="shared" si="4"/>
        <v>0</v>
      </c>
      <c r="X36" s="113">
        <f t="shared" si="5"/>
        <v>0</v>
      </c>
      <c r="Y36" s="113">
        <v>0</v>
      </c>
      <c r="Z36" s="114">
        <v>0</v>
      </c>
      <c r="AA36" s="11">
        <f t="shared" si="6"/>
        <v>0</v>
      </c>
      <c r="AB36" s="115" t="e">
        <f t="shared" si="7"/>
        <v>#REF!</v>
      </c>
      <c r="AC36" s="115">
        <f t="shared" si="8"/>
        <v>0</v>
      </c>
      <c r="AD36" s="115">
        <f t="shared" si="9"/>
        <v>0</v>
      </c>
      <c r="AE36" s="11"/>
      <c r="AF36" s="115">
        <f t="shared" si="10"/>
        <v>0</v>
      </c>
      <c r="AG36" s="115">
        <f t="shared" si="11"/>
        <v>0</v>
      </c>
      <c r="AH36" s="115">
        <f t="shared" si="12"/>
        <v>0</v>
      </c>
      <c r="AJ36" s="11" t="e">
        <f t="shared" si="13"/>
        <v>#REF!</v>
      </c>
    </row>
    <row r="37" spans="1:36" s="124" customFormat="1">
      <c r="A37" s="123"/>
      <c r="B37" s="123" t="s">
        <v>49</v>
      </c>
      <c r="C37" s="122" t="s">
        <v>70</v>
      </c>
      <c r="D37" s="118" t="s">
        <v>76</v>
      </c>
      <c r="E37" s="98"/>
      <c r="F37" s="99" t="e">
        <f>VLOOKUP(D37,#REF!,17,FALSE)</f>
        <v>#REF!</v>
      </c>
      <c r="G37" s="100"/>
      <c r="H37" s="100"/>
      <c r="I37" s="101"/>
      <c r="J37" s="102" t="e">
        <f t="shared" si="0"/>
        <v>#REF!</v>
      </c>
      <c r="K37" s="103"/>
      <c r="L37" s="104"/>
      <c r="M37" s="105"/>
      <c r="N37" s="103">
        <v>0</v>
      </c>
      <c r="O37" s="106"/>
      <c r="P37" s="103">
        <v>0</v>
      </c>
      <c r="Q37" s="107">
        <f t="shared" si="1"/>
        <v>0</v>
      </c>
      <c r="R37" s="108">
        <v>2137.61</v>
      </c>
      <c r="S37" s="119"/>
      <c r="T37" s="110">
        <f t="shared" si="2"/>
        <v>2137.61</v>
      </c>
      <c r="U37" s="103"/>
      <c r="V37" s="112">
        <f t="shared" si="3"/>
        <v>0</v>
      </c>
      <c r="W37" s="112">
        <f t="shared" si="4"/>
        <v>0</v>
      </c>
      <c r="X37" s="113">
        <f t="shared" si="5"/>
        <v>0</v>
      </c>
      <c r="Y37" s="113">
        <v>0</v>
      </c>
      <c r="Z37" s="114">
        <v>0</v>
      </c>
      <c r="AA37" s="11">
        <f t="shared" si="6"/>
        <v>0</v>
      </c>
      <c r="AB37" s="115" t="e">
        <f t="shared" si="7"/>
        <v>#REF!</v>
      </c>
      <c r="AC37" s="115">
        <f t="shared" si="8"/>
        <v>0</v>
      </c>
      <c r="AD37" s="115">
        <f t="shared" si="9"/>
        <v>0</v>
      </c>
      <c r="AE37" s="11"/>
      <c r="AF37" s="115">
        <f t="shared" si="10"/>
        <v>0</v>
      </c>
      <c r="AG37" s="115">
        <f t="shared" si="11"/>
        <v>0</v>
      </c>
      <c r="AH37" s="115">
        <f t="shared" si="12"/>
        <v>0</v>
      </c>
      <c r="AJ37" s="11" t="e">
        <f t="shared" si="13"/>
        <v>#REF!</v>
      </c>
    </row>
    <row r="38" spans="1:36" s="124" customFormat="1">
      <c r="A38" s="123"/>
      <c r="B38" s="123" t="s">
        <v>49</v>
      </c>
      <c r="C38" s="122" t="s">
        <v>70</v>
      </c>
      <c r="D38" s="118" t="s">
        <v>77</v>
      </c>
      <c r="E38" s="98"/>
      <c r="F38" s="99" t="e">
        <f>VLOOKUP(D38,#REF!,17,FALSE)</f>
        <v>#REF!</v>
      </c>
      <c r="G38" s="100"/>
      <c r="H38" s="100"/>
      <c r="I38" s="101"/>
      <c r="J38" s="102" t="e">
        <f t="shared" si="0"/>
        <v>#REF!</v>
      </c>
      <c r="K38" s="103"/>
      <c r="L38" s="104"/>
      <c r="M38" s="105"/>
      <c r="N38" s="103">
        <v>0</v>
      </c>
      <c r="O38" s="106"/>
      <c r="P38" s="103">
        <v>0</v>
      </c>
      <c r="Q38" s="107">
        <f t="shared" si="1"/>
        <v>0</v>
      </c>
      <c r="R38" s="108">
        <v>1753.51</v>
      </c>
      <c r="S38" s="119"/>
      <c r="T38" s="110">
        <f t="shared" si="2"/>
        <v>1753.51</v>
      </c>
      <c r="U38" s="103"/>
      <c r="V38" s="112">
        <f t="shared" si="3"/>
        <v>0</v>
      </c>
      <c r="W38" s="112">
        <f t="shared" si="4"/>
        <v>0</v>
      </c>
      <c r="X38" s="113">
        <f t="shared" si="5"/>
        <v>0</v>
      </c>
      <c r="Y38" s="113">
        <v>0</v>
      </c>
      <c r="Z38" s="114">
        <v>0</v>
      </c>
      <c r="AA38" s="11">
        <f t="shared" si="6"/>
        <v>0</v>
      </c>
      <c r="AB38" s="115" t="e">
        <f t="shared" si="7"/>
        <v>#REF!</v>
      </c>
      <c r="AC38" s="115">
        <f t="shared" si="8"/>
        <v>0</v>
      </c>
      <c r="AD38" s="115">
        <f t="shared" si="9"/>
        <v>0</v>
      </c>
      <c r="AE38" s="11"/>
      <c r="AF38" s="115">
        <f t="shared" si="10"/>
        <v>0</v>
      </c>
      <c r="AG38" s="115">
        <f t="shared" si="11"/>
        <v>0</v>
      </c>
      <c r="AH38" s="115">
        <f t="shared" si="12"/>
        <v>0</v>
      </c>
      <c r="AJ38" s="11" t="e">
        <f t="shared" si="13"/>
        <v>#REF!</v>
      </c>
    </row>
    <row r="39" spans="1:36" s="124" customFormat="1">
      <c r="A39" s="123"/>
      <c r="B39" s="123" t="s">
        <v>49</v>
      </c>
      <c r="C39" s="122" t="s">
        <v>70</v>
      </c>
      <c r="D39" s="118" t="s">
        <v>78</v>
      </c>
      <c r="E39" s="98"/>
      <c r="F39" s="99" t="e">
        <f>VLOOKUP(D39,#REF!,17,FALSE)</f>
        <v>#REF!</v>
      </c>
      <c r="G39" s="100"/>
      <c r="H39" s="100"/>
      <c r="I39" s="101"/>
      <c r="J39" s="102" t="e">
        <f t="shared" si="0"/>
        <v>#REF!</v>
      </c>
      <c r="K39" s="103"/>
      <c r="L39" s="104"/>
      <c r="M39" s="105">
        <v>14000</v>
      </c>
      <c r="N39" s="103">
        <v>0</v>
      </c>
      <c r="O39" s="106"/>
      <c r="P39" s="103">
        <v>0</v>
      </c>
      <c r="Q39" s="107">
        <f t="shared" si="1"/>
        <v>14000</v>
      </c>
      <c r="R39" s="108">
        <v>22239.66</v>
      </c>
      <c r="S39" s="119"/>
      <c r="T39" s="110">
        <f t="shared" si="2"/>
        <v>8239.66</v>
      </c>
      <c r="U39" s="103"/>
      <c r="V39" s="112">
        <f t="shared" si="3"/>
        <v>14000</v>
      </c>
      <c r="W39" s="112">
        <f t="shared" si="4"/>
        <v>0</v>
      </c>
      <c r="X39" s="113">
        <f t="shared" si="5"/>
        <v>0</v>
      </c>
      <c r="Y39" s="113">
        <v>0</v>
      </c>
      <c r="Z39" s="114">
        <v>0</v>
      </c>
      <c r="AA39" s="11">
        <f t="shared" si="6"/>
        <v>0</v>
      </c>
      <c r="AB39" s="115" t="e">
        <f t="shared" si="7"/>
        <v>#REF!</v>
      </c>
      <c r="AC39" s="115">
        <f t="shared" si="8"/>
        <v>0</v>
      </c>
      <c r="AD39" s="115">
        <f t="shared" si="9"/>
        <v>0</v>
      </c>
      <c r="AE39" s="11"/>
      <c r="AF39" s="115">
        <f t="shared" si="10"/>
        <v>14000</v>
      </c>
      <c r="AG39" s="115">
        <f t="shared" si="11"/>
        <v>0</v>
      </c>
      <c r="AH39" s="115">
        <f t="shared" si="12"/>
        <v>0</v>
      </c>
      <c r="AJ39" s="11" t="e">
        <f t="shared" si="13"/>
        <v>#REF!</v>
      </c>
    </row>
    <row r="40" spans="1:36" s="124" customFormat="1">
      <c r="A40" s="123"/>
      <c r="B40" s="123" t="s">
        <v>49</v>
      </c>
      <c r="C40" s="122" t="s">
        <v>68</v>
      </c>
      <c r="D40" s="118" t="s">
        <v>79</v>
      </c>
      <c r="E40" s="98"/>
      <c r="F40" s="99" t="e">
        <f>VLOOKUP(D40,#REF!,17,FALSE)</f>
        <v>#REF!</v>
      </c>
      <c r="G40" s="100"/>
      <c r="H40" s="100"/>
      <c r="I40" s="125">
        <v>69914.05</v>
      </c>
      <c r="J40" s="102" t="e">
        <f t="shared" si="0"/>
        <v>#REF!</v>
      </c>
      <c r="K40" s="103"/>
      <c r="L40" s="104"/>
      <c r="M40" s="105"/>
      <c r="N40" s="103">
        <v>0</v>
      </c>
      <c r="O40" s="106"/>
      <c r="P40" s="103">
        <v>0</v>
      </c>
      <c r="Q40" s="107">
        <f t="shared" si="1"/>
        <v>0</v>
      </c>
      <c r="R40" s="108">
        <v>0</v>
      </c>
      <c r="S40" s="119"/>
      <c r="T40" s="110">
        <f t="shared" si="2"/>
        <v>0</v>
      </c>
      <c r="U40" s="103"/>
      <c r="V40" s="112">
        <f t="shared" si="3"/>
        <v>0</v>
      </c>
      <c r="W40" s="112">
        <f t="shared" si="4"/>
        <v>0</v>
      </c>
      <c r="X40" s="113">
        <f t="shared" si="5"/>
        <v>0</v>
      </c>
      <c r="Y40" s="113">
        <v>0</v>
      </c>
      <c r="Z40" s="114">
        <v>0</v>
      </c>
      <c r="AA40" s="11">
        <f t="shared" si="6"/>
        <v>0</v>
      </c>
      <c r="AB40" s="115" t="e">
        <f t="shared" si="7"/>
        <v>#REF!</v>
      </c>
      <c r="AC40" s="115">
        <f t="shared" si="8"/>
        <v>0</v>
      </c>
      <c r="AD40" s="115">
        <f t="shared" si="9"/>
        <v>0</v>
      </c>
      <c r="AE40" s="11"/>
      <c r="AF40" s="115">
        <f t="shared" si="10"/>
        <v>0</v>
      </c>
      <c r="AG40" s="115">
        <f t="shared" si="11"/>
        <v>0</v>
      </c>
      <c r="AH40" s="115">
        <f t="shared" si="12"/>
        <v>0</v>
      </c>
      <c r="AJ40" s="11" t="e">
        <f t="shared" si="13"/>
        <v>#REF!</v>
      </c>
    </row>
    <row r="41" spans="1:36" s="124" customFormat="1">
      <c r="A41" s="123"/>
      <c r="B41" s="123" t="s">
        <v>49</v>
      </c>
      <c r="C41" s="126" t="s">
        <v>70</v>
      </c>
      <c r="D41" s="118" t="s">
        <v>80</v>
      </c>
      <c r="E41" s="98"/>
      <c r="F41" s="99" t="e">
        <f>VLOOKUP(D41,#REF!,17,FALSE)</f>
        <v>#REF!</v>
      </c>
      <c r="G41" s="100"/>
      <c r="H41" s="100"/>
      <c r="I41" s="125">
        <v>17917.849999999999</v>
      </c>
      <c r="J41" s="102" t="e">
        <f t="shared" si="0"/>
        <v>#REF!</v>
      </c>
      <c r="K41" s="103"/>
      <c r="L41" s="104"/>
      <c r="M41" s="105"/>
      <c r="N41" s="103">
        <v>0</v>
      </c>
      <c r="O41" s="106"/>
      <c r="P41" s="103">
        <v>0</v>
      </c>
      <c r="Q41" s="107">
        <f t="shared" si="1"/>
        <v>0</v>
      </c>
      <c r="R41" s="108">
        <v>0</v>
      </c>
      <c r="S41" s="119"/>
      <c r="T41" s="110">
        <f t="shared" si="2"/>
        <v>0</v>
      </c>
      <c r="U41" s="103"/>
      <c r="V41" s="112">
        <f t="shared" si="3"/>
        <v>0</v>
      </c>
      <c r="W41" s="112">
        <f t="shared" si="4"/>
        <v>0</v>
      </c>
      <c r="X41" s="113">
        <f t="shared" si="5"/>
        <v>0</v>
      </c>
      <c r="Y41" s="113">
        <v>0</v>
      </c>
      <c r="Z41" s="114">
        <v>0</v>
      </c>
      <c r="AA41" s="11">
        <f t="shared" si="6"/>
        <v>0</v>
      </c>
      <c r="AB41" s="115" t="e">
        <f t="shared" si="7"/>
        <v>#REF!</v>
      </c>
      <c r="AC41" s="115">
        <f t="shared" si="8"/>
        <v>0</v>
      </c>
      <c r="AD41" s="115">
        <f t="shared" si="9"/>
        <v>0</v>
      </c>
      <c r="AE41" s="11"/>
      <c r="AF41" s="115">
        <f t="shared" si="10"/>
        <v>0</v>
      </c>
      <c r="AG41" s="115">
        <f t="shared" si="11"/>
        <v>0</v>
      </c>
      <c r="AH41" s="115">
        <f t="shared" si="12"/>
        <v>0</v>
      </c>
      <c r="AJ41" s="11" t="e">
        <f t="shared" si="13"/>
        <v>#REF!</v>
      </c>
    </row>
    <row r="42" spans="1:36" s="124" customFormat="1">
      <c r="A42" s="127"/>
      <c r="B42" s="127" t="s">
        <v>81</v>
      </c>
      <c r="C42" s="96" t="s">
        <v>84</v>
      </c>
      <c r="D42" s="118" t="s">
        <v>83</v>
      </c>
      <c r="E42" s="98"/>
      <c r="F42" s="99" t="e">
        <f>VLOOKUP(D42,#REF!,17,FALSE)</f>
        <v>#REF!</v>
      </c>
      <c r="G42" s="100"/>
      <c r="H42" s="100"/>
      <c r="I42" s="101"/>
      <c r="J42" s="102" t="e">
        <f t="shared" si="0"/>
        <v>#REF!</v>
      </c>
      <c r="K42" s="103"/>
      <c r="L42" s="104"/>
      <c r="M42" s="105">
        <v>5000</v>
      </c>
      <c r="N42" s="103">
        <v>0</v>
      </c>
      <c r="O42" s="106"/>
      <c r="P42" s="103">
        <v>0</v>
      </c>
      <c r="Q42" s="107">
        <f t="shared" si="1"/>
        <v>5000</v>
      </c>
      <c r="R42" s="108">
        <v>8726.4599999999991</v>
      </c>
      <c r="S42" s="119"/>
      <c r="T42" s="110">
        <f t="shared" si="2"/>
        <v>3726.4599999999991</v>
      </c>
      <c r="U42" s="103"/>
      <c r="V42" s="112">
        <f t="shared" si="3"/>
        <v>0</v>
      </c>
      <c r="W42" s="112">
        <f t="shared" si="4"/>
        <v>0</v>
      </c>
      <c r="X42" s="113">
        <f t="shared" si="5"/>
        <v>5000</v>
      </c>
      <c r="Y42" s="113">
        <v>0</v>
      </c>
      <c r="Z42" s="114">
        <v>0</v>
      </c>
      <c r="AA42" s="11">
        <f t="shared" si="6"/>
        <v>0</v>
      </c>
      <c r="AB42" s="115">
        <f t="shared" si="7"/>
        <v>0</v>
      </c>
      <c r="AC42" s="115">
        <f t="shared" si="8"/>
        <v>0</v>
      </c>
      <c r="AD42" s="115" t="e">
        <f t="shared" si="9"/>
        <v>#REF!</v>
      </c>
      <c r="AE42" s="11"/>
      <c r="AF42" s="115">
        <f t="shared" si="10"/>
        <v>0</v>
      </c>
      <c r="AG42" s="115">
        <f t="shared" si="11"/>
        <v>0</v>
      </c>
      <c r="AH42" s="115">
        <f t="shared" si="12"/>
        <v>5000</v>
      </c>
      <c r="AJ42" s="11" t="e">
        <f t="shared" si="13"/>
        <v>#REF!</v>
      </c>
    </row>
    <row r="43" spans="1:36">
      <c r="A43" s="129"/>
      <c r="B43" s="129" t="s">
        <v>49</v>
      </c>
      <c r="C43" s="96"/>
      <c r="D43" s="120" t="s">
        <v>86</v>
      </c>
      <c r="E43" s="98"/>
      <c r="F43" s="99" t="e">
        <f>VLOOKUP(D43,#REF!,17,FALSE)</f>
        <v>#REF!</v>
      </c>
      <c r="G43" s="100"/>
      <c r="H43" s="100"/>
      <c r="I43" s="101"/>
      <c r="J43" s="102" t="e">
        <f t="shared" si="0"/>
        <v>#REF!</v>
      </c>
      <c r="K43" s="103"/>
      <c r="L43" s="104"/>
      <c r="M43" s="105"/>
      <c r="N43" s="103">
        <v>0</v>
      </c>
      <c r="O43" s="106"/>
      <c r="P43" s="103">
        <v>0</v>
      </c>
      <c r="Q43" s="107">
        <f t="shared" si="1"/>
        <v>0</v>
      </c>
      <c r="R43" s="108">
        <v>0</v>
      </c>
      <c r="S43" s="119"/>
      <c r="T43" s="110"/>
      <c r="U43" s="103"/>
      <c r="V43" s="112">
        <f t="shared" si="3"/>
        <v>0</v>
      </c>
      <c r="W43" s="112">
        <f t="shared" si="4"/>
        <v>0</v>
      </c>
      <c r="X43" s="113">
        <f t="shared" si="5"/>
        <v>0</v>
      </c>
      <c r="Y43" s="113">
        <v>0</v>
      </c>
      <c r="Z43" s="114">
        <v>0</v>
      </c>
      <c r="AA43" s="11">
        <f t="shared" si="6"/>
        <v>0</v>
      </c>
      <c r="AB43" s="115" t="e">
        <f t="shared" si="7"/>
        <v>#REF!</v>
      </c>
      <c r="AC43" s="115">
        <f t="shared" si="8"/>
        <v>0</v>
      </c>
      <c r="AD43" s="115">
        <f t="shared" si="9"/>
        <v>0</v>
      </c>
      <c r="AE43" s="11"/>
      <c r="AF43" s="115">
        <f t="shared" si="10"/>
        <v>0</v>
      </c>
      <c r="AG43" s="115">
        <f t="shared" si="11"/>
        <v>0</v>
      </c>
      <c r="AH43" s="115">
        <f t="shared" si="12"/>
        <v>0</v>
      </c>
      <c r="AJ43" s="11" t="e">
        <f t="shared" si="13"/>
        <v>#REF!</v>
      </c>
    </row>
    <row r="44" spans="1:36">
      <c r="A44" s="116"/>
      <c r="B44" s="116" t="s">
        <v>46</v>
      </c>
      <c r="C44" s="122"/>
      <c r="D44" s="120" t="s">
        <v>87</v>
      </c>
      <c r="E44" s="98"/>
      <c r="F44" s="99" t="e">
        <f>VLOOKUP(D44,#REF!,17,FALSE)</f>
        <v>#REF!</v>
      </c>
      <c r="G44" s="100"/>
      <c r="H44" s="100"/>
      <c r="I44" s="101"/>
      <c r="J44" s="102" t="e">
        <f t="shared" si="0"/>
        <v>#REF!</v>
      </c>
      <c r="K44" s="103"/>
      <c r="L44" s="104"/>
      <c r="M44" s="105"/>
      <c r="N44" s="103">
        <v>0</v>
      </c>
      <c r="O44" s="106"/>
      <c r="P44" s="103">
        <v>0</v>
      </c>
      <c r="Q44" s="107">
        <f t="shared" si="1"/>
        <v>0</v>
      </c>
      <c r="R44" s="108">
        <v>0</v>
      </c>
      <c r="S44" s="119"/>
      <c r="T44" s="110">
        <f t="shared" ref="T44:T65" si="14">IF(R44="","",R44-Q44)</f>
        <v>0</v>
      </c>
      <c r="U44" s="103"/>
      <c r="V44" s="112">
        <f t="shared" si="3"/>
        <v>0</v>
      </c>
      <c r="W44" s="112">
        <f t="shared" si="4"/>
        <v>0</v>
      </c>
      <c r="X44" s="113">
        <f t="shared" si="5"/>
        <v>0</v>
      </c>
      <c r="Y44" s="113">
        <v>0</v>
      </c>
      <c r="Z44" s="114">
        <v>0</v>
      </c>
      <c r="AA44" s="11">
        <f t="shared" si="6"/>
        <v>0</v>
      </c>
      <c r="AB44" s="115">
        <f t="shared" si="7"/>
        <v>0</v>
      </c>
      <c r="AC44" s="115" t="e">
        <f t="shared" si="8"/>
        <v>#REF!</v>
      </c>
      <c r="AD44" s="115">
        <f t="shared" si="9"/>
        <v>0</v>
      </c>
      <c r="AE44" s="11"/>
      <c r="AF44" s="115">
        <f t="shared" si="10"/>
        <v>0</v>
      </c>
      <c r="AG44" s="115">
        <f t="shared" si="11"/>
        <v>0</v>
      </c>
      <c r="AH44" s="115">
        <f t="shared" si="12"/>
        <v>0</v>
      </c>
      <c r="AJ44" s="11" t="e">
        <f t="shared" si="13"/>
        <v>#REF!</v>
      </c>
    </row>
    <row r="45" spans="1:36">
      <c r="A45" s="116"/>
      <c r="B45" s="116" t="s">
        <v>49</v>
      </c>
      <c r="C45" s="122"/>
      <c r="D45" s="120" t="s">
        <v>88</v>
      </c>
      <c r="E45" s="98"/>
      <c r="F45" s="99" t="e">
        <f>VLOOKUP(D45,#REF!,17,FALSE)</f>
        <v>#REF!</v>
      </c>
      <c r="G45" s="100"/>
      <c r="H45" s="100"/>
      <c r="I45" s="101"/>
      <c r="J45" s="102" t="e">
        <f t="shared" si="0"/>
        <v>#REF!</v>
      </c>
      <c r="K45" s="103"/>
      <c r="L45" s="104"/>
      <c r="M45" s="105"/>
      <c r="N45" s="103">
        <v>0</v>
      </c>
      <c r="O45" s="106"/>
      <c r="P45" s="103">
        <v>0</v>
      </c>
      <c r="Q45" s="107">
        <f t="shared" si="1"/>
        <v>0</v>
      </c>
      <c r="R45" s="108">
        <v>0</v>
      </c>
      <c r="S45" s="119"/>
      <c r="T45" s="110">
        <f t="shared" si="14"/>
        <v>0</v>
      </c>
      <c r="U45" s="103"/>
      <c r="V45" s="112">
        <f t="shared" si="3"/>
        <v>0</v>
      </c>
      <c r="W45" s="112">
        <f t="shared" si="4"/>
        <v>0</v>
      </c>
      <c r="X45" s="113">
        <f t="shared" si="5"/>
        <v>0</v>
      </c>
      <c r="Y45" s="113">
        <v>0</v>
      </c>
      <c r="Z45" s="114">
        <v>0</v>
      </c>
      <c r="AA45" s="11">
        <f t="shared" si="6"/>
        <v>0</v>
      </c>
      <c r="AB45" s="115" t="e">
        <f t="shared" si="7"/>
        <v>#REF!</v>
      </c>
      <c r="AC45" s="115">
        <f t="shared" si="8"/>
        <v>0</v>
      </c>
      <c r="AD45" s="115">
        <f t="shared" si="9"/>
        <v>0</v>
      </c>
      <c r="AE45" s="11"/>
      <c r="AF45" s="115">
        <f t="shared" si="10"/>
        <v>0</v>
      </c>
      <c r="AG45" s="115">
        <f t="shared" si="11"/>
        <v>0</v>
      </c>
      <c r="AH45" s="115">
        <f t="shared" si="12"/>
        <v>0</v>
      </c>
      <c r="AJ45" s="11" t="e">
        <f t="shared" si="13"/>
        <v>#REF!</v>
      </c>
    </row>
    <row r="46" spans="1:36">
      <c r="A46" s="116"/>
      <c r="B46" s="116" t="s">
        <v>49</v>
      </c>
      <c r="C46" s="122"/>
      <c r="D46" s="120" t="s">
        <v>89</v>
      </c>
      <c r="E46" s="98" t="e">
        <f>160308.35-F46</f>
        <v>#REF!</v>
      </c>
      <c r="F46" s="99" t="e">
        <f>VLOOKUP(D46,#REF!,17,FALSE)</f>
        <v>#REF!</v>
      </c>
      <c r="G46" s="100"/>
      <c r="H46" s="100"/>
      <c r="I46" s="101"/>
      <c r="J46" s="102" t="e">
        <f t="shared" si="0"/>
        <v>#REF!</v>
      </c>
      <c r="K46" s="103"/>
      <c r="L46" s="104"/>
      <c r="M46" s="105">
        <v>15000</v>
      </c>
      <c r="N46" s="103">
        <v>0</v>
      </c>
      <c r="O46" s="106"/>
      <c r="P46" s="103">
        <v>0</v>
      </c>
      <c r="Q46" s="107">
        <f t="shared" si="1"/>
        <v>15000</v>
      </c>
      <c r="R46" s="108">
        <v>0</v>
      </c>
      <c r="S46" s="119"/>
      <c r="T46" s="110">
        <f t="shared" si="14"/>
        <v>-15000</v>
      </c>
      <c r="U46" s="103"/>
      <c r="V46" s="112">
        <f t="shared" si="3"/>
        <v>15000</v>
      </c>
      <c r="W46" s="112">
        <f t="shared" si="4"/>
        <v>0</v>
      </c>
      <c r="X46" s="113">
        <f t="shared" si="5"/>
        <v>0</v>
      </c>
      <c r="Y46" s="113">
        <v>0</v>
      </c>
      <c r="Z46" s="114">
        <v>0</v>
      </c>
      <c r="AA46" s="11">
        <f t="shared" si="6"/>
        <v>0</v>
      </c>
      <c r="AB46" s="115" t="e">
        <f t="shared" si="7"/>
        <v>#REF!</v>
      </c>
      <c r="AC46" s="115">
        <f t="shared" si="8"/>
        <v>0</v>
      </c>
      <c r="AD46" s="115">
        <f t="shared" si="9"/>
        <v>0</v>
      </c>
      <c r="AE46" s="11"/>
      <c r="AF46" s="115">
        <f t="shared" si="10"/>
        <v>15000</v>
      </c>
      <c r="AG46" s="115">
        <f t="shared" si="11"/>
        <v>0</v>
      </c>
      <c r="AH46" s="115">
        <f t="shared" si="12"/>
        <v>0</v>
      </c>
      <c r="AJ46" s="11" t="e">
        <f t="shared" si="13"/>
        <v>#REF!</v>
      </c>
    </row>
    <row r="47" spans="1:36">
      <c r="A47" s="116"/>
      <c r="B47" s="116" t="s">
        <v>46</v>
      </c>
      <c r="C47" s="122"/>
      <c r="D47" s="120" t="s">
        <v>90</v>
      </c>
      <c r="E47" s="98">
        <v>5441.02</v>
      </c>
      <c r="F47" s="99" t="e">
        <f>VLOOKUP(D47,#REF!,17,FALSE)</f>
        <v>#REF!</v>
      </c>
      <c r="G47" s="100"/>
      <c r="H47" s="100"/>
      <c r="I47" s="125">
        <v>6757.98</v>
      </c>
      <c r="J47" s="102" t="e">
        <f t="shared" si="0"/>
        <v>#REF!</v>
      </c>
      <c r="K47" s="103"/>
      <c r="L47" s="104"/>
      <c r="M47" s="105"/>
      <c r="N47" s="103">
        <v>0</v>
      </c>
      <c r="O47" s="106"/>
      <c r="P47" s="103">
        <v>0</v>
      </c>
      <c r="Q47" s="107">
        <f t="shared" si="1"/>
        <v>0</v>
      </c>
      <c r="R47" s="108">
        <v>0</v>
      </c>
      <c r="S47" s="119"/>
      <c r="T47" s="110">
        <f t="shared" si="14"/>
        <v>0</v>
      </c>
      <c r="U47" s="103"/>
      <c r="V47" s="112">
        <f t="shared" si="3"/>
        <v>0</v>
      </c>
      <c r="W47" s="112">
        <f t="shared" si="4"/>
        <v>0</v>
      </c>
      <c r="X47" s="113">
        <f t="shared" si="5"/>
        <v>0</v>
      </c>
      <c r="Y47" s="113">
        <v>0</v>
      </c>
      <c r="Z47" s="114">
        <v>0</v>
      </c>
      <c r="AA47" s="11">
        <f t="shared" si="6"/>
        <v>0</v>
      </c>
      <c r="AB47" s="115">
        <f t="shared" si="7"/>
        <v>0</v>
      </c>
      <c r="AC47" s="115" t="e">
        <f t="shared" si="8"/>
        <v>#REF!</v>
      </c>
      <c r="AD47" s="115">
        <f t="shared" si="9"/>
        <v>0</v>
      </c>
      <c r="AE47" s="11"/>
      <c r="AF47" s="115">
        <f t="shared" si="10"/>
        <v>0</v>
      </c>
      <c r="AG47" s="115">
        <f t="shared" si="11"/>
        <v>0</v>
      </c>
      <c r="AH47" s="115">
        <f t="shared" si="12"/>
        <v>0</v>
      </c>
      <c r="AJ47" s="11" t="e">
        <f t="shared" si="13"/>
        <v>#REF!</v>
      </c>
    </row>
    <row r="48" spans="1:36">
      <c r="A48" s="116"/>
      <c r="B48" s="116" t="s">
        <v>49</v>
      </c>
      <c r="C48" s="122" t="s">
        <v>91</v>
      </c>
      <c r="D48" s="120" t="s">
        <v>92</v>
      </c>
      <c r="E48" s="98"/>
      <c r="F48" s="99" t="e">
        <f>VLOOKUP(D48,#REF!,17,FALSE)</f>
        <v>#REF!</v>
      </c>
      <c r="G48" s="100"/>
      <c r="H48" s="100"/>
      <c r="I48" s="101"/>
      <c r="J48" s="102" t="e">
        <f t="shared" si="0"/>
        <v>#REF!</v>
      </c>
      <c r="K48" s="103"/>
      <c r="L48" s="104"/>
      <c r="M48" s="105"/>
      <c r="N48" s="103">
        <v>0</v>
      </c>
      <c r="O48" s="106"/>
      <c r="P48" s="103">
        <v>0</v>
      </c>
      <c r="Q48" s="107">
        <f t="shared" si="1"/>
        <v>0</v>
      </c>
      <c r="R48" s="108">
        <v>2690.08</v>
      </c>
      <c r="S48" s="119"/>
      <c r="T48" s="110">
        <f t="shared" si="14"/>
        <v>2690.08</v>
      </c>
      <c r="U48" s="103"/>
      <c r="V48" s="112">
        <f t="shared" si="3"/>
        <v>0</v>
      </c>
      <c r="W48" s="112">
        <f t="shared" si="4"/>
        <v>0</v>
      </c>
      <c r="X48" s="113">
        <f t="shared" si="5"/>
        <v>0</v>
      </c>
      <c r="Y48" s="113">
        <v>0</v>
      </c>
      <c r="Z48" s="114">
        <v>0</v>
      </c>
      <c r="AA48" s="11">
        <f t="shared" si="6"/>
        <v>0</v>
      </c>
      <c r="AB48" s="115" t="e">
        <f t="shared" si="7"/>
        <v>#REF!</v>
      </c>
      <c r="AC48" s="115">
        <f t="shared" si="8"/>
        <v>0</v>
      </c>
      <c r="AD48" s="115">
        <f t="shared" si="9"/>
        <v>0</v>
      </c>
      <c r="AE48" s="11"/>
      <c r="AF48" s="115">
        <f t="shared" si="10"/>
        <v>0</v>
      </c>
      <c r="AG48" s="115">
        <f t="shared" si="11"/>
        <v>0</v>
      </c>
      <c r="AH48" s="115">
        <f t="shared" si="12"/>
        <v>0</v>
      </c>
      <c r="AJ48" s="11" t="e">
        <f t="shared" si="13"/>
        <v>#REF!</v>
      </c>
    </row>
    <row r="49" spans="1:36">
      <c r="A49" s="116"/>
      <c r="B49" s="116" t="s">
        <v>49</v>
      </c>
      <c r="C49" s="122" t="s">
        <v>93</v>
      </c>
      <c r="D49" s="120" t="s">
        <v>94</v>
      </c>
      <c r="E49" s="98"/>
      <c r="F49" s="99" t="e">
        <f>VLOOKUP(D49,#REF!,17,FALSE)</f>
        <v>#REF!</v>
      </c>
      <c r="G49" s="100"/>
      <c r="H49" s="100"/>
      <c r="I49" s="125">
        <v>12846.77</v>
      </c>
      <c r="J49" s="102" t="e">
        <f t="shared" si="0"/>
        <v>#REF!</v>
      </c>
      <c r="K49" s="103"/>
      <c r="L49" s="104"/>
      <c r="M49" s="105"/>
      <c r="N49" s="103">
        <v>0</v>
      </c>
      <c r="O49" s="106"/>
      <c r="P49" s="103">
        <v>0</v>
      </c>
      <c r="Q49" s="107">
        <f t="shared" si="1"/>
        <v>0</v>
      </c>
      <c r="R49" s="108">
        <v>0</v>
      </c>
      <c r="S49" s="119"/>
      <c r="T49" s="110">
        <f t="shared" si="14"/>
        <v>0</v>
      </c>
      <c r="U49" s="103"/>
      <c r="V49" s="112">
        <f t="shared" si="3"/>
        <v>0</v>
      </c>
      <c r="W49" s="112">
        <f t="shared" si="4"/>
        <v>0</v>
      </c>
      <c r="X49" s="113">
        <f t="shared" si="5"/>
        <v>0</v>
      </c>
      <c r="Y49" s="113">
        <v>0</v>
      </c>
      <c r="Z49" s="114">
        <v>0</v>
      </c>
      <c r="AA49" s="11">
        <f t="shared" si="6"/>
        <v>0</v>
      </c>
      <c r="AB49" s="115" t="e">
        <f t="shared" si="7"/>
        <v>#REF!</v>
      </c>
      <c r="AC49" s="115">
        <f t="shared" si="8"/>
        <v>0</v>
      </c>
      <c r="AD49" s="115">
        <f t="shared" si="9"/>
        <v>0</v>
      </c>
      <c r="AE49" s="11"/>
      <c r="AF49" s="115">
        <f t="shared" si="10"/>
        <v>0</v>
      </c>
      <c r="AG49" s="115">
        <f t="shared" si="11"/>
        <v>0</v>
      </c>
      <c r="AH49" s="115">
        <f t="shared" si="12"/>
        <v>0</v>
      </c>
      <c r="AJ49" s="11" t="e">
        <f t="shared" si="13"/>
        <v>#REF!</v>
      </c>
    </row>
    <row r="50" spans="1:36">
      <c r="A50" s="116" t="s">
        <v>60</v>
      </c>
      <c r="B50" s="116" t="s">
        <v>49</v>
      </c>
      <c r="C50" s="122" t="s">
        <v>95</v>
      </c>
      <c r="D50" s="120" t="s">
        <v>96</v>
      </c>
      <c r="E50" s="98"/>
      <c r="F50" s="99" t="e">
        <f>VLOOKUP(D50,#REF!,17,FALSE)</f>
        <v>#REF!</v>
      </c>
      <c r="G50" s="100"/>
      <c r="H50" s="100"/>
      <c r="I50" s="101"/>
      <c r="J50" s="102" t="e">
        <f t="shared" si="0"/>
        <v>#REF!</v>
      </c>
      <c r="K50" s="103"/>
      <c r="L50" s="104"/>
      <c r="M50" s="105">
        <v>30000</v>
      </c>
      <c r="N50" s="103">
        <v>0</v>
      </c>
      <c r="O50" s="106"/>
      <c r="P50" s="103">
        <v>0</v>
      </c>
      <c r="Q50" s="107">
        <f t="shared" si="1"/>
        <v>30000</v>
      </c>
      <c r="R50" s="108">
        <v>33718.910000000003</v>
      </c>
      <c r="S50" s="119"/>
      <c r="T50" s="110">
        <f t="shared" si="14"/>
        <v>3718.9100000000035</v>
      </c>
      <c r="U50" s="103"/>
      <c r="V50" s="112">
        <f t="shared" si="3"/>
        <v>30000</v>
      </c>
      <c r="W50" s="112">
        <f t="shared" si="4"/>
        <v>0</v>
      </c>
      <c r="X50" s="113">
        <f t="shared" si="5"/>
        <v>0</v>
      </c>
      <c r="Y50" s="113">
        <v>0</v>
      </c>
      <c r="Z50" s="114">
        <v>0</v>
      </c>
      <c r="AA50" s="11">
        <f t="shared" si="6"/>
        <v>0</v>
      </c>
      <c r="AB50" s="115" t="e">
        <f t="shared" si="7"/>
        <v>#REF!</v>
      </c>
      <c r="AC50" s="115">
        <f t="shared" si="8"/>
        <v>0</v>
      </c>
      <c r="AD50" s="115">
        <f t="shared" si="9"/>
        <v>0</v>
      </c>
      <c r="AE50" s="11"/>
      <c r="AF50" s="115">
        <f t="shared" si="10"/>
        <v>30000</v>
      </c>
      <c r="AG50" s="115">
        <f t="shared" si="11"/>
        <v>0</v>
      </c>
      <c r="AH50" s="115">
        <f t="shared" si="12"/>
        <v>0</v>
      </c>
      <c r="AJ50" s="11" t="e">
        <f t="shared" si="13"/>
        <v>#REF!</v>
      </c>
    </row>
    <row r="51" spans="1:36" s="124" customFormat="1" hidden="1">
      <c r="A51" s="123" t="s">
        <v>154</v>
      </c>
      <c r="B51" s="123" t="s">
        <v>46</v>
      </c>
      <c r="C51" s="122" t="s">
        <v>99</v>
      </c>
      <c r="D51" s="118" t="s">
        <v>395</v>
      </c>
      <c r="E51" s="98"/>
      <c r="F51" s="99" t="e">
        <f>VLOOKUP(D51,#REF!,17,FALSE)</f>
        <v>#REF!</v>
      </c>
      <c r="G51" s="100"/>
      <c r="H51" s="100"/>
      <c r="I51" s="101"/>
      <c r="J51" s="102" t="e">
        <f t="shared" si="0"/>
        <v>#REF!</v>
      </c>
      <c r="K51" s="103"/>
      <c r="L51" s="104"/>
      <c r="M51" s="105"/>
      <c r="N51" s="103">
        <v>0</v>
      </c>
      <c r="O51" s="106"/>
      <c r="P51" s="103">
        <v>0</v>
      </c>
      <c r="Q51" s="107">
        <f t="shared" si="1"/>
        <v>0</v>
      </c>
      <c r="R51" s="108">
        <v>0</v>
      </c>
      <c r="S51" s="119"/>
      <c r="T51" s="110">
        <f t="shared" si="14"/>
        <v>0</v>
      </c>
      <c r="U51" s="103"/>
      <c r="V51" s="112">
        <f t="shared" si="3"/>
        <v>0</v>
      </c>
      <c r="W51" s="112">
        <f t="shared" si="4"/>
        <v>0</v>
      </c>
      <c r="X51" s="113">
        <f t="shared" si="5"/>
        <v>0</v>
      </c>
      <c r="Y51" s="113">
        <v>0</v>
      </c>
      <c r="Z51" s="114">
        <v>0</v>
      </c>
      <c r="AA51" s="11">
        <f t="shared" si="6"/>
        <v>0</v>
      </c>
      <c r="AB51" s="115">
        <f t="shared" si="7"/>
        <v>0</v>
      </c>
      <c r="AC51" s="115" t="e">
        <f t="shared" si="8"/>
        <v>#REF!</v>
      </c>
      <c r="AD51" s="115">
        <f t="shared" si="9"/>
        <v>0</v>
      </c>
      <c r="AE51" s="11"/>
      <c r="AF51" s="115">
        <f t="shared" si="10"/>
        <v>0</v>
      </c>
      <c r="AG51" s="115">
        <f t="shared" si="11"/>
        <v>0</v>
      </c>
      <c r="AH51" s="115">
        <f t="shared" si="12"/>
        <v>0</v>
      </c>
      <c r="AJ51" s="11" t="e">
        <f t="shared" si="13"/>
        <v>#REF!</v>
      </c>
    </row>
    <row r="52" spans="1:36" s="124" customFormat="1" hidden="1">
      <c r="A52" s="123"/>
      <c r="B52" s="123" t="s">
        <v>46</v>
      </c>
      <c r="C52" s="122" t="s">
        <v>99</v>
      </c>
      <c r="D52" s="118" t="s">
        <v>100</v>
      </c>
      <c r="E52" s="98"/>
      <c r="F52" s="99" t="e">
        <f>VLOOKUP(D52,#REF!,17,FALSE)</f>
        <v>#REF!</v>
      </c>
      <c r="G52" s="100"/>
      <c r="H52" s="100"/>
      <c r="I52" s="101"/>
      <c r="J52" s="102" t="e">
        <f t="shared" si="0"/>
        <v>#REF!</v>
      </c>
      <c r="K52" s="103"/>
      <c r="L52" s="104"/>
      <c r="M52" s="105"/>
      <c r="N52" s="103">
        <v>0</v>
      </c>
      <c r="O52" s="106"/>
      <c r="P52" s="103">
        <v>0</v>
      </c>
      <c r="Q52" s="107">
        <f t="shared" si="1"/>
        <v>0</v>
      </c>
      <c r="R52" s="108">
        <v>0</v>
      </c>
      <c r="S52" s="119"/>
      <c r="T52" s="110">
        <f t="shared" si="14"/>
        <v>0</v>
      </c>
      <c r="U52" s="103"/>
      <c r="V52" s="112">
        <f t="shared" si="3"/>
        <v>0</v>
      </c>
      <c r="W52" s="112">
        <f t="shared" si="4"/>
        <v>0</v>
      </c>
      <c r="X52" s="113">
        <f t="shared" si="5"/>
        <v>0</v>
      </c>
      <c r="Y52" s="113">
        <v>0</v>
      </c>
      <c r="Z52" s="114">
        <v>0</v>
      </c>
      <c r="AA52" s="11">
        <f t="shared" si="6"/>
        <v>0</v>
      </c>
      <c r="AB52" s="115">
        <f t="shared" si="7"/>
        <v>0</v>
      </c>
      <c r="AC52" s="115" t="e">
        <f t="shared" si="8"/>
        <v>#REF!</v>
      </c>
      <c r="AD52" s="115">
        <f t="shared" si="9"/>
        <v>0</v>
      </c>
      <c r="AE52" s="11"/>
      <c r="AF52" s="115">
        <f t="shared" si="10"/>
        <v>0</v>
      </c>
      <c r="AG52" s="115">
        <f t="shared" si="11"/>
        <v>0</v>
      </c>
      <c r="AH52" s="115">
        <f t="shared" si="12"/>
        <v>0</v>
      </c>
      <c r="AJ52" s="11" t="e">
        <f t="shared" si="13"/>
        <v>#REF!</v>
      </c>
    </row>
    <row r="53" spans="1:36" s="124" customFormat="1" hidden="1">
      <c r="A53" s="123"/>
      <c r="B53" s="123" t="s">
        <v>46</v>
      </c>
      <c r="C53" s="122" t="s">
        <v>99</v>
      </c>
      <c r="D53" s="118" t="s">
        <v>101</v>
      </c>
      <c r="E53" s="98"/>
      <c r="F53" s="99" t="e">
        <f>VLOOKUP(D53,#REF!,17,FALSE)</f>
        <v>#REF!</v>
      </c>
      <c r="G53" s="100"/>
      <c r="H53" s="100"/>
      <c r="I53" s="101"/>
      <c r="J53" s="102" t="e">
        <f t="shared" si="0"/>
        <v>#REF!</v>
      </c>
      <c r="K53" s="103"/>
      <c r="L53" s="104"/>
      <c r="M53" s="105"/>
      <c r="N53" s="103">
        <v>0</v>
      </c>
      <c r="O53" s="106"/>
      <c r="P53" s="103">
        <v>0</v>
      </c>
      <c r="Q53" s="107">
        <f t="shared" si="1"/>
        <v>0</v>
      </c>
      <c r="R53" s="108">
        <v>0</v>
      </c>
      <c r="S53" s="119"/>
      <c r="T53" s="110">
        <f t="shared" si="14"/>
        <v>0</v>
      </c>
      <c r="U53" s="103"/>
      <c r="V53" s="112">
        <f t="shared" si="3"/>
        <v>0</v>
      </c>
      <c r="W53" s="112">
        <f t="shared" si="4"/>
        <v>0</v>
      </c>
      <c r="X53" s="113">
        <f t="shared" si="5"/>
        <v>0</v>
      </c>
      <c r="Y53" s="113">
        <v>0</v>
      </c>
      <c r="Z53" s="114">
        <v>0</v>
      </c>
      <c r="AA53" s="11">
        <f t="shared" si="6"/>
        <v>0</v>
      </c>
      <c r="AB53" s="115">
        <f t="shared" si="7"/>
        <v>0</v>
      </c>
      <c r="AC53" s="115" t="e">
        <f t="shared" si="8"/>
        <v>#REF!</v>
      </c>
      <c r="AD53" s="115">
        <f t="shared" si="9"/>
        <v>0</v>
      </c>
      <c r="AE53" s="11"/>
      <c r="AF53" s="115">
        <f t="shared" si="10"/>
        <v>0</v>
      </c>
      <c r="AG53" s="115">
        <f t="shared" si="11"/>
        <v>0</v>
      </c>
      <c r="AH53" s="115">
        <f t="shared" si="12"/>
        <v>0</v>
      </c>
      <c r="AJ53" s="11" t="e">
        <f t="shared" si="13"/>
        <v>#REF!</v>
      </c>
    </row>
    <row r="54" spans="1:36" s="124" customFormat="1" hidden="1">
      <c r="A54" s="123"/>
      <c r="B54" s="123" t="s">
        <v>46</v>
      </c>
      <c r="C54" s="122" t="s">
        <v>99</v>
      </c>
      <c r="D54" s="118" t="s">
        <v>102</v>
      </c>
      <c r="E54" s="98"/>
      <c r="F54" s="99" t="e">
        <f>VLOOKUP(D54,#REF!,17,FALSE)</f>
        <v>#REF!</v>
      </c>
      <c r="G54" s="100"/>
      <c r="H54" s="100"/>
      <c r="I54" s="101"/>
      <c r="J54" s="102" t="e">
        <f t="shared" si="0"/>
        <v>#REF!</v>
      </c>
      <c r="K54" s="103"/>
      <c r="L54" s="104"/>
      <c r="M54" s="105"/>
      <c r="N54" s="103">
        <v>0</v>
      </c>
      <c r="O54" s="106"/>
      <c r="P54" s="103">
        <v>0</v>
      </c>
      <c r="Q54" s="107">
        <f t="shared" si="1"/>
        <v>0</v>
      </c>
      <c r="R54" s="108">
        <v>0</v>
      </c>
      <c r="S54" s="119"/>
      <c r="T54" s="110">
        <f t="shared" si="14"/>
        <v>0</v>
      </c>
      <c r="U54" s="103"/>
      <c r="V54" s="112">
        <f t="shared" si="3"/>
        <v>0</v>
      </c>
      <c r="W54" s="112">
        <f t="shared" si="4"/>
        <v>0</v>
      </c>
      <c r="X54" s="113">
        <f t="shared" si="5"/>
        <v>0</v>
      </c>
      <c r="Y54" s="113">
        <v>0</v>
      </c>
      <c r="Z54" s="114">
        <v>0</v>
      </c>
      <c r="AA54" s="11">
        <f t="shared" si="6"/>
        <v>0</v>
      </c>
      <c r="AB54" s="115">
        <f t="shared" si="7"/>
        <v>0</v>
      </c>
      <c r="AC54" s="115" t="e">
        <f t="shared" si="8"/>
        <v>#REF!</v>
      </c>
      <c r="AD54" s="115">
        <f t="shared" si="9"/>
        <v>0</v>
      </c>
      <c r="AE54" s="11"/>
      <c r="AF54" s="115">
        <f t="shared" si="10"/>
        <v>0</v>
      </c>
      <c r="AG54" s="115">
        <f t="shared" si="11"/>
        <v>0</v>
      </c>
      <c r="AH54" s="115">
        <f t="shared" si="12"/>
        <v>0</v>
      </c>
      <c r="AJ54" s="11" t="e">
        <f t="shared" si="13"/>
        <v>#REF!</v>
      </c>
    </row>
    <row r="55" spans="1:36">
      <c r="A55" s="116" t="s">
        <v>60</v>
      </c>
      <c r="B55" s="116" t="s">
        <v>46</v>
      </c>
      <c r="C55" s="122" t="s">
        <v>106</v>
      </c>
      <c r="D55" s="120" t="s">
        <v>107</v>
      </c>
      <c r="E55" s="98"/>
      <c r="F55" s="99" t="e">
        <f>VLOOKUP(D55,#REF!,17,FALSE)</f>
        <v>#REF!</v>
      </c>
      <c r="G55" s="100"/>
      <c r="H55" s="100"/>
      <c r="I55" s="101"/>
      <c r="J55" s="102" t="e">
        <f t="shared" si="0"/>
        <v>#REF!</v>
      </c>
      <c r="K55" s="103"/>
      <c r="L55" s="104"/>
      <c r="M55" s="105">
        <v>15000</v>
      </c>
      <c r="N55" s="103">
        <v>0</v>
      </c>
      <c r="O55" s="106"/>
      <c r="P55" s="103">
        <v>0</v>
      </c>
      <c r="Q55" s="107">
        <f t="shared" si="1"/>
        <v>15000</v>
      </c>
      <c r="R55" s="108">
        <v>0</v>
      </c>
      <c r="S55" s="119"/>
      <c r="T55" s="110">
        <f t="shared" si="14"/>
        <v>-15000</v>
      </c>
      <c r="U55" s="103"/>
      <c r="V55" s="112">
        <f t="shared" si="3"/>
        <v>0</v>
      </c>
      <c r="W55" s="112">
        <f t="shared" si="4"/>
        <v>15000</v>
      </c>
      <c r="X55" s="113">
        <f t="shared" si="5"/>
        <v>0</v>
      </c>
      <c r="Y55" s="113">
        <v>0</v>
      </c>
      <c r="Z55" s="114">
        <v>0</v>
      </c>
      <c r="AA55" s="11">
        <f t="shared" si="6"/>
        <v>0</v>
      </c>
      <c r="AB55" s="115">
        <f t="shared" si="7"/>
        <v>0</v>
      </c>
      <c r="AC55" s="115" t="e">
        <f t="shared" si="8"/>
        <v>#REF!</v>
      </c>
      <c r="AD55" s="115">
        <f t="shared" si="9"/>
        <v>0</v>
      </c>
      <c r="AE55" s="11"/>
      <c r="AF55" s="115">
        <f t="shared" si="10"/>
        <v>0</v>
      </c>
      <c r="AG55" s="115">
        <f t="shared" si="11"/>
        <v>15000</v>
      </c>
      <c r="AH55" s="115">
        <f t="shared" si="12"/>
        <v>0</v>
      </c>
      <c r="AJ55" s="11" t="e">
        <f t="shared" si="13"/>
        <v>#REF!</v>
      </c>
    </row>
    <row r="56" spans="1:36">
      <c r="A56" s="116" t="s">
        <v>60</v>
      </c>
      <c r="B56" s="116" t="s">
        <v>81</v>
      </c>
      <c r="C56" s="122"/>
      <c r="D56" s="120" t="s">
        <v>109</v>
      </c>
      <c r="E56" s="98"/>
      <c r="F56" s="99" t="e">
        <f>VLOOKUP(D56,#REF!,17,FALSE)</f>
        <v>#REF!</v>
      </c>
      <c r="G56" s="100"/>
      <c r="H56" s="100"/>
      <c r="I56" s="101"/>
      <c r="J56" s="102" t="e">
        <f t="shared" si="0"/>
        <v>#REF!</v>
      </c>
      <c r="K56" s="103"/>
      <c r="L56" s="104"/>
      <c r="M56" s="105"/>
      <c r="N56" s="103">
        <v>0</v>
      </c>
      <c r="O56" s="106"/>
      <c r="P56" s="103">
        <v>0</v>
      </c>
      <c r="Q56" s="107">
        <f t="shared" si="1"/>
        <v>0</v>
      </c>
      <c r="R56" s="108">
        <v>0</v>
      </c>
      <c r="S56" s="119"/>
      <c r="T56" s="110">
        <f t="shared" si="14"/>
        <v>0</v>
      </c>
      <c r="U56" s="103"/>
      <c r="V56" s="112">
        <f t="shared" si="3"/>
        <v>0</v>
      </c>
      <c r="W56" s="112">
        <f t="shared" si="4"/>
        <v>0</v>
      </c>
      <c r="X56" s="113">
        <f t="shared" si="5"/>
        <v>0</v>
      </c>
      <c r="Y56" s="113">
        <v>0</v>
      </c>
      <c r="Z56" s="114">
        <v>0</v>
      </c>
      <c r="AA56" s="11">
        <f t="shared" si="6"/>
        <v>0</v>
      </c>
      <c r="AB56" s="115">
        <f t="shared" si="7"/>
        <v>0</v>
      </c>
      <c r="AC56" s="115">
        <f t="shared" si="8"/>
        <v>0</v>
      </c>
      <c r="AD56" s="115" t="e">
        <f t="shared" si="9"/>
        <v>#REF!</v>
      </c>
      <c r="AE56" s="11"/>
      <c r="AF56" s="115">
        <f t="shared" si="10"/>
        <v>0</v>
      </c>
      <c r="AG56" s="115">
        <f t="shared" si="11"/>
        <v>0</v>
      </c>
      <c r="AH56" s="115">
        <f t="shared" si="12"/>
        <v>0</v>
      </c>
      <c r="AJ56" s="11" t="e">
        <f t="shared" si="13"/>
        <v>#REF!</v>
      </c>
    </row>
    <row r="57" spans="1:36">
      <c r="A57" s="116"/>
      <c r="B57" s="116" t="s">
        <v>46</v>
      </c>
      <c r="C57" s="122"/>
      <c r="D57" s="120" t="s">
        <v>111</v>
      </c>
      <c r="E57" s="98"/>
      <c r="F57" s="99" t="e">
        <f>VLOOKUP(D57,#REF!,17,FALSE)</f>
        <v>#REF!</v>
      </c>
      <c r="G57" s="100"/>
      <c r="H57" s="100"/>
      <c r="I57" s="125">
        <v>108057.18</v>
      </c>
      <c r="J57" s="102" t="e">
        <f t="shared" si="0"/>
        <v>#REF!</v>
      </c>
      <c r="K57" s="103"/>
      <c r="L57" s="104"/>
      <c r="M57" s="105"/>
      <c r="N57" s="103">
        <v>0</v>
      </c>
      <c r="O57" s="106"/>
      <c r="P57" s="103">
        <v>0</v>
      </c>
      <c r="Q57" s="107">
        <f t="shared" si="1"/>
        <v>0</v>
      </c>
      <c r="R57" s="108">
        <v>0</v>
      </c>
      <c r="S57" s="119"/>
      <c r="T57" s="110">
        <f t="shared" si="14"/>
        <v>0</v>
      </c>
      <c r="U57" s="103"/>
      <c r="V57" s="112">
        <f t="shared" si="3"/>
        <v>0</v>
      </c>
      <c r="W57" s="112">
        <f t="shared" si="4"/>
        <v>0</v>
      </c>
      <c r="X57" s="113">
        <f t="shared" si="5"/>
        <v>0</v>
      </c>
      <c r="Y57" s="113">
        <v>0</v>
      </c>
      <c r="Z57" s="114">
        <v>0</v>
      </c>
      <c r="AA57" s="11">
        <f t="shared" si="6"/>
        <v>0</v>
      </c>
      <c r="AB57" s="115">
        <f t="shared" si="7"/>
        <v>0</v>
      </c>
      <c r="AC57" s="115" t="e">
        <f t="shared" si="8"/>
        <v>#REF!</v>
      </c>
      <c r="AD57" s="115">
        <f t="shared" si="9"/>
        <v>0</v>
      </c>
      <c r="AE57" s="11"/>
      <c r="AF57" s="115">
        <f t="shared" si="10"/>
        <v>0</v>
      </c>
      <c r="AG57" s="115">
        <f t="shared" si="11"/>
        <v>0</v>
      </c>
      <c r="AH57" s="115">
        <f t="shared" si="12"/>
        <v>0</v>
      </c>
      <c r="AJ57" s="11" t="e">
        <f t="shared" si="13"/>
        <v>#REF!</v>
      </c>
    </row>
    <row r="58" spans="1:36">
      <c r="A58" s="116"/>
      <c r="B58" s="116" t="s">
        <v>46</v>
      </c>
      <c r="C58" s="122"/>
      <c r="D58" s="120" t="s">
        <v>112</v>
      </c>
      <c r="E58" s="98">
        <f>4041.37+4850.26</f>
        <v>8891.630000000001</v>
      </c>
      <c r="F58" s="99" t="e">
        <f>VLOOKUP(D58,#REF!,17,FALSE)</f>
        <v>#REF!</v>
      </c>
      <c r="G58" s="100"/>
      <c r="H58" s="100"/>
      <c r="I58" s="101"/>
      <c r="J58" s="102" t="e">
        <f t="shared" si="0"/>
        <v>#REF!</v>
      </c>
      <c r="K58" s="103"/>
      <c r="L58" s="104"/>
      <c r="M58" s="105">
        <v>5000</v>
      </c>
      <c r="N58" s="103">
        <v>0</v>
      </c>
      <c r="O58" s="106"/>
      <c r="P58" s="103">
        <v>0</v>
      </c>
      <c r="Q58" s="107">
        <f t="shared" si="1"/>
        <v>5000</v>
      </c>
      <c r="R58" s="108">
        <v>0</v>
      </c>
      <c r="S58" s="119"/>
      <c r="T58" s="110">
        <f t="shared" si="14"/>
        <v>-5000</v>
      </c>
      <c r="U58" s="103"/>
      <c r="V58" s="112">
        <f t="shared" si="3"/>
        <v>0</v>
      </c>
      <c r="W58" s="112">
        <f t="shared" si="4"/>
        <v>5000</v>
      </c>
      <c r="X58" s="113">
        <f t="shared" si="5"/>
        <v>0</v>
      </c>
      <c r="Y58" s="113">
        <v>0</v>
      </c>
      <c r="Z58" s="114">
        <v>0</v>
      </c>
      <c r="AA58" s="11">
        <f t="shared" si="6"/>
        <v>0</v>
      </c>
      <c r="AB58" s="115">
        <f t="shared" si="7"/>
        <v>0</v>
      </c>
      <c r="AC58" s="115" t="e">
        <f t="shared" si="8"/>
        <v>#REF!</v>
      </c>
      <c r="AD58" s="115">
        <f t="shared" si="9"/>
        <v>0</v>
      </c>
      <c r="AE58" s="11"/>
      <c r="AF58" s="115">
        <f t="shared" si="10"/>
        <v>0</v>
      </c>
      <c r="AG58" s="115">
        <f t="shared" si="11"/>
        <v>5000</v>
      </c>
      <c r="AH58" s="115">
        <f t="shared" si="12"/>
        <v>0</v>
      </c>
      <c r="AJ58" s="11" t="e">
        <f t="shared" si="13"/>
        <v>#REF!</v>
      </c>
    </row>
    <row r="59" spans="1:36">
      <c r="A59" s="116"/>
      <c r="B59" s="116" t="s">
        <v>81</v>
      </c>
      <c r="C59" s="122"/>
      <c r="D59" s="120" t="s">
        <v>113</v>
      </c>
      <c r="E59" s="98">
        <f>96.19+63.76</f>
        <v>159.94999999999999</v>
      </c>
      <c r="F59" s="99" t="e">
        <f>VLOOKUP(D59,#REF!,17,FALSE)</f>
        <v>#REF!</v>
      </c>
      <c r="G59" s="100"/>
      <c r="H59" s="100"/>
      <c r="I59" s="101"/>
      <c r="J59" s="102" t="e">
        <f t="shared" si="0"/>
        <v>#REF!</v>
      </c>
      <c r="K59" s="103"/>
      <c r="L59" s="104"/>
      <c r="M59" s="105"/>
      <c r="N59" s="103">
        <v>0</v>
      </c>
      <c r="O59" s="106"/>
      <c r="P59" s="103">
        <v>0</v>
      </c>
      <c r="Q59" s="107">
        <f t="shared" si="1"/>
        <v>0</v>
      </c>
      <c r="R59" s="108">
        <v>0</v>
      </c>
      <c r="S59" s="119"/>
      <c r="T59" s="110">
        <f t="shared" si="14"/>
        <v>0</v>
      </c>
      <c r="U59" s="103"/>
      <c r="V59" s="112">
        <f t="shared" si="3"/>
        <v>0</v>
      </c>
      <c r="W59" s="112">
        <f t="shared" si="4"/>
        <v>0</v>
      </c>
      <c r="X59" s="113">
        <f t="shared" si="5"/>
        <v>0</v>
      </c>
      <c r="Y59" s="113">
        <v>0</v>
      </c>
      <c r="Z59" s="114">
        <v>0</v>
      </c>
      <c r="AA59" s="11">
        <f t="shared" si="6"/>
        <v>0</v>
      </c>
      <c r="AB59" s="115">
        <f t="shared" si="7"/>
        <v>0</v>
      </c>
      <c r="AC59" s="115">
        <f t="shared" si="8"/>
        <v>0</v>
      </c>
      <c r="AD59" s="115" t="e">
        <f t="shared" si="9"/>
        <v>#REF!</v>
      </c>
      <c r="AE59" s="11"/>
      <c r="AF59" s="115">
        <f t="shared" si="10"/>
        <v>0</v>
      </c>
      <c r="AG59" s="115">
        <f t="shared" si="11"/>
        <v>0</v>
      </c>
      <c r="AH59" s="115">
        <f t="shared" si="12"/>
        <v>0</v>
      </c>
      <c r="AJ59" s="11" t="e">
        <f t="shared" si="13"/>
        <v>#REF!</v>
      </c>
    </row>
    <row r="60" spans="1:36">
      <c r="A60" s="129"/>
      <c r="B60" s="129" t="s">
        <v>49</v>
      </c>
      <c r="C60" s="96" t="s">
        <v>114</v>
      </c>
      <c r="D60" s="118" t="s">
        <v>115</v>
      </c>
      <c r="E60" s="98"/>
      <c r="F60" s="99" t="e">
        <f>VLOOKUP(D60,#REF!,17,FALSE)</f>
        <v>#REF!</v>
      </c>
      <c r="G60" s="100"/>
      <c r="H60" s="100"/>
      <c r="I60" s="101"/>
      <c r="J60" s="102" t="e">
        <f t="shared" si="0"/>
        <v>#REF!</v>
      </c>
      <c r="K60" s="103"/>
      <c r="L60" s="104"/>
      <c r="M60" s="105">
        <v>120000</v>
      </c>
      <c r="N60" s="103">
        <v>0</v>
      </c>
      <c r="O60" s="106"/>
      <c r="P60" s="103">
        <v>0</v>
      </c>
      <c r="Q60" s="107">
        <f t="shared" si="1"/>
        <v>120000</v>
      </c>
      <c r="R60" s="108">
        <v>164838.96</v>
      </c>
      <c r="S60" s="119"/>
      <c r="T60" s="110">
        <f t="shared" si="14"/>
        <v>44838.959999999992</v>
      </c>
      <c r="U60" s="103"/>
      <c r="V60" s="112">
        <f t="shared" si="3"/>
        <v>120000</v>
      </c>
      <c r="W60" s="112">
        <f t="shared" si="4"/>
        <v>0</v>
      </c>
      <c r="X60" s="113">
        <f t="shared" si="5"/>
        <v>0</v>
      </c>
      <c r="Y60" s="113">
        <v>0</v>
      </c>
      <c r="Z60" s="114">
        <v>0</v>
      </c>
      <c r="AA60" s="11">
        <f t="shared" si="6"/>
        <v>0</v>
      </c>
      <c r="AB60" s="115" t="e">
        <f t="shared" si="7"/>
        <v>#REF!</v>
      </c>
      <c r="AC60" s="115">
        <f t="shared" si="8"/>
        <v>0</v>
      </c>
      <c r="AD60" s="115">
        <f t="shared" si="9"/>
        <v>0</v>
      </c>
      <c r="AE60" s="11"/>
      <c r="AF60" s="115">
        <f t="shared" si="10"/>
        <v>120000</v>
      </c>
      <c r="AG60" s="115">
        <f t="shared" si="11"/>
        <v>0</v>
      </c>
      <c r="AH60" s="115">
        <f t="shared" si="12"/>
        <v>0</v>
      </c>
      <c r="AJ60" s="11" t="e">
        <f t="shared" si="13"/>
        <v>#REF!</v>
      </c>
    </row>
    <row r="61" spans="1:36">
      <c r="A61" s="129"/>
      <c r="B61" s="129" t="s">
        <v>49</v>
      </c>
      <c r="C61" s="96" t="s">
        <v>114</v>
      </c>
      <c r="D61" s="118" t="s">
        <v>407</v>
      </c>
      <c r="E61" s="98"/>
      <c r="F61" s="99" t="e">
        <f>VLOOKUP(D61,#REF!,17,FALSE)</f>
        <v>#REF!</v>
      </c>
      <c r="G61" s="100"/>
      <c r="H61" s="100"/>
      <c r="I61" s="101"/>
      <c r="J61" s="102" t="e">
        <f t="shared" si="0"/>
        <v>#REF!</v>
      </c>
      <c r="K61" s="103"/>
      <c r="L61" s="104"/>
      <c r="M61" s="105"/>
      <c r="N61" s="103">
        <v>0</v>
      </c>
      <c r="O61" s="106"/>
      <c r="P61" s="103">
        <v>0</v>
      </c>
      <c r="Q61" s="107">
        <f t="shared" si="1"/>
        <v>0</v>
      </c>
      <c r="R61" s="108">
        <v>0</v>
      </c>
      <c r="S61" s="119"/>
      <c r="T61" s="110">
        <f t="shared" si="14"/>
        <v>0</v>
      </c>
      <c r="U61" s="103"/>
      <c r="V61" s="112">
        <f t="shared" si="3"/>
        <v>0</v>
      </c>
      <c r="W61" s="112">
        <f t="shared" si="4"/>
        <v>0</v>
      </c>
      <c r="X61" s="113">
        <f t="shared" si="5"/>
        <v>0</v>
      </c>
      <c r="Y61" s="113">
        <v>0</v>
      </c>
      <c r="Z61" s="114">
        <v>0</v>
      </c>
      <c r="AA61" s="11">
        <f t="shared" si="6"/>
        <v>0</v>
      </c>
      <c r="AB61" s="115" t="e">
        <f t="shared" si="7"/>
        <v>#REF!</v>
      </c>
      <c r="AC61" s="115">
        <f t="shared" si="8"/>
        <v>0</v>
      </c>
      <c r="AD61" s="115">
        <f t="shared" si="9"/>
        <v>0</v>
      </c>
      <c r="AE61" s="11"/>
      <c r="AF61" s="115">
        <f t="shared" si="10"/>
        <v>0</v>
      </c>
      <c r="AG61" s="115">
        <f t="shared" si="11"/>
        <v>0</v>
      </c>
      <c r="AH61" s="115">
        <f t="shared" si="12"/>
        <v>0</v>
      </c>
      <c r="AJ61" s="11" t="e">
        <f t="shared" si="13"/>
        <v>#REF!</v>
      </c>
    </row>
    <row r="62" spans="1:36">
      <c r="A62" s="129"/>
      <c r="B62" s="129" t="s">
        <v>49</v>
      </c>
      <c r="C62" s="96" t="s">
        <v>114</v>
      </c>
      <c r="D62" s="118" t="s">
        <v>408</v>
      </c>
      <c r="E62" s="98"/>
      <c r="F62" s="99" t="e">
        <f>VLOOKUP(D62,#REF!,17,FALSE)</f>
        <v>#REF!</v>
      </c>
      <c r="G62" s="100"/>
      <c r="H62" s="100"/>
      <c r="I62" s="101"/>
      <c r="J62" s="102" t="e">
        <f t="shared" si="0"/>
        <v>#REF!</v>
      </c>
      <c r="K62" s="103"/>
      <c r="L62" s="104"/>
      <c r="M62" s="105"/>
      <c r="N62" s="103">
        <v>0</v>
      </c>
      <c r="O62" s="106"/>
      <c r="P62" s="103">
        <v>0</v>
      </c>
      <c r="Q62" s="107">
        <f t="shared" si="1"/>
        <v>0</v>
      </c>
      <c r="R62" s="108">
        <v>0</v>
      </c>
      <c r="S62" s="119"/>
      <c r="T62" s="110">
        <f t="shared" si="14"/>
        <v>0</v>
      </c>
      <c r="U62" s="103"/>
      <c r="V62" s="112">
        <f t="shared" si="3"/>
        <v>0</v>
      </c>
      <c r="W62" s="112">
        <f t="shared" si="4"/>
        <v>0</v>
      </c>
      <c r="X62" s="113">
        <f t="shared" si="5"/>
        <v>0</v>
      </c>
      <c r="Y62" s="113">
        <v>0</v>
      </c>
      <c r="Z62" s="114">
        <v>0</v>
      </c>
      <c r="AA62" s="11">
        <f t="shared" si="6"/>
        <v>0</v>
      </c>
      <c r="AB62" s="115" t="e">
        <f t="shared" si="7"/>
        <v>#REF!</v>
      </c>
      <c r="AC62" s="115">
        <f t="shared" si="8"/>
        <v>0</v>
      </c>
      <c r="AD62" s="115">
        <f t="shared" si="9"/>
        <v>0</v>
      </c>
      <c r="AE62" s="11"/>
      <c r="AF62" s="115">
        <f t="shared" si="10"/>
        <v>0</v>
      </c>
      <c r="AG62" s="115">
        <f t="shared" si="11"/>
        <v>0</v>
      </c>
      <c r="AH62" s="115">
        <f t="shared" si="12"/>
        <v>0</v>
      </c>
      <c r="AJ62" s="11" t="e">
        <f t="shared" si="13"/>
        <v>#REF!</v>
      </c>
    </row>
    <row r="63" spans="1:36">
      <c r="A63" s="129"/>
      <c r="B63" s="129" t="s">
        <v>49</v>
      </c>
      <c r="C63" s="96" t="s">
        <v>114</v>
      </c>
      <c r="D63" s="118" t="s">
        <v>409</v>
      </c>
      <c r="E63" s="98"/>
      <c r="F63" s="99" t="e">
        <f>VLOOKUP(D63,#REF!,17,FALSE)</f>
        <v>#REF!</v>
      </c>
      <c r="G63" s="100"/>
      <c r="H63" s="100"/>
      <c r="I63" s="101"/>
      <c r="J63" s="102" t="e">
        <f t="shared" si="0"/>
        <v>#REF!</v>
      </c>
      <c r="K63" s="103"/>
      <c r="L63" s="104"/>
      <c r="M63" s="105"/>
      <c r="N63" s="103">
        <v>0</v>
      </c>
      <c r="O63" s="106"/>
      <c r="P63" s="103">
        <v>0</v>
      </c>
      <c r="Q63" s="107">
        <f t="shared" si="1"/>
        <v>0</v>
      </c>
      <c r="R63" s="108">
        <v>0</v>
      </c>
      <c r="S63" s="119"/>
      <c r="T63" s="110">
        <f t="shared" si="14"/>
        <v>0</v>
      </c>
      <c r="U63" s="103"/>
      <c r="V63" s="112">
        <f t="shared" si="3"/>
        <v>0</v>
      </c>
      <c r="W63" s="112">
        <f t="shared" si="4"/>
        <v>0</v>
      </c>
      <c r="X63" s="113">
        <f t="shared" si="5"/>
        <v>0</v>
      </c>
      <c r="Y63" s="113">
        <v>0</v>
      </c>
      <c r="Z63" s="114">
        <v>0</v>
      </c>
      <c r="AA63" s="11">
        <f t="shared" si="6"/>
        <v>0</v>
      </c>
      <c r="AB63" s="115" t="e">
        <f t="shared" si="7"/>
        <v>#REF!</v>
      </c>
      <c r="AC63" s="115">
        <f t="shared" si="8"/>
        <v>0</v>
      </c>
      <c r="AD63" s="115">
        <f t="shared" si="9"/>
        <v>0</v>
      </c>
      <c r="AE63" s="11"/>
      <c r="AF63" s="115">
        <f t="shared" si="10"/>
        <v>0</v>
      </c>
      <c r="AG63" s="115">
        <f t="shared" si="11"/>
        <v>0</v>
      </c>
      <c r="AH63" s="115">
        <f t="shared" si="12"/>
        <v>0</v>
      </c>
      <c r="AJ63" s="11" t="e">
        <f t="shared" si="13"/>
        <v>#REF!</v>
      </c>
    </row>
    <row r="64" spans="1:36">
      <c r="A64" s="129"/>
      <c r="B64" s="129" t="s">
        <v>49</v>
      </c>
      <c r="C64" s="96" t="s">
        <v>114</v>
      </c>
      <c r="D64" s="118" t="s">
        <v>410</v>
      </c>
      <c r="E64" s="98"/>
      <c r="F64" s="99" t="e">
        <f>VLOOKUP(D64,#REF!,17,FALSE)</f>
        <v>#REF!</v>
      </c>
      <c r="G64" s="100"/>
      <c r="H64" s="100"/>
      <c r="I64" s="101"/>
      <c r="J64" s="102" t="e">
        <f t="shared" si="0"/>
        <v>#REF!</v>
      </c>
      <c r="K64" s="103"/>
      <c r="L64" s="104"/>
      <c r="M64" s="105"/>
      <c r="N64" s="103">
        <v>0</v>
      </c>
      <c r="O64" s="106"/>
      <c r="P64" s="103">
        <v>0</v>
      </c>
      <c r="Q64" s="107">
        <f t="shared" si="1"/>
        <v>0</v>
      </c>
      <c r="R64" s="108">
        <v>0</v>
      </c>
      <c r="S64" s="119"/>
      <c r="T64" s="110">
        <f t="shared" si="14"/>
        <v>0</v>
      </c>
      <c r="U64" s="103"/>
      <c r="V64" s="112">
        <f t="shared" si="3"/>
        <v>0</v>
      </c>
      <c r="W64" s="112">
        <f t="shared" si="4"/>
        <v>0</v>
      </c>
      <c r="X64" s="113">
        <f t="shared" si="5"/>
        <v>0</v>
      </c>
      <c r="Y64" s="113">
        <v>0</v>
      </c>
      <c r="Z64" s="114">
        <v>0</v>
      </c>
      <c r="AA64" s="11">
        <f t="shared" si="6"/>
        <v>0</v>
      </c>
      <c r="AB64" s="115" t="e">
        <f t="shared" si="7"/>
        <v>#REF!</v>
      </c>
      <c r="AC64" s="115">
        <f t="shared" si="8"/>
        <v>0</v>
      </c>
      <c r="AD64" s="115">
        <f t="shared" si="9"/>
        <v>0</v>
      </c>
      <c r="AE64" s="11"/>
      <c r="AF64" s="115">
        <f t="shared" si="10"/>
        <v>0</v>
      </c>
      <c r="AG64" s="115">
        <f t="shared" si="11"/>
        <v>0</v>
      </c>
      <c r="AH64" s="115">
        <f t="shared" si="12"/>
        <v>0</v>
      </c>
      <c r="AJ64" s="11" t="e">
        <f t="shared" si="13"/>
        <v>#REF!</v>
      </c>
    </row>
    <row r="65" spans="1:36">
      <c r="A65" s="129"/>
      <c r="B65" s="129" t="s">
        <v>49</v>
      </c>
      <c r="C65" s="96" t="s">
        <v>114</v>
      </c>
      <c r="D65" s="118" t="s">
        <v>411</v>
      </c>
      <c r="E65" s="98"/>
      <c r="F65" s="99" t="e">
        <f>VLOOKUP(D65,#REF!,17,FALSE)</f>
        <v>#REF!</v>
      </c>
      <c r="G65" s="100"/>
      <c r="H65" s="100"/>
      <c r="I65" s="101"/>
      <c r="J65" s="102" t="e">
        <f t="shared" si="0"/>
        <v>#REF!</v>
      </c>
      <c r="K65" s="103"/>
      <c r="L65" s="104"/>
      <c r="M65" s="105"/>
      <c r="N65" s="103"/>
      <c r="O65" s="106"/>
      <c r="P65" s="103"/>
      <c r="Q65" s="107">
        <f t="shared" si="1"/>
        <v>0</v>
      </c>
      <c r="R65" s="108">
        <v>0</v>
      </c>
      <c r="S65" s="119"/>
      <c r="T65" s="110">
        <f t="shared" si="14"/>
        <v>0</v>
      </c>
      <c r="U65" s="103"/>
      <c r="V65" s="112">
        <f t="shared" si="3"/>
        <v>0</v>
      </c>
      <c r="W65" s="112">
        <f t="shared" si="4"/>
        <v>0</v>
      </c>
      <c r="X65" s="113">
        <f t="shared" si="5"/>
        <v>0</v>
      </c>
      <c r="Y65" s="113">
        <v>0</v>
      </c>
      <c r="Z65" s="114">
        <v>0</v>
      </c>
      <c r="AA65" s="11">
        <f t="shared" si="6"/>
        <v>0</v>
      </c>
      <c r="AB65" s="115" t="e">
        <f t="shared" si="7"/>
        <v>#REF!</v>
      </c>
      <c r="AC65" s="115">
        <f t="shared" si="8"/>
        <v>0</v>
      </c>
      <c r="AD65" s="115">
        <f t="shared" si="9"/>
        <v>0</v>
      </c>
      <c r="AE65" s="11"/>
      <c r="AF65" s="115">
        <f t="shared" si="10"/>
        <v>0</v>
      </c>
      <c r="AG65" s="115">
        <f t="shared" si="11"/>
        <v>0</v>
      </c>
      <c r="AH65" s="115">
        <f t="shared" si="12"/>
        <v>0</v>
      </c>
      <c r="AJ65" s="11" t="e">
        <f t="shared" si="13"/>
        <v>#REF!</v>
      </c>
    </row>
    <row r="66" spans="1:36">
      <c r="A66" s="129"/>
      <c r="B66" s="129" t="s">
        <v>49</v>
      </c>
      <c r="C66" s="96"/>
      <c r="D66" s="97" t="s">
        <v>412</v>
      </c>
      <c r="E66" s="98"/>
      <c r="F66" s="99" t="e">
        <f>VLOOKUP(D66,#REF!,17,FALSE)</f>
        <v>#REF!</v>
      </c>
      <c r="G66" s="100"/>
      <c r="H66" s="100"/>
      <c r="I66" s="101"/>
      <c r="J66" s="102" t="e">
        <f t="shared" si="0"/>
        <v>#REF!</v>
      </c>
      <c r="K66" s="103"/>
      <c r="L66" s="104"/>
      <c r="M66" s="105"/>
      <c r="N66" s="103"/>
      <c r="O66" s="106"/>
      <c r="P66" s="103"/>
      <c r="Q66" s="107">
        <f t="shared" si="1"/>
        <v>0</v>
      </c>
      <c r="R66" s="108">
        <v>0</v>
      </c>
      <c r="S66" s="119"/>
      <c r="T66" s="110"/>
      <c r="U66" s="103"/>
      <c r="V66" s="112">
        <f t="shared" si="3"/>
        <v>0</v>
      </c>
      <c r="W66" s="112">
        <f t="shared" si="4"/>
        <v>0</v>
      </c>
      <c r="X66" s="113">
        <f t="shared" si="5"/>
        <v>0</v>
      </c>
      <c r="Y66" s="113">
        <v>0</v>
      </c>
      <c r="Z66" s="114">
        <v>0</v>
      </c>
      <c r="AA66" s="11">
        <f t="shared" si="6"/>
        <v>0</v>
      </c>
      <c r="AB66" s="115" t="e">
        <f t="shared" si="7"/>
        <v>#REF!</v>
      </c>
      <c r="AC66" s="115">
        <f t="shared" si="8"/>
        <v>0</v>
      </c>
      <c r="AD66" s="115">
        <f t="shared" si="9"/>
        <v>0</v>
      </c>
      <c r="AE66" s="11"/>
      <c r="AF66" s="115">
        <f t="shared" si="10"/>
        <v>0</v>
      </c>
      <c r="AG66" s="115">
        <f t="shared" si="11"/>
        <v>0</v>
      </c>
      <c r="AH66" s="115">
        <f t="shared" si="12"/>
        <v>0</v>
      </c>
      <c r="AJ66" s="11" t="e">
        <f t="shared" si="13"/>
        <v>#REF!</v>
      </c>
    </row>
    <row r="67" spans="1:36">
      <c r="A67" s="116"/>
      <c r="B67" s="116" t="s">
        <v>49</v>
      </c>
      <c r="C67" s="122" t="s">
        <v>116</v>
      </c>
      <c r="D67" s="120" t="s">
        <v>117</v>
      </c>
      <c r="E67" s="98">
        <v>930.16</v>
      </c>
      <c r="F67" s="99" t="e">
        <f>VLOOKUP(D67,#REF!,17,FALSE)</f>
        <v>#REF!</v>
      </c>
      <c r="G67" s="100"/>
      <c r="H67" s="100"/>
      <c r="I67" s="101"/>
      <c r="J67" s="102" t="e">
        <f t="shared" si="0"/>
        <v>#REF!</v>
      </c>
      <c r="K67" s="103"/>
      <c r="L67" s="104"/>
      <c r="M67" s="105"/>
      <c r="N67" s="103">
        <v>0</v>
      </c>
      <c r="O67" s="106"/>
      <c r="P67" s="103">
        <v>0</v>
      </c>
      <c r="Q67" s="107">
        <f t="shared" si="1"/>
        <v>0</v>
      </c>
      <c r="R67" s="108">
        <v>0</v>
      </c>
      <c r="S67" s="119"/>
      <c r="T67" s="110">
        <f t="shared" ref="T67:T98" si="15">IF(R67="","",R67-Q67)</f>
        <v>0</v>
      </c>
      <c r="U67" s="103"/>
      <c r="V67" s="112">
        <f t="shared" si="3"/>
        <v>0</v>
      </c>
      <c r="W67" s="112">
        <f t="shared" si="4"/>
        <v>0</v>
      </c>
      <c r="X67" s="113">
        <f t="shared" si="5"/>
        <v>0</v>
      </c>
      <c r="Y67" s="113">
        <v>0</v>
      </c>
      <c r="Z67" s="114">
        <v>0</v>
      </c>
      <c r="AA67" s="11">
        <f t="shared" si="6"/>
        <v>0</v>
      </c>
      <c r="AB67" s="115" t="e">
        <f t="shared" si="7"/>
        <v>#REF!</v>
      </c>
      <c r="AC67" s="115">
        <f t="shared" si="8"/>
        <v>0</v>
      </c>
      <c r="AD67" s="115">
        <f t="shared" si="9"/>
        <v>0</v>
      </c>
      <c r="AE67" s="11"/>
      <c r="AF67" s="115">
        <f t="shared" si="10"/>
        <v>0</v>
      </c>
      <c r="AG67" s="115">
        <f t="shared" si="11"/>
        <v>0</v>
      </c>
      <c r="AH67" s="115">
        <f t="shared" si="12"/>
        <v>0</v>
      </c>
      <c r="AJ67" s="11" t="e">
        <f t="shared" si="13"/>
        <v>#REF!</v>
      </c>
    </row>
    <row r="68" spans="1:36">
      <c r="A68" s="129" t="s">
        <v>46</v>
      </c>
      <c r="B68" s="129" t="s">
        <v>49</v>
      </c>
      <c r="C68" s="96"/>
      <c r="D68" s="120" t="s">
        <v>121</v>
      </c>
      <c r="E68" s="98"/>
      <c r="F68" s="99" t="e">
        <f>VLOOKUP(D68,#REF!,17,FALSE)</f>
        <v>#REF!</v>
      </c>
      <c r="G68" s="100"/>
      <c r="H68" s="100"/>
      <c r="I68" s="101"/>
      <c r="J68" s="102" t="e">
        <f t="shared" si="0"/>
        <v>#REF!</v>
      </c>
      <c r="K68" s="103"/>
      <c r="L68" s="104"/>
      <c r="M68" s="105"/>
      <c r="N68" s="103">
        <v>0</v>
      </c>
      <c r="O68" s="106"/>
      <c r="P68" s="103">
        <v>0</v>
      </c>
      <c r="Q68" s="107">
        <f t="shared" si="1"/>
        <v>0</v>
      </c>
      <c r="R68" s="108">
        <v>0</v>
      </c>
      <c r="S68" s="119"/>
      <c r="T68" s="110">
        <f t="shared" si="15"/>
        <v>0</v>
      </c>
      <c r="U68" s="103"/>
      <c r="V68" s="112">
        <f t="shared" si="3"/>
        <v>0</v>
      </c>
      <c r="W68" s="112">
        <f t="shared" si="4"/>
        <v>0</v>
      </c>
      <c r="X68" s="113">
        <f t="shared" si="5"/>
        <v>0</v>
      </c>
      <c r="Y68" s="113">
        <v>0</v>
      </c>
      <c r="Z68" s="114">
        <v>0</v>
      </c>
      <c r="AA68" s="11">
        <f t="shared" si="6"/>
        <v>0</v>
      </c>
      <c r="AB68" s="115" t="e">
        <f t="shared" si="7"/>
        <v>#REF!</v>
      </c>
      <c r="AC68" s="115">
        <f t="shared" si="8"/>
        <v>0</v>
      </c>
      <c r="AD68" s="115">
        <f t="shared" si="9"/>
        <v>0</v>
      </c>
      <c r="AE68" s="11"/>
      <c r="AF68" s="115">
        <f t="shared" si="10"/>
        <v>0</v>
      </c>
      <c r="AG68" s="115">
        <f t="shared" si="11"/>
        <v>0</v>
      </c>
      <c r="AH68" s="115">
        <f t="shared" si="12"/>
        <v>0</v>
      </c>
      <c r="AJ68" s="11" t="e">
        <f t="shared" si="13"/>
        <v>#REF!</v>
      </c>
    </row>
    <row r="69" spans="1:36">
      <c r="A69" s="129"/>
      <c r="B69" s="129" t="s">
        <v>49</v>
      </c>
      <c r="C69" s="96"/>
      <c r="D69" s="120" t="s">
        <v>122</v>
      </c>
      <c r="E69" s="98"/>
      <c r="F69" s="99" t="e">
        <f>VLOOKUP(D69,#REF!,17,FALSE)</f>
        <v>#REF!</v>
      </c>
      <c r="G69" s="100"/>
      <c r="H69" s="100"/>
      <c r="I69" s="101"/>
      <c r="J69" s="102" t="e">
        <f t="shared" si="0"/>
        <v>#REF!</v>
      </c>
      <c r="K69" s="103"/>
      <c r="L69" s="104"/>
      <c r="M69" s="105"/>
      <c r="N69" s="103">
        <v>0</v>
      </c>
      <c r="O69" s="106"/>
      <c r="P69" s="103">
        <v>0</v>
      </c>
      <c r="Q69" s="107">
        <f t="shared" si="1"/>
        <v>0</v>
      </c>
      <c r="R69" s="108">
        <v>0</v>
      </c>
      <c r="S69" s="119"/>
      <c r="T69" s="110">
        <f t="shared" si="15"/>
        <v>0</v>
      </c>
      <c r="U69" s="103"/>
      <c r="V69" s="112">
        <f t="shared" si="3"/>
        <v>0</v>
      </c>
      <c r="W69" s="112">
        <f t="shared" si="4"/>
        <v>0</v>
      </c>
      <c r="X69" s="113">
        <f t="shared" si="5"/>
        <v>0</v>
      </c>
      <c r="Y69" s="113">
        <v>0</v>
      </c>
      <c r="Z69" s="114">
        <v>0</v>
      </c>
      <c r="AA69" s="11">
        <f t="shared" si="6"/>
        <v>0</v>
      </c>
      <c r="AB69" s="115" t="e">
        <f t="shared" si="7"/>
        <v>#REF!</v>
      </c>
      <c r="AC69" s="115">
        <f t="shared" si="8"/>
        <v>0</v>
      </c>
      <c r="AD69" s="115">
        <f t="shared" si="9"/>
        <v>0</v>
      </c>
      <c r="AE69" s="11"/>
      <c r="AF69" s="115">
        <f t="shared" si="10"/>
        <v>0</v>
      </c>
      <c r="AG69" s="115">
        <f t="shared" si="11"/>
        <v>0</v>
      </c>
      <c r="AH69" s="115">
        <f t="shared" si="12"/>
        <v>0</v>
      </c>
      <c r="AJ69" s="11" t="e">
        <f t="shared" si="13"/>
        <v>#REF!</v>
      </c>
    </row>
    <row r="70" spans="1:36">
      <c r="A70" s="129"/>
      <c r="B70" s="129" t="s">
        <v>49</v>
      </c>
      <c r="C70" s="96" t="s">
        <v>413</v>
      </c>
      <c r="D70" s="120" t="s">
        <v>414</v>
      </c>
      <c r="E70" s="98"/>
      <c r="F70" s="99" t="e">
        <f>VLOOKUP(D70,#REF!,17,FALSE)</f>
        <v>#REF!</v>
      </c>
      <c r="G70" s="100"/>
      <c r="H70" s="100"/>
      <c r="I70" s="101"/>
      <c r="J70" s="102" t="e">
        <f t="shared" si="0"/>
        <v>#REF!</v>
      </c>
      <c r="K70" s="103"/>
      <c r="L70" s="104"/>
      <c r="M70" s="105"/>
      <c r="N70" s="103">
        <v>0</v>
      </c>
      <c r="O70" s="106"/>
      <c r="P70" s="103">
        <v>0</v>
      </c>
      <c r="Q70" s="107">
        <f t="shared" si="1"/>
        <v>0</v>
      </c>
      <c r="R70" s="108">
        <v>0</v>
      </c>
      <c r="S70" s="119"/>
      <c r="T70" s="110">
        <f t="shared" si="15"/>
        <v>0</v>
      </c>
      <c r="U70" s="103"/>
      <c r="V70" s="112">
        <f t="shared" si="3"/>
        <v>0</v>
      </c>
      <c r="W70" s="112">
        <f t="shared" si="4"/>
        <v>0</v>
      </c>
      <c r="X70" s="113">
        <f t="shared" si="5"/>
        <v>0</v>
      </c>
      <c r="Y70" s="113">
        <v>0</v>
      </c>
      <c r="Z70" s="114">
        <v>0</v>
      </c>
      <c r="AA70" s="11">
        <f t="shared" si="6"/>
        <v>0</v>
      </c>
      <c r="AB70" s="115" t="e">
        <f t="shared" si="7"/>
        <v>#REF!</v>
      </c>
      <c r="AC70" s="115">
        <f t="shared" si="8"/>
        <v>0</v>
      </c>
      <c r="AD70" s="115">
        <f t="shared" si="9"/>
        <v>0</v>
      </c>
      <c r="AE70" s="11"/>
      <c r="AF70" s="115">
        <f t="shared" si="10"/>
        <v>0</v>
      </c>
      <c r="AG70" s="115">
        <f t="shared" si="11"/>
        <v>0</v>
      </c>
      <c r="AH70" s="115">
        <f t="shared" si="12"/>
        <v>0</v>
      </c>
      <c r="AJ70" s="11" t="e">
        <f t="shared" si="13"/>
        <v>#REF!</v>
      </c>
    </row>
    <row r="71" spans="1:36" s="124" customFormat="1">
      <c r="A71" s="123" t="s">
        <v>60</v>
      </c>
      <c r="B71" s="123" t="s">
        <v>49</v>
      </c>
      <c r="C71" s="122" t="s">
        <v>124</v>
      </c>
      <c r="D71" s="118" t="s">
        <v>125</v>
      </c>
      <c r="E71" s="98"/>
      <c r="F71" s="99" t="e">
        <f>VLOOKUP(D71,#REF!,17,FALSE)</f>
        <v>#REF!</v>
      </c>
      <c r="G71" s="100"/>
      <c r="H71" s="100"/>
      <c r="I71" s="125">
        <v>296216.71999999997</v>
      </c>
      <c r="J71" s="102" t="e">
        <f t="shared" si="0"/>
        <v>#REF!</v>
      </c>
      <c r="K71" s="103"/>
      <c r="L71" s="104"/>
      <c r="M71" s="105"/>
      <c r="N71" s="103">
        <v>0</v>
      </c>
      <c r="O71" s="106"/>
      <c r="P71" s="103">
        <v>0</v>
      </c>
      <c r="Q71" s="107">
        <f t="shared" si="1"/>
        <v>0</v>
      </c>
      <c r="R71" s="108">
        <v>0</v>
      </c>
      <c r="S71" s="119"/>
      <c r="T71" s="110">
        <f t="shared" si="15"/>
        <v>0</v>
      </c>
      <c r="U71" s="103"/>
      <c r="V71" s="112">
        <f t="shared" si="3"/>
        <v>0</v>
      </c>
      <c r="W71" s="112">
        <f t="shared" si="4"/>
        <v>0</v>
      </c>
      <c r="X71" s="113">
        <f t="shared" si="5"/>
        <v>0</v>
      </c>
      <c r="Y71" s="113">
        <v>0</v>
      </c>
      <c r="Z71" s="114">
        <v>0</v>
      </c>
      <c r="AA71" s="11">
        <f t="shared" si="6"/>
        <v>0</v>
      </c>
      <c r="AB71" s="115" t="e">
        <f t="shared" si="7"/>
        <v>#REF!</v>
      </c>
      <c r="AC71" s="115">
        <f t="shared" si="8"/>
        <v>0</v>
      </c>
      <c r="AD71" s="115">
        <f t="shared" si="9"/>
        <v>0</v>
      </c>
      <c r="AE71" s="11"/>
      <c r="AF71" s="115">
        <f t="shared" si="10"/>
        <v>0</v>
      </c>
      <c r="AG71" s="115">
        <f t="shared" si="11"/>
        <v>0</v>
      </c>
      <c r="AH71" s="115">
        <f t="shared" si="12"/>
        <v>0</v>
      </c>
      <c r="AJ71" s="11" t="e">
        <f t="shared" si="13"/>
        <v>#REF!</v>
      </c>
    </row>
    <row r="72" spans="1:36" s="124" customFormat="1">
      <c r="A72" s="123" t="s">
        <v>60</v>
      </c>
      <c r="B72" s="123" t="s">
        <v>49</v>
      </c>
      <c r="C72" s="122" t="s">
        <v>124</v>
      </c>
      <c r="D72" s="118" t="s">
        <v>126</v>
      </c>
      <c r="E72" s="98"/>
      <c r="F72" s="99" t="e">
        <f>VLOOKUP(D72,#REF!,17,FALSE)</f>
        <v>#REF!</v>
      </c>
      <c r="G72" s="100"/>
      <c r="H72" s="100"/>
      <c r="I72" s="125">
        <v>625.89</v>
      </c>
      <c r="J72" s="102" t="e">
        <f t="shared" si="0"/>
        <v>#REF!</v>
      </c>
      <c r="K72" s="103"/>
      <c r="L72" s="104"/>
      <c r="M72" s="105"/>
      <c r="N72" s="103">
        <v>0</v>
      </c>
      <c r="O72" s="106"/>
      <c r="P72" s="103">
        <v>0</v>
      </c>
      <c r="Q72" s="107">
        <f t="shared" si="1"/>
        <v>0</v>
      </c>
      <c r="R72" s="108">
        <v>0</v>
      </c>
      <c r="S72" s="119"/>
      <c r="T72" s="110">
        <f t="shared" si="15"/>
        <v>0</v>
      </c>
      <c r="U72" s="103"/>
      <c r="V72" s="112">
        <f t="shared" si="3"/>
        <v>0</v>
      </c>
      <c r="W72" s="112">
        <f t="shared" si="4"/>
        <v>0</v>
      </c>
      <c r="X72" s="113">
        <f t="shared" si="5"/>
        <v>0</v>
      </c>
      <c r="Y72" s="113">
        <v>0</v>
      </c>
      <c r="Z72" s="114">
        <v>0</v>
      </c>
      <c r="AA72" s="11">
        <f t="shared" si="6"/>
        <v>0</v>
      </c>
      <c r="AB72" s="115" t="e">
        <f t="shared" si="7"/>
        <v>#REF!</v>
      </c>
      <c r="AC72" s="115">
        <f t="shared" si="8"/>
        <v>0</v>
      </c>
      <c r="AD72" s="115">
        <f t="shared" si="9"/>
        <v>0</v>
      </c>
      <c r="AE72" s="11"/>
      <c r="AF72" s="115">
        <f t="shared" si="10"/>
        <v>0</v>
      </c>
      <c r="AG72" s="115">
        <f t="shared" si="11"/>
        <v>0</v>
      </c>
      <c r="AH72" s="115">
        <f t="shared" si="12"/>
        <v>0</v>
      </c>
      <c r="AJ72" s="11" t="e">
        <f t="shared" si="13"/>
        <v>#REF!</v>
      </c>
    </row>
    <row r="73" spans="1:36" s="124" customFormat="1" hidden="1">
      <c r="A73" s="123" t="s">
        <v>60</v>
      </c>
      <c r="B73" s="123" t="s">
        <v>49</v>
      </c>
      <c r="C73" s="122" t="s">
        <v>124</v>
      </c>
      <c r="D73" s="118" t="s">
        <v>127</v>
      </c>
      <c r="E73" s="98"/>
      <c r="F73" s="99" t="e">
        <f>VLOOKUP(D73,#REF!,17,FALSE)</f>
        <v>#REF!</v>
      </c>
      <c r="G73" s="100"/>
      <c r="H73" s="100"/>
      <c r="I73" s="101"/>
      <c r="J73" s="102" t="e">
        <f t="shared" si="0"/>
        <v>#REF!</v>
      </c>
      <c r="K73" s="103"/>
      <c r="L73" s="104"/>
      <c r="M73" s="105"/>
      <c r="N73" s="103">
        <v>0</v>
      </c>
      <c r="O73" s="106"/>
      <c r="P73" s="103">
        <v>0</v>
      </c>
      <c r="Q73" s="107">
        <f t="shared" si="1"/>
        <v>0</v>
      </c>
      <c r="R73" s="108">
        <v>0</v>
      </c>
      <c r="S73" s="119"/>
      <c r="T73" s="110">
        <f t="shared" si="15"/>
        <v>0</v>
      </c>
      <c r="U73" s="103"/>
      <c r="V73" s="112">
        <f t="shared" si="3"/>
        <v>0</v>
      </c>
      <c r="W73" s="112">
        <f t="shared" si="4"/>
        <v>0</v>
      </c>
      <c r="X73" s="113">
        <f t="shared" si="5"/>
        <v>0</v>
      </c>
      <c r="Y73" s="113">
        <v>0</v>
      </c>
      <c r="Z73" s="114">
        <v>0</v>
      </c>
      <c r="AA73" s="11">
        <f t="shared" si="6"/>
        <v>0</v>
      </c>
      <c r="AB73" s="115" t="e">
        <f t="shared" si="7"/>
        <v>#REF!</v>
      </c>
      <c r="AC73" s="115">
        <f t="shared" si="8"/>
        <v>0</v>
      </c>
      <c r="AD73" s="115">
        <f t="shared" si="9"/>
        <v>0</v>
      </c>
      <c r="AE73" s="11"/>
      <c r="AF73" s="115">
        <f t="shared" si="10"/>
        <v>0</v>
      </c>
      <c r="AG73" s="115">
        <f t="shared" si="11"/>
        <v>0</v>
      </c>
      <c r="AH73" s="115">
        <f t="shared" si="12"/>
        <v>0</v>
      </c>
      <c r="AJ73" s="11" t="e">
        <f t="shared" si="13"/>
        <v>#REF!</v>
      </c>
    </row>
    <row r="74" spans="1:36" s="124" customFormat="1" hidden="1">
      <c r="A74" s="123" t="s">
        <v>60</v>
      </c>
      <c r="B74" s="123" t="s">
        <v>49</v>
      </c>
      <c r="C74" s="122" t="s">
        <v>124</v>
      </c>
      <c r="D74" s="118" t="s">
        <v>128</v>
      </c>
      <c r="E74" s="98"/>
      <c r="F74" s="99" t="e">
        <f>VLOOKUP(D74,#REF!,17,FALSE)</f>
        <v>#REF!</v>
      </c>
      <c r="G74" s="100"/>
      <c r="H74" s="100"/>
      <c r="I74" s="101"/>
      <c r="J74" s="102" t="e">
        <f t="shared" si="0"/>
        <v>#REF!</v>
      </c>
      <c r="K74" s="103"/>
      <c r="L74" s="104"/>
      <c r="M74" s="105"/>
      <c r="N74" s="103">
        <v>0</v>
      </c>
      <c r="O74" s="106"/>
      <c r="P74" s="103">
        <v>0</v>
      </c>
      <c r="Q74" s="107">
        <f t="shared" si="1"/>
        <v>0</v>
      </c>
      <c r="R74" s="108">
        <v>0</v>
      </c>
      <c r="S74" s="119"/>
      <c r="T74" s="110">
        <f t="shared" si="15"/>
        <v>0</v>
      </c>
      <c r="U74" s="103"/>
      <c r="V74" s="112">
        <f t="shared" si="3"/>
        <v>0</v>
      </c>
      <c r="W74" s="112">
        <f t="shared" si="4"/>
        <v>0</v>
      </c>
      <c r="X74" s="113">
        <f t="shared" si="5"/>
        <v>0</v>
      </c>
      <c r="Y74" s="113">
        <v>0</v>
      </c>
      <c r="Z74" s="114">
        <v>0</v>
      </c>
      <c r="AA74" s="11">
        <f t="shared" si="6"/>
        <v>0</v>
      </c>
      <c r="AB74" s="115" t="e">
        <f t="shared" si="7"/>
        <v>#REF!</v>
      </c>
      <c r="AC74" s="115">
        <f t="shared" si="8"/>
        <v>0</v>
      </c>
      <c r="AD74" s="115">
        <f t="shared" si="9"/>
        <v>0</v>
      </c>
      <c r="AE74" s="11"/>
      <c r="AF74" s="115">
        <f t="shared" si="10"/>
        <v>0</v>
      </c>
      <c r="AG74" s="115">
        <f t="shared" si="11"/>
        <v>0</v>
      </c>
      <c r="AH74" s="115">
        <f t="shared" si="12"/>
        <v>0</v>
      </c>
      <c r="AJ74" s="11" t="e">
        <f t="shared" si="13"/>
        <v>#REF!</v>
      </c>
    </row>
    <row r="75" spans="1:36" s="124" customFormat="1" hidden="1">
      <c r="A75" s="123" t="s">
        <v>60</v>
      </c>
      <c r="B75" s="123" t="s">
        <v>49</v>
      </c>
      <c r="C75" s="122" t="s">
        <v>124</v>
      </c>
      <c r="D75" s="118" t="s">
        <v>129</v>
      </c>
      <c r="E75" s="98"/>
      <c r="F75" s="99" t="e">
        <f>VLOOKUP(D75,#REF!,17,FALSE)</f>
        <v>#REF!</v>
      </c>
      <c r="G75" s="100"/>
      <c r="H75" s="100"/>
      <c r="I75" s="101"/>
      <c r="J75" s="102" t="e">
        <f t="shared" si="0"/>
        <v>#REF!</v>
      </c>
      <c r="K75" s="103"/>
      <c r="L75" s="104"/>
      <c r="M75" s="105"/>
      <c r="N75" s="103">
        <v>0</v>
      </c>
      <c r="O75" s="106"/>
      <c r="P75" s="103">
        <v>0</v>
      </c>
      <c r="Q75" s="107">
        <f t="shared" si="1"/>
        <v>0</v>
      </c>
      <c r="R75" s="108">
        <v>0</v>
      </c>
      <c r="S75" s="119"/>
      <c r="T75" s="110">
        <f t="shared" si="15"/>
        <v>0</v>
      </c>
      <c r="U75" s="103"/>
      <c r="V75" s="112">
        <f t="shared" si="3"/>
        <v>0</v>
      </c>
      <c r="W75" s="112">
        <f t="shared" si="4"/>
        <v>0</v>
      </c>
      <c r="X75" s="113">
        <f t="shared" si="5"/>
        <v>0</v>
      </c>
      <c r="Y75" s="113">
        <v>0</v>
      </c>
      <c r="Z75" s="114">
        <v>0</v>
      </c>
      <c r="AA75" s="11">
        <f t="shared" si="6"/>
        <v>0</v>
      </c>
      <c r="AB75" s="115" t="e">
        <f t="shared" si="7"/>
        <v>#REF!</v>
      </c>
      <c r="AC75" s="115">
        <f t="shared" si="8"/>
        <v>0</v>
      </c>
      <c r="AD75" s="115">
        <f t="shared" si="9"/>
        <v>0</v>
      </c>
      <c r="AE75" s="11"/>
      <c r="AF75" s="115">
        <f t="shared" si="10"/>
        <v>0</v>
      </c>
      <c r="AG75" s="115">
        <f t="shared" si="11"/>
        <v>0</v>
      </c>
      <c r="AH75" s="115">
        <f t="shared" si="12"/>
        <v>0</v>
      </c>
      <c r="AJ75" s="11" t="e">
        <f t="shared" si="13"/>
        <v>#REF!</v>
      </c>
    </row>
    <row r="76" spans="1:36" s="124" customFormat="1" hidden="1">
      <c r="A76" s="123" t="s">
        <v>60</v>
      </c>
      <c r="B76" s="123" t="s">
        <v>49</v>
      </c>
      <c r="C76" s="122" t="s">
        <v>124</v>
      </c>
      <c r="D76" s="118" t="s">
        <v>130</v>
      </c>
      <c r="E76" s="98"/>
      <c r="F76" s="99" t="e">
        <f>VLOOKUP(D76,#REF!,17,FALSE)</f>
        <v>#REF!</v>
      </c>
      <c r="G76" s="100"/>
      <c r="H76" s="100"/>
      <c r="I76" s="101"/>
      <c r="J76" s="102" t="e">
        <f t="shared" si="0"/>
        <v>#REF!</v>
      </c>
      <c r="K76" s="103"/>
      <c r="L76" s="104"/>
      <c r="M76" s="105"/>
      <c r="N76" s="103">
        <v>0</v>
      </c>
      <c r="O76" s="106"/>
      <c r="P76" s="103">
        <v>0</v>
      </c>
      <c r="Q76" s="107">
        <f t="shared" si="1"/>
        <v>0</v>
      </c>
      <c r="R76" s="108">
        <v>0</v>
      </c>
      <c r="S76" s="119"/>
      <c r="T76" s="110">
        <f t="shared" si="15"/>
        <v>0</v>
      </c>
      <c r="U76" s="103"/>
      <c r="V76" s="112">
        <f t="shared" si="3"/>
        <v>0</v>
      </c>
      <c r="W76" s="112">
        <f t="shared" si="4"/>
        <v>0</v>
      </c>
      <c r="X76" s="113">
        <f t="shared" si="5"/>
        <v>0</v>
      </c>
      <c r="Y76" s="113">
        <v>0</v>
      </c>
      <c r="Z76" s="114">
        <v>0</v>
      </c>
      <c r="AA76" s="11">
        <f t="shared" si="6"/>
        <v>0</v>
      </c>
      <c r="AB76" s="115" t="e">
        <f t="shared" si="7"/>
        <v>#REF!</v>
      </c>
      <c r="AC76" s="115">
        <f t="shared" si="8"/>
        <v>0</v>
      </c>
      <c r="AD76" s="115">
        <f t="shared" si="9"/>
        <v>0</v>
      </c>
      <c r="AE76" s="11"/>
      <c r="AF76" s="115">
        <f t="shared" si="10"/>
        <v>0</v>
      </c>
      <c r="AG76" s="115">
        <f t="shared" si="11"/>
        <v>0</v>
      </c>
      <c r="AH76" s="115">
        <f t="shared" si="12"/>
        <v>0</v>
      </c>
      <c r="AJ76" s="11" t="e">
        <f t="shared" si="13"/>
        <v>#REF!</v>
      </c>
    </row>
    <row r="77" spans="1:36" s="124" customFormat="1">
      <c r="A77" s="123"/>
      <c r="B77" s="123" t="s">
        <v>46</v>
      </c>
      <c r="C77" s="140"/>
      <c r="D77" s="121" t="s">
        <v>131</v>
      </c>
      <c r="E77" s="98"/>
      <c r="F77" s="99" t="e">
        <f>VLOOKUP(D77,#REF!,17,FALSE)</f>
        <v>#REF!</v>
      </c>
      <c r="G77" s="100"/>
      <c r="H77" s="100"/>
      <c r="I77" s="101"/>
      <c r="J77" s="102" t="e">
        <f t="shared" si="0"/>
        <v>#REF!</v>
      </c>
      <c r="K77" s="103"/>
      <c r="L77" s="104"/>
      <c r="M77" s="105"/>
      <c r="N77" s="103">
        <v>0</v>
      </c>
      <c r="O77" s="106"/>
      <c r="P77" s="103">
        <v>0</v>
      </c>
      <c r="Q77" s="107">
        <f t="shared" si="1"/>
        <v>0</v>
      </c>
      <c r="R77" s="108">
        <v>0</v>
      </c>
      <c r="S77" s="119"/>
      <c r="T77" s="110">
        <f t="shared" si="15"/>
        <v>0</v>
      </c>
      <c r="U77" s="103"/>
      <c r="V77" s="112">
        <f t="shared" si="3"/>
        <v>0</v>
      </c>
      <c r="W77" s="112">
        <f t="shared" si="4"/>
        <v>0</v>
      </c>
      <c r="X77" s="113">
        <f t="shared" si="5"/>
        <v>0</v>
      </c>
      <c r="Y77" s="113">
        <v>0</v>
      </c>
      <c r="Z77" s="114">
        <v>0</v>
      </c>
      <c r="AA77" s="11">
        <f t="shared" si="6"/>
        <v>0</v>
      </c>
      <c r="AB77" s="115">
        <f t="shared" si="7"/>
        <v>0</v>
      </c>
      <c r="AC77" s="115" t="e">
        <f t="shared" si="8"/>
        <v>#REF!</v>
      </c>
      <c r="AD77" s="115">
        <f t="shared" si="9"/>
        <v>0</v>
      </c>
      <c r="AE77" s="11"/>
      <c r="AF77" s="115">
        <f t="shared" si="10"/>
        <v>0</v>
      </c>
      <c r="AG77" s="115">
        <f t="shared" si="11"/>
        <v>0</v>
      </c>
      <c r="AH77" s="115">
        <f t="shared" si="12"/>
        <v>0</v>
      </c>
      <c r="AJ77" s="11" t="e">
        <f t="shared" si="13"/>
        <v>#REF!</v>
      </c>
    </row>
    <row r="78" spans="1:36">
      <c r="A78" s="116"/>
      <c r="B78" s="116" t="s">
        <v>49</v>
      </c>
      <c r="C78" s="122"/>
      <c r="D78" s="120" t="s">
        <v>132</v>
      </c>
      <c r="E78" s="98"/>
      <c r="F78" s="99" t="e">
        <f>VLOOKUP(D78,#REF!,17,FALSE)</f>
        <v>#REF!</v>
      </c>
      <c r="G78" s="100"/>
      <c r="H78" s="100"/>
      <c r="I78" s="125">
        <v>8502.92</v>
      </c>
      <c r="J78" s="102" t="e">
        <f t="shared" si="0"/>
        <v>#REF!</v>
      </c>
      <c r="K78" s="103"/>
      <c r="L78" s="104"/>
      <c r="M78" s="105"/>
      <c r="N78" s="103">
        <v>0</v>
      </c>
      <c r="O78" s="106"/>
      <c r="P78" s="103">
        <v>0</v>
      </c>
      <c r="Q78" s="107">
        <f t="shared" si="1"/>
        <v>0</v>
      </c>
      <c r="R78" s="108">
        <v>0</v>
      </c>
      <c r="S78" s="119"/>
      <c r="T78" s="110">
        <f t="shared" si="15"/>
        <v>0</v>
      </c>
      <c r="U78" s="103"/>
      <c r="V78" s="112">
        <f t="shared" si="3"/>
        <v>0</v>
      </c>
      <c r="W78" s="112">
        <f t="shared" si="4"/>
        <v>0</v>
      </c>
      <c r="X78" s="113">
        <f t="shared" si="5"/>
        <v>0</v>
      </c>
      <c r="Y78" s="113">
        <v>0</v>
      </c>
      <c r="Z78" s="114">
        <v>0</v>
      </c>
      <c r="AA78" s="11">
        <f t="shared" si="6"/>
        <v>0</v>
      </c>
      <c r="AB78" s="115" t="e">
        <f t="shared" si="7"/>
        <v>#REF!</v>
      </c>
      <c r="AC78" s="115">
        <f t="shared" si="8"/>
        <v>0</v>
      </c>
      <c r="AD78" s="115">
        <f t="shared" si="9"/>
        <v>0</v>
      </c>
      <c r="AE78" s="11"/>
      <c r="AF78" s="115">
        <f t="shared" si="10"/>
        <v>0</v>
      </c>
      <c r="AG78" s="115">
        <f t="shared" si="11"/>
        <v>0</v>
      </c>
      <c r="AH78" s="115">
        <f t="shared" si="12"/>
        <v>0</v>
      </c>
      <c r="AJ78" s="11" t="e">
        <f t="shared" si="13"/>
        <v>#REF!</v>
      </c>
    </row>
    <row r="79" spans="1:36">
      <c r="A79" s="116"/>
      <c r="B79" s="116" t="s">
        <v>49</v>
      </c>
      <c r="C79" s="122"/>
      <c r="D79" s="120" t="s">
        <v>133</v>
      </c>
      <c r="E79" s="98"/>
      <c r="F79" s="99" t="e">
        <f>VLOOKUP(D79,#REF!,17,FALSE)</f>
        <v>#REF!</v>
      </c>
      <c r="G79" s="100"/>
      <c r="H79" s="100"/>
      <c r="I79" s="125">
        <v>1712.58</v>
      </c>
      <c r="J79" s="102" t="e">
        <f t="shared" si="0"/>
        <v>#REF!</v>
      </c>
      <c r="K79" s="103"/>
      <c r="L79" s="104"/>
      <c r="M79" s="105"/>
      <c r="N79" s="103">
        <v>0</v>
      </c>
      <c r="O79" s="106"/>
      <c r="P79" s="103">
        <v>0</v>
      </c>
      <c r="Q79" s="107">
        <f t="shared" si="1"/>
        <v>0</v>
      </c>
      <c r="R79" s="108">
        <v>0</v>
      </c>
      <c r="S79" s="119"/>
      <c r="T79" s="110">
        <f t="shared" si="15"/>
        <v>0</v>
      </c>
      <c r="U79" s="103"/>
      <c r="V79" s="112">
        <f t="shared" si="3"/>
        <v>0</v>
      </c>
      <c r="W79" s="112">
        <f t="shared" si="4"/>
        <v>0</v>
      </c>
      <c r="X79" s="113">
        <f t="shared" si="5"/>
        <v>0</v>
      </c>
      <c r="Y79" s="113">
        <v>0</v>
      </c>
      <c r="Z79" s="114">
        <v>0</v>
      </c>
      <c r="AA79" s="11">
        <f t="shared" si="6"/>
        <v>0</v>
      </c>
      <c r="AB79" s="115" t="e">
        <f t="shared" si="7"/>
        <v>#REF!</v>
      </c>
      <c r="AC79" s="115">
        <f t="shared" si="8"/>
        <v>0</v>
      </c>
      <c r="AD79" s="115">
        <f t="shared" si="9"/>
        <v>0</v>
      </c>
      <c r="AE79" s="11"/>
      <c r="AF79" s="115">
        <f t="shared" si="10"/>
        <v>0</v>
      </c>
      <c r="AG79" s="115">
        <f t="shared" si="11"/>
        <v>0</v>
      </c>
      <c r="AH79" s="115">
        <f t="shared" si="12"/>
        <v>0</v>
      </c>
      <c r="AJ79" s="11" t="e">
        <f t="shared" si="13"/>
        <v>#REF!</v>
      </c>
    </row>
    <row r="80" spans="1:36">
      <c r="A80" s="116" t="s">
        <v>46</v>
      </c>
      <c r="B80" s="116" t="s">
        <v>46</v>
      </c>
      <c r="C80" s="122" t="s">
        <v>136</v>
      </c>
      <c r="D80" s="120" t="s">
        <v>137</v>
      </c>
      <c r="E80" s="98"/>
      <c r="F80" s="99" t="e">
        <f>VLOOKUP(D80,#REF!,17,FALSE)</f>
        <v>#REF!</v>
      </c>
      <c r="G80" s="100"/>
      <c r="H80" s="100"/>
      <c r="I80" s="101"/>
      <c r="J80" s="102" t="e">
        <f t="shared" ref="J80:J143" si="16">SUM(E80:I80)</f>
        <v>#REF!</v>
      </c>
      <c r="K80" s="103"/>
      <c r="L80" s="104"/>
      <c r="M80" s="105"/>
      <c r="N80" s="103">
        <v>0</v>
      </c>
      <c r="O80" s="106"/>
      <c r="P80" s="103">
        <v>0</v>
      </c>
      <c r="Q80" s="107">
        <f t="shared" ref="Q80:Q143" si="17">L80+M80</f>
        <v>0</v>
      </c>
      <c r="R80" s="108">
        <v>0</v>
      </c>
      <c r="S80" s="119"/>
      <c r="T80" s="110">
        <f t="shared" si="15"/>
        <v>0</v>
      </c>
      <c r="U80" s="103"/>
      <c r="V80" s="112">
        <f t="shared" ref="V80:V143" si="18">IF(B80="D",Q80,0)</f>
        <v>0</v>
      </c>
      <c r="W80" s="112">
        <f t="shared" ref="W80:W143" si="19">IF(B80="M",Q80,0)</f>
        <v>0</v>
      </c>
      <c r="X80" s="113">
        <f t="shared" ref="X80:X143" si="20">IF(B80="V",Q80,0)</f>
        <v>0</v>
      </c>
      <c r="Y80" s="113">
        <v>0</v>
      </c>
      <c r="Z80" s="114">
        <v>0</v>
      </c>
      <c r="AA80" s="11">
        <f t="shared" ref="AA80:AA143" si="21">(L80+M80)-(V80+W80+X80+Y80+Z80)</f>
        <v>0</v>
      </c>
      <c r="AB80" s="115">
        <f t="shared" ref="AB80:AB143" si="22">IF(B80="D",J80,0)</f>
        <v>0</v>
      </c>
      <c r="AC80" s="115" t="e">
        <f t="shared" ref="AC80:AC143" si="23">IF(B80="M",J80,0)</f>
        <v>#REF!</v>
      </c>
      <c r="AD80" s="115">
        <f t="shared" ref="AD80:AD143" si="24">IF(B80="V",J80,0)</f>
        <v>0</v>
      </c>
      <c r="AE80" s="11"/>
      <c r="AF80" s="115">
        <f t="shared" ref="AF80:AF143" si="25">IF(B80="D",Q80,0)</f>
        <v>0</v>
      </c>
      <c r="AG80" s="115">
        <f t="shared" ref="AG80:AG143" si="26">IF(B80="M",Q80,0)</f>
        <v>0</v>
      </c>
      <c r="AH80" s="115">
        <f t="shared" ref="AH80:AH143" si="27">IF(B80="V",Q80,0)</f>
        <v>0</v>
      </c>
      <c r="AJ80" s="11" t="e">
        <f t="shared" si="13"/>
        <v>#REF!</v>
      </c>
    </row>
    <row r="81" spans="1:36">
      <c r="A81" s="116"/>
      <c r="B81" s="116" t="s">
        <v>46</v>
      </c>
      <c r="C81" s="122"/>
      <c r="D81" s="120" t="s">
        <v>138</v>
      </c>
      <c r="E81" s="98"/>
      <c r="F81" s="99" t="e">
        <f>VLOOKUP(D81,#REF!,17,FALSE)</f>
        <v>#REF!</v>
      </c>
      <c r="G81" s="100"/>
      <c r="H81" s="100"/>
      <c r="I81" s="101"/>
      <c r="J81" s="102" t="e">
        <f t="shared" si="16"/>
        <v>#REF!</v>
      </c>
      <c r="K81" s="103"/>
      <c r="L81" s="104"/>
      <c r="M81" s="105"/>
      <c r="N81" s="103">
        <v>0</v>
      </c>
      <c r="O81" s="106"/>
      <c r="P81" s="103">
        <v>0</v>
      </c>
      <c r="Q81" s="107">
        <f t="shared" si="17"/>
        <v>0</v>
      </c>
      <c r="R81" s="108">
        <v>0</v>
      </c>
      <c r="S81" s="119"/>
      <c r="T81" s="110">
        <f t="shared" si="15"/>
        <v>0</v>
      </c>
      <c r="U81" s="103"/>
      <c r="V81" s="112">
        <f t="shared" si="18"/>
        <v>0</v>
      </c>
      <c r="W81" s="112">
        <f t="shared" si="19"/>
        <v>0</v>
      </c>
      <c r="X81" s="113">
        <f t="shared" si="20"/>
        <v>0</v>
      </c>
      <c r="Y81" s="113">
        <v>0</v>
      </c>
      <c r="Z81" s="114">
        <v>0</v>
      </c>
      <c r="AA81" s="11">
        <f t="shared" si="21"/>
        <v>0</v>
      </c>
      <c r="AB81" s="115">
        <f t="shared" si="22"/>
        <v>0</v>
      </c>
      <c r="AC81" s="115" t="e">
        <f t="shared" si="23"/>
        <v>#REF!</v>
      </c>
      <c r="AD81" s="115">
        <f t="shared" si="24"/>
        <v>0</v>
      </c>
      <c r="AE81" s="11"/>
      <c r="AF81" s="115">
        <f t="shared" si="25"/>
        <v>0</v>
      </c>
      <c r="AG81" s="115">
        <f t="shared" si="26"/>
        <v>0</v>
      </c>
      <c r="AH81" s="115">
        <f t="shared" si="27"/>
        <v>0</v>
      </c>
      <c r="AJ81" s="11" t="e">
        <f t="shared" ref="AJ81:AJ144" si="28">SUM(AB81:AH81)</f>
        <v>#REF!</v>
      </c>
    </row>
    <row r="82" spans="1:36">
      <c r="A82" s="116"/>
      <c r="B82" s="116" t="s">
        <v>49</v>
      </c>
      <c r="C82" s="122"/>
      <c r="D82" s="120" t="s">
        <v>139</v>
      </c>
      <c r="E82" s="98"/>
      <c r="F82" s="99" t="e">
        <f>VLOOKUP(D82,#REF!,17,FALSE)</f>
        <v>#REF!</v>
      </c>
      <c r="G82" s="100"/>
      <c r="H82" s="100"/>
      <c r="I82" s="101"/>
      <c r="J82" s="102" t="e">
        <f t="shared" si="16"/>
        <v>#REF!</v>
      </c>
      <c r="K82" s="103"/>
      <c r="L82" s="104"/>
      <c r="M82" s="105">
        <v>100000</v>
      </c>
      <c r="N82" s="103">
        <v>0</v>
      </c>
      <c r="O82" s="106"/>
      <c r="P82" s="103">
        <v>0</v>
      </c>
      <c r="Q82" s="107">
        <f t="shared" si="17"/>
        <v>100000</v>
      </c>
      <c r="R82" s="108">
        <f>100416.75+23695.3+14531</f>
        <v>138643.04999999999</v>
      </c>
      <c r="S82" s="119"/>
      <c r="T82" s="110">
        <f t="shared" si="15"/>
        <v>38643.049999999988</v>
      </c>
      <c r="U82" s="103"/>
      <c r="V82" s="112">
        <f t="shared" si="18"/>
        <v>100000</v>
      </c>
      <c r="W82" s="112">
        <f t="shared" si="19"/>
        <v>0</v>
      </c>
      <c r="X82" s="113">
        <f t="shared" si="20"/>
        <v>0</v>
      </c>
      <c r="Y82" s="113">
        <v>0</v>
      </c>
      <c r="Z82" s="114">
        <v>0</v>
      </c>
      <c r="AA82" s="11">
        <f t="shared" si="21"/>
        <v>0</v>
      </c>
      <c r="AB82" s="115" t="e">
        <f t="shared" si="22"/>
        <v>#REF!</v>
      </c>
      <c r="AC82" s="115">
        <f t="shared" si="23"/>
        <v>0</v>
      </c>
      <c r="AD82" s="115">
        <f t="shared" si="24"/>
        <v>0</v>
      </c>
      <c r="AE82" s="11"/>
      <c r="AF82" s="115">
        <f t="shared" si="25"/>
        <v>100000</v>
      </c>
      <c r="AG82" s="115">
        <f t="shared" si="26"/>
        <v>0</v>
      </c>
      <c r="AH82" s="115">
        <f t="shared" si="27"/>
        <v>0</v>
      </c>
      <c r="AJ82" s="11" t="e">
        <f t="shared" si="28"/>
        <v>#REF!</v>
      </c>
    </row>
    <row r="83" spans="1:36" s="124" customFormat="1">
      <c r="A83" s="123"/>
      <c r="B83" s="123" t="s">
        <v>46</v>
      </c>
      <c r="C83" s="122" t="s">
        <v>140</v>
      </c>
      <c r="D83" s="97" t="s">
        <v>141</v>
      </c>
      <c r="E83" s="98"/>
      <c r="F83" s="99" t="e">
        <f>VLOOKUP(D83,#REF!,17,FALSE)</f>
        <v>#REF!</v>
      </c>
      <c r="G83" s="100"/>
      <c r="H83" s="100"/>
      <c r="I83" s="101"/>
      <c r="J83" s="102" t="e">
        <f t="shared" si="16"/>
        <v>#REF!</v>
      </c>
      <c r="K83" s="103"/>
      <c r="L83" s="104"/>
      <c r="M83" s="105"/>
      <c r="N83" s="103">
        <v>0</v>
      </c>
      <c r="O83" s="106"/>
      <c r="P83" s="103">
        <v>0</v>
      </c>
      <c r="Q83" s="107">
        <f t="shared" si="17"/>
        <v>0</v>
      </c>
      <c r="R83" s="108">
        <v>16913.849999999999</v>
      </c>
      <c r="S83" s="119"/>
      <c r="T83" s="110">
        <f t="shared" si="15"/>
        <v>16913.849999999999</v>
      </c>
      <c r="U83" s="103"/>
      <c r="V83" s="112">
        <f t="shared" si="18"/>
        <v>0</v>
      </c>
      <c r="W83" s="112">
        <f t="shared" si="19"/>
        <v>0</v>
      </c>
      <c r="X83" s="113">
        <f t="shared" si="20"/>
        <v>0</v>
      </c>
      <c r="Y83" s="113">
        <v>0</v>
      </c>
      <c r="Z83" s="114">
        <v>0</v>
      </c>
      <c r="AA83" s="11">
        <f t="shared" si="21"/>
        <v>0</v>
      </c>
      <c r="AB83" s="115">
        <f t="shared" si="22"/>
        <v>0</v>
      </c>
      <c r="AC83" s="115" t="e">
        <f t="shared" si="23"/>
        <v>#REF!</v>
      </c>
      <c r="AD83" s="115">
        <f t="shared" si="24"/>
        <v>0</v>
      </c>
      <c r="AE83" s="11"/>
      <c r="AF83" s="115">
        <f t="shared" si="25"/>
        <v>0</v>
      </c>
      <c r="AG83" s="115">
        <f t="shared" si="26"/>
        <v>0</v>
      </c>
      <c r="AH83" s="115">
        <f t="shared" si="27"/>
        <v>0</v>
      </c>
      <c r="AJ83" s="11" t="e">
        <f t="shared" si="28"/>
        <v>#REF!</v>
      </c>
    </row>
    <row r="84" spans="1:36" s="124" customFormat="1">
      <c r="A84" s="123"/>
      <c r="B84" s="123" t="s">
        <v>46</v>
      </c>
      <c r="C84" s="122" t="s">
        <v>140</v>
      </c>
      <c r="D84" s="97" t="s">
        <v>142</v>
      </c>
      <c r="E84" s="98"/>
      <c r="F84" s="99" t="e">
        <f>VLOOKUP(D84,#REF!,17,FALSE)</f>
        <v>#REF!</v>
      </c>
      <c r="G84" s="100"/>
      <c r="H84" s="100"/>
      <c r="I84" s="101"/>
      <c r="J84" s="102" t="e">
        <f t="shared" si="16"/>
        <v>#REF!</v>
      </c>
      <c r="K84" s="103"/>
      <c r="L84" s="104"/>
      <c r="M84" s="105">
        <v>5000</v>
      </c>
      <c r="N84" s="103">
        <v>0</v>
      </c>
      <c r="O84" s="106"/>
      <c r="P84" s="103">
        <v>0</v>
      </c>
      <c r="Q84" s="107">
        <f t="shared" si="17"/>
        <v>5000</v>
      </c>
      <c r="R84" s="108">
        <v>5053.91</v>
      </c>
      <c r="S84" s="119"/>
      <c r="T84" s="110">
        <f t="shared" si="15"/>
        <v>53.909999999999854</v>
      </c>
      <c r="U84" s="103"/>
      <c r="V84" s="112">
        <f t="shared" si="18"/>
        <v>0</v>
      </c>
      <c r="W84" s="112">
        <f t="shared" si="19"/>
        <v>5000</v>
      </c>
      <c r="X84" s="113">
        <f t="shared" si="20"/>
        <v>0</v>
      </c>
      <c r="Y84" s="113">
        <v>0</v>
      </c>
      <c r="Z84" s="114">
        <v>0</v>
      </c>
      <c r="AA84" s="11">
        <f t="shared" si="21"/>
        <v>0</v>
      </c>
      <c r="AB84" s="115">
        <f t="shared" si="22"/>
        <v>0</v>
      </c>
      <c r="AC84" s="115" t="e">
        <f t="shared" si="23"/>
        <v>#REF!</v>
      </c>
      <c r="AD84" s="115">
        <f t="shared" si="24"/>
        <v>0</v>
      </c>
      <c r="AE84" s="11"/>
      <c r="AF84" s="115">
        <f t="shared" si="25"/>
        <v>0</v>
      </c>
      <c r="AG84" s="115">
        <f t="shared" si="26"/>
        <v>5000</v>
      </c>
      <c r="AH84" s="115">
        <f t="shared" si="27"/>
        <v>0</v>
      </c>
      <c r="AJ84" s="11" t="e">
        <f t="shared" si="28"/>
        <v>#REF!</v>
      </c>
    </row>
    <row r="85" spans="1:36" s="124" customFormat="1">
      <c r="A85" s="123"/>
      <c r="B85" s="123" t="s">
        <v>46</v>
      </c>
      <c r="C85" s="122" t="s">
        <v>140</v>
      </c>
      <c r="D85" s="97" t="s">
        <v>143</v>
      </c>
      <c r="E85" s="98"/>
      <c r="F85" s="99" t="e">
        <f>VLOOKUP(D85,#REF!,17,FALSE)</f>
        <v>#REF!</v>
      </c>
      <c r="G85" s="100"/>
      <c r="H85" s="100"/>
      <c r="I85" s="101"/>
      <c r="J85" s="102" t="e">
        <f t="shared" si="16"/>
        <v>#REF!</v>
      </c>
      <c r="K85" s="103"/>
      <c r="L85" s="104"/>
      <c r="M85" s="105"/>
      <c r="N85" s="103">
        <v>0</v>
      </c>
      <c r="O85" s="106"/>
      <c r="P85" s="103">
        <v>0</v>
      </c>
      <c r="Q85" s="107">
        <f t="shared" si="17"/>
        <v>0</v>
      </c>
      <c r="R85" s="108">
        <v>0</v>
      </c>
      <c r="S85" s="119"/>
      <c r="T85" s="110">
        <f t="shared" si="15"/>
        <v>0</v>
      </c>
      <c r="U85" s="103"/>
      <c r="V85" s="112">
        <f t="shared" si="18"/>
        <v>0</v>
      </c>
      <c r="W85" s="112">
        <f t="shared" si="19"/>
        <v>0</v>
      </c>
      <c r="X85" s="113">
        <f t="shared" si="20"/>
        <v>0</v>
      </c>
      <c r="Y85" s="113">
        <v>0</v>
      </c>
      <c r="Z85" s="114">
        <v>0</v>
      </c>
      <c r="AA85" s="11">
        <f t="shared" si="21"/>
        <v>0</v>
      </c>
      <c r="AB85" s="115">
        <f t="shared" si="22"/>
        <v>0</v>
      </c>
      <c r="AC85" s="115" t="e">
        <f t="shared" si="23"/>
        <v>#REF!</v>
      </c>
      <c r="AD85" s="115">
        <f t="shared" si="24"/>
        <v>0</v>
      </c>
      <c r="AE85" s="11"/>
      <c r="AF85" s="115">
        <f t="shared" si="25"/>
        <v>0</v>
      </c>
      <c r="AG85" s="115">
        <f t="shared" si="26"/>
        <v>0</v>
      </c>
      <c r="AH85" s="115">
        <f t="shared" si="27"/>
        <v>0</v>
      </c>
      <c r="AJ85" s="11" t="e">
        <f t="shared" si="28"/>
        <v>#REF!</v>
      </c>
    </row>
    <row r="86" spans="1:36">
      <c r="A86" s="116"/>
      <c r="B86" s="116" t="s">
        <v>49</v>
      </c>
      <c r="C86" s="122" t="s">
        <v>144</v>
      </c>
      <c r="D86" s="121" t="s">
        <v>145</v>
      </c>
      <c r="E86" s="98"/>
      <c r="F86" s="99" t="e">
        <f>VLOOKUP(D86,#REF!,17,FALSE)</f>
        <v>#REF!</v>
      </c>
      <c r="G86" s="100"/>
      <c r="H86" s="100"/>
      <c r="I86" s="101"/>
      <c r="J86" s="102" t="e">
        <f t="shared" si="16"/>
        <v>#REF!</v>
      </c>
      <c r="K86" s="103"/>
      <c r="L86" s="104"/>
      <c r="M86" s="105"/>
      <c r="N86" s="103">
        <v>0</v>
      </c>
      <c r="O86" s="106"/>
      <c r="P86" s="103">
        <v>0</v>
      </c>
      <c r="Q86" s="107">
        <f t="shared" si="17"/>
        <v>0</v>
      </c>
      <c r="R86" s="108">
        <v>0</v>
      </c>
      <c r="S86" s="119"/>
      <c r="T86" s="110">
        <f t="shared" si="15"/>
        <v>0</v>
      </c>
      <c r="U86" s="103"/>
      <c r="V86" s="112">
        <f t="shared" si="18"/>
        <v>0</v>
      </c>
      <c r="W86" s="112">
        <f t="shared" si="19"/>
        <v>0</v>
      </c>
      <c r="X86" s="113">
        <f t="shared" si="20"/>
        <v>0</v>
      </c>
      <c r="Y86" s="113">
        <v>0</v>
      </c>
      <c r="Z86" s="114">
        <v>0</v>
      </c>
      <c r="AA86" s="11">
        <f t="shared" si="21"/>
        <v>0</v>
      </c>
      <c r="AB86" s="115" t="e">
        <f t="shared" si="22"/>
        <v>#REF!</v>
      </c>
      <c r="AC86" s="115">
        <f t="shared" si="23"/>
        <v>0</v>
      </c>
      <c r="AD86" s="115">
        <f t="shared" si="24"/>
        <v>0</v>
      </c>
      <c r="AE86" s="11"/>
      <c r="AF86" s="115">
        <f t="shared" si="25"/>
        <v>0</v>
      </c>
      <c r="AG86" s="115">
        <f t="shared" si="26"/>
        <v>0</v>
      </c>
      <c r="AH86" s="115">
        <f t="shared" si="27"/>
        <v>0</v>
      </c>
      <c r="AJ86" s="11" t="e">
        <f t="shared" si="28"/>
        <v>#REF!</v>
      </c>
    </row>
    <row r="87" spans="1:36">
      <c r="A87" s="116"/>
      <c r="B87" s="116" t="s">
        <v>49</v>
      </c>
      <c r="C87" s="122" t="s">
        <v>144</v>
      </c>
      <c r="D87" s="121" t="s">
        <v>146</v>
      </c>
      <c r="E87" s="98"/>
      <c r="F87" s="99" t="e">
        <f>VLOOKUP(D87,#REF!,17,FALSE)</f>
        <v>#REF!</v>
      </c>
      <c r="G87" s="100"/>
      <c r="H87" s="100"/>
      <c r="I87" s="101"/>
      <c r="J87" s="102" t="e">
        <f t="shared" si="16"/>
        <v>#REF!</v>
      </c>
      <c r="K87" s="103"/>
      <c r="L87" s="104"/>
      <c r="M87" s="105"/>
      <c r="N87" s="103">
        <v>0</v>
      </c>
      <c r="O87" s="106"/>
      <c r="P87" s="103">
        <v>0</v>
      </c>
      <c r="Q87" s="107">
        <f t="shared" si="17"/>
        <v>0</v>
      </c>
      <c r="R87" s="108">
        <v>0</v>
      </c>
      <c r="S87" s="119"/>
      <c r="T87" s="110">
        <f t="shared" si="15"/>
        <v>0</v>
      </c>
      <c r="U87" s="103"/>
      <c r="V87" s="112">
        <f t="shared" si="18"/>
        <v>0</v>
      </c>
      <c r="W87" s="112">
        <f t="shared" si="19"/>
        <v>0</v>
      </c>
      <c r="X87" s="113">
        <f t="shared" si="20"/>
        <v>0</v>
      </c>
      <c r="Y87" s="113">
        <v>0</v>
      </c>
      <c r="Z87" s="114">
        <v>0</v>
      </c>
      <c r="AA87" s="11">
        <f t="shared" si="21"/>
        <v>0</v>
      </c>
      <c r="AB87" s="115" t="e">
        <f t="shared" si="22"/>
        <v>#REF!</v>
      </c>
      <c r="AC87" s="115">
        <f t="shared" si="23"/>
        <v>0</v>
      </c>
      <c r="AD87" s="115">
        <f t="shared" si="24"/>
        <v>0</v>
      </c>
      <c r="AE87" s="11"/>
      <c r="AF87" s="115">
        <f t="shared" si="25"/>
        <v>0</v>
      </c>
      <c r="AG87" s="115">
        <f t="shared" si="26"/>
        <v>0</v>
      </c>
      <c r="AH87" s="115">
        <f t="shared" si="27"/>
        <v>0</v>
      </c>
      <c r="AJ87" s="11" t="e">
        <f t="shared" si="28"/>
        <v>#REF!</v>
      </c>
    </row>
    <row r="88" spans="1:36">
      <c r="A88" s="116"/>
      <c r="B88" s="116" t="s">
        <v>49</v>
      </c>
      <c r="C88" s="122" t="s">
        <v>147</v>
      </c>
      <c r="D88" s="120" t="s">
        <v>148</v>
      </c>
      <c r="E88" s="98"/>
      <c r="F88" s="99" t="e">
        <f>VLOOKUP(D88,#REF!,17,FALSE)</f>
        <v>#REF!</v>
      </c>
      <c r="G88" s="100"/>
      <c r="H88" s="100"/>
      <c r="I88" s="101"/>
      <c r="J88" s="102" t="e">
        <f t="shared" si="16"/>
        <v>#REF!</v>
      </c>
      <c r="K88" s="103"/>
      <c r="L88" s="104"/>
      <c r="M88" s="105"/>
      <c r="N88" s="103">
        <v>0</v>
      </c>
      <c r="O88" s="106"/>
      <c r="P88" s="103">
        <v>0</v>
      </c>
      <c r="Q88" s="107">
        <f t="shared" si="17"/>
        <v>0</v>
      </c>
      <c r="R88" s="108">
        <v>0</v>
      </c>
      <c r="S88" s="119"/>
      <c r="T88" s="110">
        <f t="shared" si="15"/>
        <v>0</v>
      </c>
      <c r="U88" s="103"/>
      <c r="V88" s="112">
        <f t="shared" si="18"/>
        <v>0</v>
      </c>
      <c r="W88" s="112">
        <f t="shared" si="19"/>
        <v>0</v>
      </c>
      <c r="X88" s="113">
        <f t="shared" si="20"/>
        <v>0</v>
      </c>
      <c r="Y88" s="113">
        <v>0</v>
      </c>
      <c r="Z88" s="114">
        <v>0</v>
      </c>
      <c r="AA88" s="11">
        <f t="shared" si="21"/>
        <v>0</v>
      </c>
      <c r="AB88" s="115" t="e">
        <f t="shared" si="22"/>
        <v>#REF!</v>
      </c>
      <c r="AC88" s="115">
        <f t="shared" si="23"/>
        <v>0</v>
      </c>
      <c r="AD88" s="115">
        <f t="shared" si="24"/>
        <v>0</v>
      </c>
      <c r="AE88" s="11"/>
      <c r="AF88" s="115">
        <f t="shared" si="25"/>
        <v>0</v>
      </c>
      <c r="AG88" s="115">
        <f t="shared" si="26"/>
        <v>0</v>
      </c>
      <c r="AH88" s="115">
        <f t="shared" si="27"/>
        <v>0</v>
      </c>
      <c r="AJ88" s="11" t="e">
        <f t="shared" si="28"/>
        <v>#REF!</v>
      </c>
    </row>
    <row r="89" spans="1:36">
      <c r="A89" s="116"/>
      <c r="B89" s="116" t="s">
        <v>49</v>
      </c>
      <c r="C89" s="122" t="s">
        <v>149</v>
      </c>
      <c r="D89" s="120" t="s">
        <v>150</v>
      </c>
      <c r="E89" s="98"/>
      <c r="F89" s="99" t="e">
        <f>VLOOKUP(D89,#REF!,17,FALSE)</f>
        <v>#REF!</v>
      </c>
      <c r="G89" s="100"/>
      <c r="H89" s="100"/>
      <c r="I89" s="101"/>
      <c r="J89" s="102" t="e">
        <f t="shared" si="16"/>
        <v>#REF!</v>
      </c>
      <c r="K89" s="103"/>
      <c r="L89" s="104"/>
      <c r="M89" s="105"/>
      <c r="N89" s="103">
        <v>0</v>
      </c>
      <c r="O89" s="106"/>
      <c r="P89" s="103">
        <v>0</v>
      </c>
      <c r="Q89" s="107">
        <f t="shared" si="17"/>
        <v>0</v>
      </c>
      <c r="R89" s="108">
        <v>0</v>
      </c>
      <c r="S89" s="119"/>
      <c r="T89" s="110">
        <f t="shared" si="15"/>
        <v>0</v>
      </c>
      <c r="U89" s="103"/>
      <c r="V89" s="112">
        <f t="shared" si="18"/>
        <v>0</v>
      </c>
      <c r="W89" s="112">
        <f t="shared" si="19"/>
        <v>0</v>
      </c>
      <c r="X89" s="113">
        <f t="shared" si="20"/>
        <v>0</v>
      </c>
      <c r="Y89" s="113">
        <v>0</v>
      </c>
      <c r="Z89" s="114">
        <v>0</v>
      </c>
      <c r="AA89" s="11">
        <f t="shared" si="21"/>
        <v>0</v>
      </c>
      <c r="AB89" s="115" t="e">
        <f t="shared" si="22"/>
        <v>#REF!</v>
      </c>
      <c r="AC89" s="115">
        <f t="shared" si="23"/>
        <v>0</v>
      </c>
      <c r="AD89" s="115">
        <f t="shared" si="24"/>
        <v>0</v>
      </c>
      <c r="AE89" s="11"/>
      <c r="AF89" s="115">
        <f t="shared" si="25"/>
        <v>0</v>
      </c>
      <c r="AG89" s="115">
        <f t="shared" si="26"/>
        <v>0</v>
      </c>
      <c r="AH89" s="115">
        <f t="shared" si="27"/>
        <v>0</v>
      </c>
      <c r="AJ89" s="11" t="e">
        <f t="shared" si="28"/>
        <v>#REF!</v>
      </c>
    </row>
    <row r="90" spans="1:36">
      <c r="A90" s="116"/>
      <c r="B90" s="116" t="s">
        <v>49</v>
      </c>
      <c r="C90" s="122" t="s">
        <v>149</v>
      </c>
      <c r="D90" s="120" t="s">
        <v>151</v>
      </c>
      <c r="E90" s="98"/>
      <c r="F90" s="99" t="e">
        <f>VLOOKUP(D90,#REF!,17,FALSE)</f>
        <v>#REF!</v>
      </c>
      <c r="G90" s="100"/>
      <c r="H90" s="100"/>
      <c r="I90" s="101"/>
      <c r="J90" s="102" t="e">
        <f t="shared" si="16"/>
        <v>#REF!</v>
      </c>
      <c r="K90" s="103"/>
      <c r="L90" s="104"/>
      <c r="M90" s="105"/>
      <c r="N90" s="103">
        <v>0</v>
      </c>
      <c r="O90" s="106"/>
      <c r="P90" s="103">
        <v>0</v>
      </c>
      <c r="Q90" s="107">
        <f t="shared" si="17"/>
        <v>0</v>
      </c>
      <c r="R90" s="108">
        <v>0</v>
      </c>
      <c r="S90" s="119"/>
      <c r="T90" s="110">
        <f t="shared" si="15"/>
        <v>0</v>
      </c>
      <c r="U90" s="103"/>
      <c r="V90" s="112">
        <f t="shared" si="18"/>
        <v>0</v>
      </c>
      <c r="W90" s="112">
        <f t="shared" si="19"/>
        <v>0</v>
      </c>
      <c r="X90" s="113">
        <f t="shared" si="20"/>
        <v>0</v>
      </c>
      <c r="Y90" s="113">
        <v>0</v>
      </c>
      <c r="Z90" s="114">
        <v>0</v>
      </c>
      <c r="AA90" s="11">
        <f t="shared" si="21"/>
        <v>0</v>
      </c>
      <c r="AB90" s="115" t="e">
        <f t="shared" si="22"/>
        <v>#REF!</v>
      </c>
      <c r="AC90" s="115">
        <f t="shared" si="23"/>
        <v>0</v>
      </c>
      <c r="AD90" s="115">
        <f t="shared" si="24"/>
        <v>0</v>
      </c>
      <c r="AE90" s="11"/>
      <c r="AF90" s="115">
        <f t="shared" si="25"/>
        <v>0</v>
      </c>
      <c r="AG90" s="115">
        <f t="shared" si="26"/>
        <v>0</v>
      </c>
      <c r="AH90" s="115">
        <f t="shared" si="27"/>
        <v>0</v>
      </c>
      <c r="AJ90" s="11" t="e">
        <f t="shared" si="28"/>
        <v>#REF!</v>
      </c>
    </row>
    <row r="91" spans="1:36">
      <c r="A91" s="116"/>
      <c r="B91" s="116" t="s">
        <v>49</v>
      </c>
      <c r="C91" s="122" t="s">
        <v>149</v>
      </c>
      <c r="D91" s="120" t="s">
        <v>152</v>
      </c>
      <c r="E91" s="98"/>
      <c r="F91" s="99" t="e">
        <f>VLOOKUP(D91,#REF!,17,FALSE)</f>
        <v>#REF!</v>
      </c>
      <c r="G91" s="100"/>
      <c r="H91" s="100"/>
      <c r="I91" s="101"/>
      <c r="J91" s="102" t="e">
        <f t="shared" si="16"/>
        <v>#REF!</v>
      </c>
      <c r="K91" s="103"/>
      <c r="L91" s="104"/>
      <c r="M91" s="105"/>
      <c r="N91" s="103">
        <v>0</v>
      </c>
      <c r="O91" s="106"/>
      <c r="P91" s="103">
        <v>0</v>
      </c>
      <c r="Q91" s="107">
        <f t="shared" si="17"/>
        <v>0</v>
      </c>
      <c r="R91" s="108">
        <v>0</v>
      </c>
      <c r="S91" s="119"/>
      <c r="T91" s="110">
        <f t="shared" si="15"/>
        <v>0</v>
      </c>
      <c r="U91" s="103"/>
      <c r="V91" s="112">
        <f t="shared" si="18"/>
        <v>0</v>
      </c>
      <c r="W91" s="112">
        <f t="shared" si="19"/>
        <v>0</v>
      </c>
      <c r="X91" s="113">
        <f t="shared" si="20"/>
        <v>0</v>
      </c>
      <c r="Y91" s="113">
        <v>0</v>
      </c>
      <c r="Z91" s="114">
        <v>0</v>
      </c>
      <c r="AA91" s="11">
        <f t="shared" si="21"/>
        <v>0</v>
      </c>
      <c r="AB91" s="115" t="e">
        <f t="shared" si="22"/>
        <v>#REF!</v>
      </c>
      <c r="AC91" s="115">
        <f t="shared" si="23"/>
        <v>0</v>
      </c>
      <c r="AD91" s="115">
        <f t="shared" si="24"/>
        <v>0</v>
      </c>
      <c r="AE91" s="11"/>
      <c r="AF91" s="115">
        <f t="shared" si="25"/>
        <v>0</v>
      </c>
      <c r="AG91" s="115">
        <f t="shared" si="26"/>
        <v>0</v>
      </c>
      <c r="AH91" s="115">
        <f t="shared" si="27"/>
        <v>0</v>
      </c>
      <c r="AJ91" s="11" t="e">
        <f t="shared" si="28"/>
        <v>#REF!</v>
      </c>
    </row>
    <row r="92" spans="1:36">
      <c r="A92" s="116" t="s">
        <v>154</v>
      </c>
      <c r="B92" s="116" t="s">
        <v>81</v>
      </c>
      <c r="C92" s="122"/>
      <c r="D92" s="120" t="s">
        <v>155</v>
      </c>
      <c r="E92" s="98"/>
      <c r="F92" s="99" t="e">
        <f>VLOOKUP(D92,#REF!,17,FALSE)</f>
        <v>#REF!</v>
      </c>
      <c r="G92" s="100"/>
      <c r="H92" s="100"/>
      <c r="I92" s="101"/>
      <c r="J92" s="102" t="e">
        <f t="shared" si="16"/>
        <v>#REF!</v>
      </c>
      <c r="K92" s="103"/>
      <c r="L92" s="104"/>
      <c r="M92" s="105">
        <v>10000</v>
      </c>
      <c r="N92" s="103">
        <v>0</v>
      </c>
      <c r="O92" s="106"/>
      <c r="P92" s="103">
        <v>0</v>
      </c>
      <c r="Q92" s="107">
        <f t="shared" si="17"/>
        <v>10000</v>
      </c>
      <c r="R92" s="108">
        <v>13956.02</v>
      </c>
      <c r="S92" s="119"/>
      <c r="T92" s="110">
        <f t="shared" si="15"/>
        <v>3956.0200000000004</v>
      </c>
      <c r="U92" s="103"/>
      <c r="V92" s="112">
        <f t="shared" si="18"/>
        <v>0</v>
      </c>
      <c r="W92" s="112">
        <f t="shared" si="19"/>
        <v>0</v>
      </c>
      <c r="X92" s="113">
        <f t="shared" si="20"/>
        <v>10000</v>
      </c>
      <c r="Y92" s="113">
        <v>0</v>
      </c>
      <c r="Z92" s="114">
        <v>0</v>
      </c>
      <c r="AA92" s="11">
        <f t="shared" si="21"/>
        <v>0</v>
      </c>
      <c r="AB92" s="115">
        <f t="shared" si="22"/>
        <v>0</v>
      </c>
      <c r="AC92" s="115">
        <f t="shared" si="23"/>
        <v>0</v>
      </c>
      <c r="AD92" s="115" t="e">
        <f t="shared" si="24"/>
        <v>#REF!</v>
      </c>
      <c r="AE92" s="11"/>
      <c r="AF92" s="115">
        <f t="shared" si="25"/>
        <v>0</v>
      </c>
      <c r="AG92" s="115">
        <f t="shared" si="26"/>
        <v>0</v>
      </c>
      <c r="AH92" s="115">
        <f t="shared" si="27"/>
        <v>10000</v>
      </c>
      <c r="AJ92" s="11" t="e">
        <f t="shared" si="28"/>
        <v>#REF!</v>
      </c>
    </row>
    <row r="93" spans="1:36">
      <c r="A93" s="116" t="s">
        <v>154</v>
      </c>
      <c r="B93" s="116" t="s">
        <v>81</v>
      </c>
      <c r="C93" s="122"/>
      <c r="D93" s="120" t="s">
        <v>156</v>
      </c>
      <c r="E93" s="98"/>
      <c r="F93" s="99" t="e">
        <f>VLOOKUP(D93,#REF!,17,FALSE)</f>
        <v>#REF!</v>
      </c>
      <c r="G93" s="100"/>
      <c r="H93" s="100"/>
      <c r="I93" s="101"/>
      <c r="J93" s="102" t="e">
        <f t="shared" si="16"/>
        <v>#REF!</v>
      </c>
      <c r="K93" s="103"/>
      <c r="L93" s="104"/>
      <c r="M93" s="105"/>
      <c r="N93" s="103"/>
      <c r="O93" s="106"/>
      <c r="P93" s="103"/>
      <c r="Q93" s="107">
        <f t="shared" si="17"/>
        <v>0</v>
      </c>
      <c r="R93" s="108">
        <v>0</v>
      </c>
      <c r="S93" s="119"/>
      <c r="T93" s="110">
        <f t="shared" si="15"/>
        <v>0</v>
      </c>
      <c r="U93" s="103"/>
      <c r="V93" s="112">
        <f t="shared" si="18"/>
        <v>0</v>
      </c>
      <c r="W93" s="112">
        <f t="shared" si="19"/>
        <v>0</v>
      </c>
      <c r="X93" s="113">
        <f t="shared" si="20"/>
        <v>0</v>
      </c>
      <c r="Y93" s="113">
        <v>0</v>
      </c>
      <c r="Z93" s="114">
        <v>0</v>
      </c>
      <c r="AA93" s="11">
        <f t="shared" si="21"/>
        <v>0</v>
      </c>
      <c r="AB93" s="115">
        <f t="shared" si="22"/>
        <v>0</v>
      </c>
      <c r="AC93" s="115">
        <f t="shared" si="23"/>
        <v>0</v>
      </c>
      <c r="AD93" s="115" t="e">
        <f t="shared" si="24"/>
        <v>#REF!</v>
      </c>
      <c r="AE93" s="11"/>
      <c r="AF93" s="115">
        <f t="shared" si="25"/>
        <v>0</v>
      </c>
      <c r="AG93" s="115">
        <f t="shared" si="26"/>
        <v>0</v>
      </c>
      <c r="AH93" s="115">
        <f t="shared" si="27"/>
        <v>0</v>
      </c>
      <c r="AJ93" s="11" t="e">
        <f t="shared" si="28"/>
        <v>#REF!</v>
      </c>
    </row>
    <row r="94" spans="1:36">
      <c r="A94" s="116" t="s">
        <v>46</v>
      </c>
      <c r="B94" s="116" t="s">
        <v>46</v>
      </c>
      <c r="C94" s="122" t="s">
        <v>157</v>
      </c>
      <c r="D94" s="120" t="s">
        <v>158</v>
      </c>
      <c r="E94" s="98"/>
      <c r="F94" s="99" t="e">
        <f>VLOOKUP(D94,#REF!,17,FALSE)</f>
        <v>#REF!</v>
      </c>
      <c r="G94" s="100"/>
      <c r="H94" s="100"/>
      <c r="I94" s="101"/>
      <c r="J94" s="102" t="e">
        <f t="shared" si="16"/>
        <v>#REF!</v>
      </c>
      <c r="K94" s="103"/>
      <c r="L94" s="104"/>
      <c r="M94" s="105"/>
      <c r="N94" s="103">
        <v>0</v>
      </c>
      <c r="O94" s="106"/>
      <c r="P94" s="103">
        <v>0</v>
      </c>
      <c r="Q94" s="107">
        <f t="shared" si="17"/>
        <v>0</v>
      </c>
      <c r="R94" s="108">
        <v>92.08</v>
      </c>
      <c r="S94" s="119"/>
      <c r="T94" s="110">
        <f t="shared" si="15"/>
        <v>92.08</v>
      </c>
      <c r="U94" s="103"/>
      <c r="V94" s="112">
        <f t="shared" si="18"/>
        <v>0</v>
      </c>
      <c r="W94" s="112">
        <f t="shared" si="19"/>
        <v>0</v>
      </c>
      <c r="X94" s="113">
        <f t="shared" si="20"/>
        <v>0</v>
      </c>
      <c r="Y94" s="113">
        <v>0</v>
      </c>
      <c r="Z94" s="114">
        <v>0</v>
      </c>
      <c r="AA94" s="11">
        <f t="shared" si="21"/>
        <v>0</v>
      </c>
      <c r="AB94" s="115">
        <f t="shared" si="22"/>
        <v>0</v>
      </c>
      <c r="AC94" s="115" t="e">
        <f t="shared" si="23"/>
        <v>#REF!</v>
      </c>
      <c r="AD94" s="115">
        <f t="shared" si="24"/>
        <v>0</v>
      </c>
      <c r="AE94" s="11"/>
      <c r="AF94" s="115">
        <f t="shared" si="25"/>
        <v>0</v>
      </c>
      <c r="AG94" s="115">
        <f t="shared" si="26"/>
        <v>0</v>
      </c>
      <c r="AH94" s="115">
        <f t="shared" si="27"/>
        <v>0</v>
      </c>
      <c r="AJ94" s="11" t="e">
        <f t="shared" si="28"/>
        <v>#REF!</v>
      </c>
    </row>
    <row r="95" spans="1:36">
      <c r="A95" s="129" t="s">
        <v>60</v>
      </c>
      <c r="B95" s="129" t="s">
        <v>46</v>
      </c>
      <c r="C95" s="96" t="s">
        <v>159</v>
      </c>
      <c r="D95" s="120" t="s">
        <v>160</v>
      </c>
      <c r="E95" s="98"/>
      <c r="F95" s="99" t="e">
        <f>VLOOKUP(D95,#REF!,17,FALSE)</f>
        <v>#REF!</v>
      </c>
      <c r="G95" s="100"/>
      <c r="H95" s="100"/>
      <c r="I95" s="101"/>
      <c r="J95" s="102" t="e">
        <f t="shared" si="16"/>
        <v>#REF!</v>
      </c>
      <c r="K95" s="103"/>
      <c r="L95" s="104"/>
      <c r="M95" s="105">
        <v>20000</v>
      </c>
      <c r="N95" s="103">
        <v>0</v>
      </c>
      <c r="O95" s="106"/>
      <c r="P95" s="103">
        <v>0</v>
      </c>
      <c r="Q95" s="107">
        <f t="shared" si="17"/>
        <v>20000</v>
      </c>
      <c r="R95" s="108">
        <v>0</v>
      </c>
      <c r="S95" s="119"/>
      <c r="T95" s="110">
        <f t="shared" si="15"/>
        <v>-20000</v>
      </c>
      <c r="U95" s="103"/>
      <c r="V95" s="112">
        <f t="shared" si="18"/>
        <v>0</v>
      </c>
      <c r="W95" s="112">
        <f t="shared" si="19"/>
        <v>20000</v>
      </c>
      <c r="X95" s="113">
        <f t="shared" si="20"/>
        <v>0</v>
      </c>
      <c r="Y95" s="113">
        <v>0</v>
      </c>
      <c r="Z95" s="114">
        <v>0</v>
      </c>
      <c r="AA95" s="11">
        <f t="shared" si="21"/>
        <v>0</v>
      </c>
      <c r="AB95" s="115">
        <f t="shared" si="22"/>
        <v>0</v>
      </c>
      <c r="AC95" s="115" t="e">
        <f t="shared" si="23"/>
        <v>#REF!</v>
      </c>
      <c r="AD95" s="115">
        <f t="shared" si="24"/>
        <v>0</v>
      </c>
      <c r="AE95" s="11"/>
      <c r="AF95" s="115">
        <f t="shared" si="25"/>
        <v>0</v>
      </c>
      <c r="AG95" s="115">
        <f t="shared" si="26"/>
        <v>20000</v>
      </c>
      <c r="AH95" s="115">
        <f t="shared" si="27"/>
        <v>0</v>
      </c>
      <c r="AJ95" s="11" t="e">
        <f t="shared" si="28"/>
        <v>#REF!</v>
      </c>
    </row>
    <row r="96" spans="1:36">
      <c r="A96" s="129" t="s">
        <v>60</v>
      </c>
      <c r="B96" s="129" t="s">
        <v>49</v>
      </c>
      <c r="C96" s="96"/>
      <c r="D96" s="120" t="s">
        <v>161</v>
      </c>
      <c r="E96" s="98"/>
      <c r="F96" s="99" t="e">
        <f>VLOOKUP(D96,#REF!,17,FALSE)</f>
        <v>#REF!</v>
      </c>
      <c r="G96" s="100"/>
      <c r="H96" s="100"/>
      <c r="I96" s="101"/>
      <c r="J96" s="102" t="e">
        <f t="shared" si="16"/>
        <v>#REF!</v>
      </c>
      <c r="K96" s="103"/>
      <c r="L96" s="104"/>
      <c r="M96" s="105"/>
      <c r="N96" s="103">
        <v>0</v>
      </c>
      <c r="O96" s="106"/>
      <c r="P96" s="103">
        <v>0</v>
      </c>
      <c r="Q96" s="107">
        <f t="shared" si="17"/>
        <v>0</v>
      </c>
      <c r="R96" s="108">
        <v>0</v>
      </c>
      <c r="S96" s="119"/>
      <c r="T96" s="110">
        <f t="shared" si="15"/>
        <v>0</v>
      </c>
      <c r="U96" s="103"/>
      <c r="V96" s="112">
        <f t="shared" si="18"/>
        <v>0</v>
      </c>
      <c r="W96" s="112">
        <f t="shared" si="19"/>
        <v>0</v>
      </c>
      <c r="X96" s="113">
        <f t="shared" si="20"/>
        <v>0</v>
      </c>
      <c r="Y96" s="113">
        <v>0</v>
      </c>
      <c r="Z96" s="114">
        <v>0</v>
      </c>
      <c r="AA96" s="11">
        <f t="shared" si="21"/>
        <v>0</v>
      </c>
      <c r="AB96" s="115" t="e">
        <f t="shared" si="22"/>
        <v>#REF!</v>
      </c>
      <c r="AC96" s="115">
        <f t="shared" si="23"/>
        <v>0</v>
      </c>
      <c r="AD96" s="115">
        <f t="shared" si="24"/>
        <v>0</v>
      </c>
      <c r="AE96" s="11"/>
      <c r="AF96" s="115">
        <f t="shared" si="25"/>
        <v>0</v>
      </c>
      <c r="AG96" s="115">
        <f t="shared" si="26"/>
        <v>0</v>
      </c>
      <c r="AH96" s="115">
        <f t="shared" si="27"/>
        <v>0</v>
      </c>
      <c r="AJ96" s="11" t="e">
        <f t="shared" si="28"/>
        <v>#REF!</v>
      </c>
    </row>
    <row r="97" spans="1:36">
      <c r="A97" s="116" t="s">
        <v>60</v>
      </c>
      <c r="B97" s="116" t="s">
        <v>46</v>
      </c>
      <c r="C97" s="122" t="s">
        <v>162</v>
      </c>
      <c r="D97" s="120" t="s">
        <v>163</v>
      </c>
      <c r="E97" s="98"/>
      <c r="F97" s="99" t="e">
        <f>VLOOKUP(D97,#REF!,17,FALSE)</f>
        <v>#REF!</v>
      </c>
      <c r="G97" s="100"/>
      <c r="H97" s="100"/>
      <c r="I97" s="101"/>
      <c r="J97" s="102" t="e">
        <f t="shared" si="16"/>
        <v>#REF!</v>
      </c>
      <c r="K97" s="103"/>
      <c r="L97" s="104"/>
      <c r="M97" s="105"/>
      <c r="N97" s="103">
        <v>0</v>
      </c>
      <c r="O97" s="106"/>
      <c r="P97" s="103">
        <v>0</v>
      </c>
      <c r="Q97" s="107">
        <f t="shared" si="17"/>
        <v>0</v>
      </c>
      <c r="R97" s="108">
        <v>2354.94</v>
      </c>
      <c r="S97" s="119"/>
      <c r="T97" s="110">
        <f t="shared" si="15"/>
        <v>2354.94</v>
      </c>
      <c r="U97" s="103"/>
      <c r="V97" s="112">
        <f t="shared" si="18"/>
        <v>0</v>
      </c>
      <c r="W97" s="112">
        <f t="shared" si="19"/>
        <v>0</v>
      </c>
      <c r="X97" s="113">
        <f t="shared" si="20"/>
        <v>0</v>
      </c>
      <c r="Y97" s="113">
        <v>0</v>
      </c>
      <c r="Z97" s="114">
        <v>0</v>
      </c>
      <c r="AA97" s="11">
        <f t="shared" si="21"/>
        <v>0</v>
      </c>
      <c r="AB97" s="115">
        <f t="shared" si="22"/>
        <v>0</v>
      </c>
      <c r="AC97" s="115" t="e">
        <f t="shared" si="23"/>
        <v>#REF!</v>
      </c>
      <c r="AD97" s="115">
        <f t="shared" si="24"/>
        <v>0</v>
      </c>
      <c r="AE97" s="11"/>
      <c r="AF97" s="115">
        <f t="shared" si="25"/>
        <v>0</v>
      </c>
      <c r="AG97" s="115">
        <f t="shared" si="26"/>
        <v>0</v>
      </c>
      <c r="AH97" s="115">
        <f t="shared" si="27"/>
        <v>0</v>
      </c>
      <c r="AJ97" s="11" t="e">
        <f t="shared" si="28"/>
        <v>#REF!</v>
      </c>
    </row>
    <row r="98" spans="1:36">
      <c r="A98" s="116" t="s">
        <v>60</v>
      </c>
      <c r="B98" s="116" t="s">
        <v>46</v>
      </c>
      <c r="C98" s="122" t="s">
        <v>162</v>
      </c>
      <c r="D98" s="120" t="s">
        <v>164</v>
      </c>
      <c r="E98" s="98"/>
      <c r="F98" s="99" t="e">
        <f>VLOOKUP(D98,#REF!,17,FALSE)</f>
        <v>#REF!</v>
      </c>
      <c r="G98" s="100"/>
      <c r="H98" s="100"/>
      <c r="I98" s="101"/>
      <c r="J98" s="102" t="e">
        <f t="shared" si="16"/>
        <v>#REF!</v>
      </c>
      <c r="K98" s="103"/>
      <c r="L98" s="104"/>
      <c r="M98" s="105"/>
      <c r="N98" s="103">
        <v>0</v>
      </c>
      <c r="O98" s="106"/>
      <c r="P98" s="103">
        <v>0</v>
      </c>
      <c r="Q98" s="107">
        <f t="shared" si="17"/>
        <v>0</v>
      </c>
      <c r="R98" s="108">
        <v>97.56</v>
      </c>
      <c r="S98" s="119"/>
      <c r="T98" s="110">
        <f t="shared" si="15"/>
        <v>97.56</v>
      </c>
      <c r="U98" s="103"/>
      <c r="V98" s="112">
        <f t="shared" si="18"/>
        <v>0</v>
      </c>
      <c r="W98" s="112">
        <f t="shared" si="19"/>
        <v>0</v>
      </c>
      <c r="X98" s="113">
        <f t="shared" si="20"/>
        <v>0</v>
      </c>
      <c r="Y98" s="113">
        <v>0</v>
      </c>
      <c r="Z98" s="114">
        <v>0</v>
      </c>
      <c r="AA98" s="11">
        <f t="shared" si="21"/>
        <v>0</v>
      </c>
      <c r="AB98" s="115">
        <f t="shared" si="22"/>
        <v>0</v>
      </c>
      <c r="AC98" s="115" t="e">
        <f t="shared" si="23"/>
        <v>#REF!</v>
      </c>
      <c r="AD98" s="115">
        <f t="shared" si="24"/>
        <v>0</v>
      </c>
      <c r="AE98" s="11"/>
      <c r="AF98" s="115">
        <f t="shared" si="25"/>
        <v>0</v>
      </c>
      <c r="AG98" s="115">
        <f t="shared" si="26"/>
        <v>0</v>
      </c>
      <c r="AH98" s="115">
        <f t="shared" si="27"/>
        <v>0</v>
      </c>
      <c r="AJ98" s="11" t="e">
        <f t="shared" si="28"/>
        <v>#REF!</v>
      </c>
    </row>
    <row r="99" spans="1:36">
      <c r="A99" s="116" t="s">
        <v>46</v>
      </c>
      <c r="B99" s="116" t="s">
        <v>46</v>
      </c>
      <c r="C99" s="122"/>
      <c r="D99" s="120" t="s">
        <v>166</v>
      </c>
      <c r="E99" s="98"/>
      <c r="F99" s="99" t="e">
        <f>VLOOKUP(D99,#REF!,17,FALSE)</f>
        <v>#REF!</v>
      </c>
      <c r="G99" s="100"/>
      <c r="H99" s="100"/>
      <c r="I99" s="101"/>
      <c r="J99" s="102" t="e">
        <f t="shared" si="16"/>
        <v>#REF!</v>
      </c>
      <c r="K99" s="103"/>
      <c r="L99" s="104"/>
      <c r="M99" s="105"/>
      <c r="N99" s="103">
        <v>0</v>
      </c>
      <c r="O99" s="106"/>
      <c r="P99" s="103">
        <v>0</v>
      </c>
      <c r="Q99" s="107">
        <f t="shared" si="17"/>
        <v>0</v>
      </c>
      <c r="R99" s="108">
        <v>0</v>
      </c>
      <c r="S99" s="119"/>
      <c r="T99" s="110">
        <f t="shared" ref="T99:T130" si="29">IF(R99="","",R99-Q99)</f>
        <v>0</v>
      </c>
      <c r="U99" s="103"/>
      <c r="V99" s="112">
        <f t="shared" si="18"/>
        <v>0</v>
      </c>
      <c r="W99" s="112">
        <f t="shared" si="19"/>
        <v>0</v>
      </c>
      <c r="X99" s="113">
        <f t="shared" si="20"/>
        <v>0</v>
      </c>
      <c r="Y99" s="113">
        <v>0</v>
      </c>
      <c r="Z99" s="114">
        <v>0</v>
      </c>
      <c r="AA99" s="11">
        <f t="shared" si="21"/>
        <v>0</v>
      </c>
      <c r="AB99" s="115">
        <f t="shared" si="22"/>
        <v>0</v>
      </c>
      <c r="AC99" s="115" t="e">
        <f t="shared" si="23"/>
        <v>#REF!</v>
      </c>
      <c r="AD99" s="115">
        <f t="shared" si="24"/>
        <v>0</v>
      </c>
      <c r="AE99" s="11"/>
      <c r="AF99" s="115">
        <f t="shared" si="25"/>
        <v>0</v>
      </c>
      <c r="AG99" s="115">
        <f t="shared" si="26"/>
        <v>0</v>
      </c>
      <c r="AH99" s="115">
        <f t="shared" si="27"/>
        <v>0</v>
      </c>
      <c r="AJ99" s="11" t="e">
        <f t="shared" si="28"/>
        <v>#REF!</v>
      </c>
    </row>
    <row r="100" spans="1:36">
      <c r="A100" s="129"/>
      <c r="B100" s="129" t="s">
        <v>49</v>
      </c>
      <c r="C100" s="96"/>
      <c r="D100" s="120" t="s">
        <v>167</v>
      </c>
      <c r="E100" s="98"/>
      <c r="F100" s="99" t="e">
        <f>VLOOKUP(D100,#REF!,17,FALSE)</f>
        <v>#REF!</v>
      </c>
      <c r="G100" s="100"/>
      <c r="H100" s="100"/>
      <c r="I100" s="101"/>
      <c r="J100" s="102" t="e">
        <f t="shared" si="16"/>
        <v>#REF!</v>
      </c>
      <c r="K100" s="103"/>
      <c r="L100" s="104"/>
      <c r="M100" s="105"/>
      <c r="N100" s="103">
        <v>0</v>
      </c>
      <c r="O100" s="106"/>
      <c r="P100" s="103">
        <v>0</v>
      </c>
      <c r="Q100" s="107">
        <f t="shared" si="17"/>
        <v>0</v>
      </c>
      <c r="R100" s="108">
        <v>0</v>
      </c>
      <c r="S100" s="119"/>
      <c r="T100" s="110">
        <f t="shared" si="29"/>
        <v>0</v>
      </c>
      <c r="U100" s="103"/>
      <c r="V100" s="112">
        <f t="shared" si="18"/>
        <v>0</v>
      </c>
      <c r="W100" s="112">
        <f t="shared" si="19"/>
        <v>0</v>
      </c>
      <c r="X100" s="113">
        <f t="shared" si="20"/>
        <v>0</v>
      </c>
      <c r="Y100" s="113">
        <v>0</v>
      </c>
      <c r="Z100" s="114">
        <v>0</v>
      </c>
      <c r="AA100" s="11">
        <f t="shared" si="21"/>
        <v>0</v>
      </c>
      <c r="AB100" s="115" t="e">
        <f t="shared" si="22"/>
        <v>#REF!</v>
      </c>
      <c r="AC100" s="115">
        <f t="shared" si="23"/>
        <v>0</v>
      </c>
      <c r="AD100" s="115">
        <f t="shared" si="24"/>
        <v>0</v>
      </c>
      <c r="AE100" s="11"/>
      <c r="AF100" s="115">
        <f t="shared" si="25"/>
        <v>0</v>
      </c>
      <c r="AG100" s="115">
        <f t="shared" si="26"/>
        <v>0</v>
      </c>
      <c r="AH100" s="115">
        <f t="shared" si="27"/>
        <v>0</v>
      </c>
      <c r="AJ100" s="11" t="e">
        <f t="shared" si="28"/>
        <v>#REF!</v>
      </c>
    </row>
    <row r="101" spans="1:36">
      <c r="A101" s="129"/>
      <c r="B101" s="129" t="s">
        <v>49</v>
      </c>
      <c r="C101" s="96" t="s">
        <v>170</v>
      </c>
      <c r="D101" s="120" t="s">
        <v>169</v>
      </c>
      <c r="E101" s="98"/>
      <c r="F101" s="99" t="e">
        <f>VLOOKUP(D101,#REF!,17,FALSE)</f>
        <v>#REF!</v>
      </c>
      <c r="G101" s="100"/>
      <c r="H101" s="100"/>
      <c r="I101" s="101"/>
      <c r="J101" s="102" t="e">
        <f t="shared" si="16"/>
        <v>#REF!</v>
      </c>
      <c r="K101" s="103"/>
      <c r="L101" s="104"/>
      <c r="M101" s="105"/>
      <c r="N101" s="103">
        <v>0</v>
      </c>
      <c r="O101" s="106"/>
      <c r="P101" s="103">
        <v>0</v>
      </c>
      <c r="Q101" s="107">
        <f t="shared" si="17"/>
        <v>0</v>
      </c>
      <c r="R101" s="108">
        <v>0</v>
      </c>
      <c r="S101" s="119"/>
      <c r="T101" s="110">
        <f t="shared" si="29"/>
        <v>0</v>
      </c>
      <c r="U101" s="103"/>
      <c r="V101" s="112">
        <f t="shared" si="18"/>
        <v>0</v>
      </c>
      <c r="W101" s="112">
        <f t="shared" si="19"/>
        <v>0</v>
      </c>
      <c r="X101" s="113">
        <f t="shared" si="20"/>
        <v>0</v>
      </c>
      <c r="Y101" s="113">
        <v>0</v>
      </c>
      <c r="Z101" s="114">
        <v>0</v>
      </c>
      <c r="AA101" s="11">
        <f t="shared" si="21"/>
        <v>0</v>
      </c>
      <c r="AB101" s="115" t="e">
        <f t="shared" si="22"/>
        <v>#REF!</v>
      </c>
      <c r="AC101" s="115">
        <f t="shared" si="23"/>
        <v>0</v>
      </c>
      <c r="AD101" s="115">
        <f t="shared" si="24"/>
        <v>0</v>
      </c>
      <c r="AE101" s="11"/>
      <c r="AF101" s="115">
        <f t="shared" si="25"/>
        <v>0</v>
      </c>
      <c r="AG101" s="115">
        <f t="shared" si="26"/>
        <v>0</v>
      </c>
      <c r="AH101" s="115">
        <f t="shared" si="27"/>
        <v>0</v>
      </c>
      <c r="AJ101" s="11" t="e">
        <f t="shared" si="28"/>
        <v>#REF!</v>
      </c>
    </row>
    <row r="102" spans="1:36">
      <c r="A102" s="129"/>
      <c r="B102" s="129" t="s">
        <v>49</v>
      </c>
      <c r="C102" s="96" t="s">
        <v>170</v>
      </c>
      <c r="D102" s="120" t="s">
        <v>171</v>
      </c>
      <c r="E102" s="98"/>
      <c r="F102" s="99" t="e">
        <f>VLOOKUP(D102,#REF!,17,FALSE)</f>
        <v>#REF!</v>
      </c>
      <c r="G102" s="100"/>
      <c r="H102" s="100"/>
      <c r="I102" s="101"/>
      <c r="J102" s="102" t="e">
        <f t="shared" si="16"/>
        <v>#REF!</v>
      </c>
      <c r="K102" s="103"/>
      <c r="L102" s="104"/>
      <c r="M102" s="105"/>
      <c r="N102" s="103">
        <v>0</v>
      </c>
      <c r="O102" s="106"/>
      <c r="P102" s="103">
        <v>0</v>
      </c>
      <c r="Q102" s="107">
        <f t="shared" si="17"/>
        <v>0</v>
      </c>
      <c r="R102" s="108">
        <v>0</v>
      </c>
      <c r="S102" s="119"/>
      <c r="T102" s="110">
        <f t="shared" si="29"/>
        <v>0</v>
      </c>
      <c r="U102" s="103"/>
      <c r="V102" s="112">
        <f t="shared" si="18"/>
        <v>0</v>
      </c>
      <c r="W102" s="112">
        <f t="shared" si="19"/>
        <v>0</v>
      </c>
      <c r="X102" s="113">
        <f t="shared" si="20"/>
        <v>0</v>
      </c>
      <c r="Y102" s="113">
        <v>0</v>
      </c>
      <c r="Z102" s="114">
        <v>0</v>
      </c>
      <c r="AA102" s="11">
        <f t="shared" si="21"/>
        <v>0</v>
      </c>
      <c r="AB102" s="115" t="e">
        <f t="shared" si="22"/>
        <v>#REF!</v>
      </c>
      <c r="AC102" s="115">
        <f t="shared" si="23"/>
        <v>0</v>
      </c>
      <c r="AD102" s="115">
        <f t="shared" si="24"/>
        <v>0</v>
      </c>
      <c r="AE102" s="11"/>
      <c r="AF102" s="115">
        <f t="shared" si="25"/>
        <v>0</v>
      </c>
      <c r="AG102" s="115">
        <f t="shared" si="26"/>
        <v>0</v>
      </c>
      <c r="AH102" s="115">
        <f t="shared" si="27"/>
        <v>0</v>
      </c>
      <c r="AJ102" s="11" t="e">
        <f t="shared" si="28"/>
        <v>#REF!</v>
      </c>
    </row>
    <row r="103" spans="1:36">
      <c r="A103" s="116" t="s">
        <v>60</v>
      </c>
      <c r="B103" s="116" t="s">
        <v>49</v>
      </c>
      <c r="C103" s="122"/>
      <c r="D103" s="97" t="s">
        <v>173</v>
      </c>
      <c r="E103" s="98"/>
      <c r="F103" s="99" t="e">
        <f>VLOOKUP(D103,#REF!,17,FALSE)</f>
        <v>#REF!</v>
      </c>
      <c r="G103" s="100"/>
      <c r="H103" s="100"/>
      <c r="I103" s="125">
        <v>1238.92</v>
      </c>
      <c r="J103" s="102" t="e">
        <f t="shared" si="16"/>
        <v>#REF!</v>
      </c>
      <c r="K103" s="103"/>
      <c r="L103" s="104"/>
      <c r="M103" s="105"/>
      <c r="N103" s="103">
        <v>0</v>
      </c>
      <c r="O103" s="106"/>
      <c r="P103" s="103">
        <v>0</v>
      </c>
      <c r="Q103" s="107">
        <f t="shared" si="17"/>
        <v>0</v>
      </c>
      <c r="R103" s="108">
        <v>0</v>
      </c>
      <c r="S103" s="119"/>
      <c r="T103" s="110">
        <f t="shared" si="29"/>
        <v>0</v>
      </c>
      <c r="U103" s="103"/>
      <c r="V103" s="112">
        <f t="shared" si="18"/>
        <v>0</v>
      </c>
      <c r="W103" s="112">
        <f t="shared" si="19"/>
        <v>0</v>
      </c>
      <c r="X103" s="113">
        <f t="shared" si="20"/>
        <v>0</v>
      </c>
      <c r="Y103" s="113">
        <v>0</v>
      </c>
      <c r="Z103" s="114">
        <v>0</v>
      </c>
      <c r="AA103" s="11">
        <f t="shared" si="21"/>
        <v>0</v>
      </c>
      <c r="AB103" s="115" t="e">
        <f t="shared" si="22"/>
        <v>#REF!</v>
      </c>
      <c r="AC103" s="115">
        <f t="shared" si="23"/>
        <v>0</v>
      </c>
      <c r="AD103" s="115">
        <f t="shared" si="24"/>
        <v>0</v>
      </c>
      <c r="AE103" s="11"/>
      <c r="AF103" s="115">
        <f t="shared" si="25"/>
        <v>0</v>
      </c>
      <c r="AG103" s="115">
        <f t="shared" si="26"/>
        <v>0</v>
      </c>
      <c r="AH103" s="115">
        <f t="shared" si="27"/>
        <v>0</v>
      </c>
      <c r="AJ103" s="11" t="e">
        <f t="shared" si="28"/>
        <v>#REF!</v>
      </c>
    </row>
    <row r="104" spans="1:36">
      <c r="A104" s="116"/>
      <c r="B104" s="116" t="s">
        <v>49</v>
      </c>
      <c r="C104" s="122"/>
      <c r="D104" s="97" t="s">
        <v>174</v>
      </c>
      <c r="E104" s="98"/>
      <c r="F104" s="99" t="e">
        <f>VLOOKUP(D104,#REF!,17,FALSE)</f>
        <v>#REF!</v>
      </c>
      <c r="G104" s="100"/>
      <c r="H104" s="100"/>
      <c r="I104" s="101"/>
      <c r="J104" s="102" t="e">
        <f t="shared" si="16"/>
        <v>#REF!</v>
      </c>
      <c r="K104" s="103"/>
      <c r="L104" s="104"/>
      <c r="M104" s="105"/>
      <c r="N104" s="103">
        <v>0</v>
      </c>
      <c r="O104" s="106"/>
      <c r="P104" s="103">
        <v>0</v>
      </c>
      <c r="Q104" s="107">
        <f t="shared" si="17"/>
        <v>0</v>
      </c>
      <c r="R104" s="108">
        <v>0</v>
      </c>
      <c r="S104" s="119"/>
      <c r="T104" s="110">
        <f t="shared" si="29"/>
        <v>0</v>
      </c>
      <c r="U104" s="103"/>
      <c r="V104" s="112">
        <f t="shared" si="18"/>
        <v>0</v>
      </c>
      <c r="W104" s="112">
        <f t="shared" si="19"/>
        <v>0</v>
      </c>
      <c r="X104" s="113">
        <f t="shared" si="20"/>
        <v>0</v>
      </c>
      <c r="Y104" s="113">
        <v>0</v>
      </c>
      <c r="Z104" s="114">
        <v>0</v>
      </c>
      <c r="AA104" s="11">
        <f t="shared" si="21"/>
        <v>0</v>
      </c>
      <c r="AB104" s="115" t="e">
        <f t="shared" si="22"/>
        <v>#REF!</v>
      </c>
      <c r="AC104" s="115">
        <f t="shared" si="23"/>
        <v>0</v>
      </c>
      <c r="AD104" s="115">
        <f t="shared" si="24"/>
        <v>0</v>
      </c>
      <c r="AE104" s="11"/>
      <c r="AF104" s="115">
        <f t="shared" si="25"/>
        <v>0</v>
      </c>
      <c r="AG104" s="115">
        <f t="shared" si="26"/>
        <v>0</v>
      </c>
      <c r="AH104" s="115">
        <f t="shared" si="27"/>
        <v>0</v>
      </c>
      <c r="AJ104" s="11" t="e">
        <f t="shared" si="28"/>
        <v>#REF!</v>
      </c>
    </row>
    <row r="105" spans="1:36" s="124" customFormat="1">
      <c r="A105" s="123"/>
      <c r="B105" s="123" t="s">
        <v>49</v>
      </c>
      <c r="C105" s="122"/>
      <c r="D105" s="118" t="s">
        <v>416</v>
      </c>
      <c r="E105" s="98"/>
      <c r="F105" s="99" t="e">
        <f>VLOOKUP(D105,#REF!,17,FALSE)</f>
        <v>#REF!</v>
      </c>
      <c r="G105" s="100"/>
      <c r="H105" s="100"/>
      <c r="I105" s="125">
        <v>2724939.41</v>
      </c>
      <c r="J105" s="102" t="e">
        <f t="shared" si="16"/>
        <v>#REF!</v>
      </c>
      <c r="K105" s="103"/>
      <c r="L105" s="104"/>
      <c r="M105" s="105"/>
      <c r="N105" s="103">
        <v>0</v>
      </c>
      <c r="O105" s="106"/>
      <c r="P105" s="103">
        <v>0</v>
      </c>
      <c r="Q105" s="107">
        <f t="shared" si="17"/>
        <v>0</v>
      </c>
      <c r="R105" s="108">
        <v>0</v>
      </c>
      <c r="S105" s="119"/>
      <c r="T105" s="110">
        <f t="shared" si="29"/>
        <v>0</v>
      </c>
      <c r="U105" s="103"/>
      <c r="V105" s="112">
        <f t="shared" si="18"/>
        <v>0</v>
      </c>
      <c r="W105" s="112">
        <f t="shared" si="19"/>
        <v>0</v>
      </c>
      <c r="X105" s="113">
        <f t="shared" si="20"/>
        <v>0</v>
      </c>
      <c r="Y105" s="113">
        <v>0</v>
      </c>
      <c r="Z105" s="114">
        <v>0</v>
      </c>
      <c r="AA105" s="11">
        <f t="shared" si="21"/>
        <v>0</v>
      </c>
      <c r="AB105" s="115" t="e">
        <f t="shared" si="22"/>
        <v>#REF!</v>
      </c>
      <c r="AC105" s="115">
        <f t="shared" si="23"/>
        <v>0</v>
      </c>
      <c r="AD105" s="115">
        <f t="shared" si="24"/>
        <v>0</v>
      </c>
      <c r="AE105" s="11"/>
      <c r="AF105" s="115">
        <f t="shared" si="25"/>
        <v>0</v>
      </c>
      <c r="AG105" s="115">
        <f t="shared" si="26"/>
        <v>0</v>
      </c>
      <c r="AH105" s="115">
        <f t="shared" si="27"/>
        <v>0</v>
      </c>
      <c r="AJ105" s="11" t="e">
        <f t="shared" si="28"/>
        <v>#REF!</v>
      </c>
    </row>
    <row r="106" spans="1:36" s="124" customFormat="1">
      <c r="A106" s="123"/>
      <c r="B106" s="123" t="s">
        <v>49</v>
      </c>
      <c r="C106" s="122"/>
      <c r="D106" s="118" t="s">
        <v>417</v>
      </c>
      <c r="E106" s="98"/>
      <c r="F106" s="99" t="e">
        <f>VLOOKUP(D106,#REF!,17,FALSE)</f>
        <v>#REF!</v>
      </c>
      <c r="G106" s="100"/>
      <c r="H106" s="100"/>
      <c r="I106" s="125">
        <v>20566.86</v>
      </c>
      <c r="J106" s="102" t="e">
        <f t="shared" si="16"/>
        <v>#REF!</v>
      </c>
      <c r="K106" s="103"/>
      <c r="L106" s="104"/>
      <c r="M106" s="105"/>
      <c r="N106" s="103">
        <v>0</v>
      </c>
      <c r="O106" s="106"/>
      <c r="P106" s="103">
        <v>0</v>
      </c>
      <c r="Q106" s="107">
        <f t="shared" si="17"/>
        <v>0</v>
      </c>
      <c r="R106" s="108">
        <v>0</v>
      </c>
      <c r="S106" s="119"/>
      <c r="T106" s="110">
        <f t="shared" si="29"/>
        <v>0</v>
      </c>
      <c r="U106" s="103"/>
      <c r="V106" s="112">
        <f t="shared" si="18"/>
        <v>0</v>
      </c>
      <c r="W106" s="112">
        <f t="shared" si="19"/>
        <v>0</v>
      </c>
      <c r="X106" s="113">
        <f t="shared" si="20"/>
        <v>0</v>
      </c>
      <c r="Y106" s="113">
        <v>0</v>
      </c>
      <c r="Z106" s="114">
        <v>0</v>
      </c>
      <c r="AA106" s="11">
        <f t="shared" si="21"/>
        <v>0</v>
      </c>
      <c r="AB106" s="115" t="e">
        <f t="shared" si="22"/>
        <v>#REF!</v>
      </c>
      <c r="AC106" s="115">
        <f t="shared" si="23"/>
        <v>0</v>
      </c>
      <c r="AD106" s="115">
        <f t="shared" si="24"/>
        <v>0</v>
      </c>
      <c r="AE106" s="11"/>
      <c r="AF106" s="115">
        <f t="shared" si="25"/>
        <v>0</v>
      </c>
      <c r="AG106" s="115">
        <f t="shared" si="26"/>
        <v>0</v>
      </c>
      <c r="AH106" s="115">
        <f t="shared" si="27"/>
        <v>0</v>
      </c>
      <c r="AJ106" s="11" t="e">
        <f t="shared" si="28"/>
        <v>#REF!</v>
      </c>
    </row>
    <row r="107" spans="1:36" s="124" customFormat="1">
      <c r="A107" s="123"/>
      <c r="B107" s="123" t="s">
        <v>49</v>
      </c>
      <c r="C107" s="122"/>
      <c r="D107" s="285" t="s">
        <v>418</v>
      </c>
      <c r="E107" s="98"/>
      <c r="F107" s="99" t="e">
        <f>VLOOKUP(D107,#REF!,17,FALSE)</f>
        <v>#REF!</v>
      </c>
      <c r="G107" s="100"/>
      <c r="H107" s="100"/>
      <c r="I107" s="125">
        <f>1582617.63+20198.8</f>
        <v>1602816.43</v>
      </c>
      <c r="J107" s="102" t="e">
        <f t="shared" si="16"/>
        <v>#REF!</v>
      </c>
      <c r="K107" s="103"/>
      <c r="L107" s="104"/>
      <c r="M107" s="105"/>
      <c r="N107" s="103">
        <v>0</v>
      </c>
      <c r="O107" s="106"/>
      <c r="P107" s="103">
        <v>0</v>
      </c>
      <c r="Q107" s="107">
        <f t="shared" si="17"/>
        <v>0</v>
      </c>
      <c r="R107" s="108">
        <v>0</v>
      </c>
      <c r="S107" s="119"/>
      <c r="T107" s="110">
        <f t="shared" si="29"/>
        <v>0</v>
      </c>
      <c r="U107" s="103"/>
      <c r="V107" s="112">
        <f t="shared" si="18"/>
        <v>0</v>
      </c>
      <c r="W107" s="112">
        <f t="shared" si="19"/>
        <v>0</v>
      </c>
      <c r="X107" s="113">
        <f t="shared" si="20"/>
        <v>0</v>
      </c>
      <c r="Y107" s="113">
        <v>0</v>
      </c>
      <c r="Z107" s="114">
        <v>0</v>
      </c>
      <c r="AA107" s="11">
        <f t="shared" si="21"/>
        <v>0</v>
      </c>
      <c r="AB107" s="115" t="e">
        <f t="shared" si="22"/>
        <v>#REF!</v>
      </c>
      <c r="AC107" s="115">
        <f t="shared" si="23"/>
        <v>0</v>
      </c>
      <c r="AD107" s="115">
        <f t="shared" si="24"/>
        <v>0</v>
      </c>
      <c r="AE107" s="11"/>
      <c r="AF107" s="115">
        <f t="shared" si="25"/>
        <v>0</v>
      </c>
      <c r="AG107" s="115">
        <f t="shared" si="26"/>
        <v>0</v>
      </c>
      <c r="AH107" s="115">
        <f t="shared" si="27"/>
        <v>0</v>
      </c>
      <c r="AJ107" s="11" t="e">
        <f t="shared" si="28"/>
        <v>#REF!</v>
      </c>
    </row>
    <row r="108" spans="1:36" s="124" customFormat="1">
      <c r="A108" s="123"/>
      <c r="B108" s="123" t="s">
        <v>49</v>
      </c>
      <c r="C108" s="122"/>
      <c r="D108" s="118" t="s">
        <v>419</v>
      </c>
      <c r="E108" s="98"/>
      <c r="F108" s="99" t="e">
        <f>VLOOKUP(D108,#REF!,17,FALSE)</f>
        <v>#REF!</v>
      </c>
      <c r="G108" s="100"/>
      <c r="H108" s="100"/>
      <c r="I108" s="125">
        <v>818.71</v>
      </c>
      <c r="J108" s="102" t="e">
        <f t="shared" si="16"/>
        <v>#REF!</v>
      </c>
      <c r="K108" s="103"/>
      <c r="L108" s="104"/>
      <c r="M108" s="105"/>
      <c r="N108" s="103">
        <v>0</v>
      </c>
      <c r="O108" s="106"/>
      <c r="P108" s="103">
        <v>0</v>
      </c>
      <c r="Q108" s="107">
        <f t="shared" si="17"/>
        <v>0</v>
      </c>
      <c r="R108" s="108">
        <v>0</v>
      </c>
      <c r="S108" s="119"/>
      <c r="T108" s="110">
        <f t="shared" si="29"/>
        <v>0</v>
      </c>
      <c r="U108" s="103"/>
      <c r="V108" s="112">
        <f t="shared" si="18"/>
        <v>0</v>
      </c>
      <c r="W108" s="112">
        <f t="shared" si="19"/>
        <v>0</v>
      </c>
      <c r="X108" s="113">
        <f t="shared" si="20"/>
        <v>0</v>
      </c>
      <c r="Y108" s="113">
        <v>0</v>
      </c>
      <c r="Z108" s="114">
        <v>0</v>
      </c>
      <c r="AA108" s="11">
        <f t="shared" si="21"/>
        <v>0</v>
      </c>
      <c r="AB108" s="115" t="e">
        <f t="shared" si="22"/>
        <v>#REF!</v>
      </c>
      <c r="AC108" s="115">
        <f t="shared" si="23"/>
        <v>0</v>
      </c>
      <c r="AD108" s="115">
        <f t="shared" si="24"/>
        <v>0</v>
      </c>
      <c r="AE108" s="11"/>
      <c r="AF108" s="115">
        <f t="shared" si="25"/>
        <v>0</v>
      </c>
      <c r="AG108" s="115">
        <f t="shared" si="26"/>
        <v>0</v>
      </c>
      <c r="AH108" s="115">
        <f t="shared" si="27"/>
        <v>0</v>
      </c>
      <c r="AJ108" s="11" t="e">
        <f t="shared" si="28"/>
        <v>#REF!</v>
      </c>
    </row>
    <row r="109" spans="1:36" s="124" customFormat="1">
      <c r="A109" s="123"/>
      <c r="B109" s="123" t="s">
        <v>49</v>
      </c>
      <c r="C109" s="122"/>
      <c r="D109" s="118" t="s">
        <v>420</v>
      </c>
      <c r="E109" s="98"/>
      <c r="F109" s="99" t="e">
        <f>VLOOKUP(D109,#REF!,17,FALSE)</f>
        <v>#REF!</v>
      </c>
      <c r="G109" s="100"/>
      <c r="H109" s="100"/>
      <c r="I109" s="125">
        <v>388752.79</v>
      </c>
      <c r="J109" s="102" t="e">
        <f t="shared" si="16"/>
        <v>#REF!</v>
      </c>
      <c r="K109" s="103"/>
      <c r="L109" s="104"/>
      <c r="M109" s="105"/>
      <c r="N109" s="103">
        <v>0</v>
      </c>
      <c r="O109" s="106"/>
      <c r="P109" s="103">
        <v>0</v>
      </c>
      <c r="Q109" s="107">
        <f t="shared" si="17"/>
        <v>0</v>
      </c>
      <c r="R109" s="108">
        <v>0</v>
      </c>
      <c r="S109" s="119"/>
      <c r="T109" s="110">
        <f t="shared" si="29"/>
        <v>0</v>
      </c>
      <c r="U109" s="103"/>
      <c r="V109" s="112">
        <f t="shared" si="18"/>
        <v>0</v>
      </c>
      <c r="W109" s="112">
        <f t="shared" si="19"/>
        <v>0</v>
      </c>
      <c r="X109" s="113">
        <f t="shared" si="20"/>
        <v>0</v>
      </c>
      <c r="Y109" s="113">
        <v>0</v>
      </c>
      <c r="Z109" s="114">
        <v>0</v>
      </c>
      <c r="AA109" s="11">
        <f t="shared" si="21"/>
        <v>0</v>
      </c>
      <c r="AB109" s="115" t="e">
        <f t="shared" si="22"/>
        <v>#REF!</v>
      </c>
      <c r="AC109" s="115">
        <f t="shared" si="23"/>
        <v>0</v>
      </c>
      <c r="AD109" s="115">
        <f t="shared" si="24"/>
        <v>0</v>
      </c>
      <c r="AE109" s="11"/>
      <c r="AF109" s="115">
        <f t="shared" si="25"/>
        <v>0</v>
      </c>
      <c r="AG109" s="115">
        <f t="shared" si="26"/>
        <v>0</v>
      </c>
      <c r="AH109" s="115">
        <f t="shared" si="27"/>
        <v>0</v>
      </c>
      <c r="AJ109" s="11" t="e">
        <f t="shared" si="28"/>
        <v>#REF!</v>
      </c>
    </row>
    <row r="110" spans="1:36" s="124" customFormat="1">
      <c r="A110" s="123"/>
      <c r="B110" s="123" t="s">
        <v>49</v>
      </c>
      <c r="C110" s="122"/>
      <c r="D110" s="118" t="s">
        <v>421</v>
      </c>
      <c r="E110" s="98"/>
      <c r="F110" s="99" t="e">
        <f>VLOOKUP(D110,#REF!,17,FALSE)</f>
        <v>#REF!</v>
      </c>
      <c r="G110" s="100"/>
      <c r="H110" s="100"/>
      <c r="I110" s="125">
        <v>702.67</v>
      </c>
      <c r="J110" s="102" t="e">
        <f t="shared" si="16"/>
        <v>#REF!</v>
      </c>
      <c r="K110" s="103"/>
      <c r="L110" s="104"/>
      <c r="M110" s="105"/>
      <c r="N110" s="103">
        <v>0</v>
      </c>
      <c r="O110" s="106"/>
      <c r="P110" s="103">
        <v>0</v>
      </c>
      <c r="Q110" s="107">
        <f t="shared" si="17"/>
        <v>0</v>
      </c>
      <c r="R110" s="108">
        <v>0</v>
      </c>
      <c r="S110" s="119"/>
      <c r="T110" s="110">
        <f t="shared" si="29"/>
        <v>0</v>
      </c>
      <c r="U110" s="103"/>
      <c r="V110" s="112">
        <f t="shared" si="18"/>
        <v>0</v>
      </c>
      <c r="W110" s="112">
        <f t="shared" si="19"/>
        <v>0</v>
      </c>
      <c r="X110" s="113">
        <f t="shared" si="20"/>
        <v>0</v>
      </c>
      <c r="Y110" s="113">
        <v>0</v>
      </c>
      <c r="Z110" s="114">
        <v>0</v>
      </c>
      <c r="AA110" s="11">
        <f t="shared" si="21"/>
        <v>0</v>
      </c>
      <c r="AB110" s="115" t="e">
        <f t="shared" si="22"/>
        <v>#REF!</v>
      </c>
      <c r="AC110" s="115">
        <f t="shared" si="23"/>
        <v>0</v>
      </c>
      <c r="AD110" s="115">
        <f t="shared" si="24"/>
        <v>0</v>
      </c>
      <c r="AE110" s="11"/>
      <c r="AF110" s="115">
        <f t="shared" si="25"/>
        <v>0</v>
      </c>
      <c r="AG110" s="115">
        <f t="shared" si="26"/>
        <v>0</v>
      </c>
      <c r="AH110" s="115">
        <f t="shared" si="27"/>
        <v>0</v>
      </c>
      <c r="AJ110" s="11" t="e">
        <f t="shared" si="28"/>
        <v>#REF!</v>
      </c>
    </row>
    <row r="111" spans="1:36" s="124" customFormat="1">
      <c r="A111" s="123"/>
      <c r="B111" s="123" t="s">
        <v>49</v>
      </c>
      <c r="C111" s="122"/>
      <c r="D111" s="118" t="s">
        <v>422</v>
      </c>
      <c r="E111" s="98"/>
      <c r="F111" s="99" t="e">
        <f>VLOOKUP(D111,#REF!,17,FALSE)</f>
        <v>#REF!</v>
      </c>
      <c r="G111" s="100"/>
      <c r="H111" s="100"/>
      <c r="I111" s="125">
        <v>432960.45</v>
      </c>
      <c r="J111" s="102" t="e">
        <f t="shared" si="16"/>
        <v>#REF!</v>
      </c>
      <c r="K111" s="103"/>
      <c r="L111" s="104"/>
      <c r="M111" s="105"/>
      <c r="N111" s="103">
        <v>0</v>
      </c>
      <c r="O111" s="106"/>
      <c r="P111" s="103">
        <v>0</v>
      </c>
      <c r="Q111" s="107">
        <f t="shared" si="17"/>
        <v>0</v>
      </c>
      <c r="R111" s="108">
        <v>0</v>
      </c>
      <c r="S111" s="119"/>
      <c r="T111" s="110">
        <f t="shared" si="29"/>
        <v>0</v>
      </c>
      <c r="U111" s="103"/>
      <c r="V111" s="112">
        <f t="shared" si="18"/>
        <v>0</v>
      </c>
      <c r="W111" s="112">
        <f t="shared" si="19"/>
        <v>0</v>
      </c>
      <c r="X111" s="113">
        <f t="shared" si="20"/>
        <v>0</v>
      </c>
      <c r="Y111" s="113">
        <v>0</v>
      </c>
      <c r="Z111" s="114">
        <v>0</v>
      </c>
      <c r="AA111" s="11">
        <f t="shared" si="21"/>
        <v>0</v>
      </c>
      <c r="AB111" s="115" t="e">
        <f t="shared" si="22"/>
        <v>#REF!</v>
      </c>
      <c r="AC111" s="115">
        <f t="shared" si="23"/>
        <v>0</v>
      </c>
      <c r="AD111" s="115">
        <f t="shared" si="24"/>
        <v>0</v>
      </c>
      <c r="AE111" s="11"/>
      <c r="AF111" s="115">
        <f t="shared" si="25"/>
        <v>0</v>
      </c>
      <c r="AG111" s="115">
        <f t="shared" si="26"/>
        <v>0</v>
      </c>
      <c r="AH111" s="115">
        <f t="shared" si="27"/>
        <v>0</v>
      </c>
      <c r="AJ111" s="11" t="e">
        <f t="shared" si="28"/>
        <v>#REF!</v>
      </c>
    </row>
    <row r="112" spans="1:36" s="124" customFormat="1">
      <c r="A112" s="123"/>
      <c r="B112" s="123" t="s">
        <v>49</v>
      </c>
      <c r="C112" s="122"/>
      <c r="D112" s="118" t="s">
        <v>423</v>
      </c>
      <c r="E112" s="98"/>
      <c r="F112" s="99" t="e">
        <f>VLOOKUP(D112,#REF!,17,FALSE)</f>
        <v>#REF!</v>
      </c>
      <c r="G112" s="100"/>
      <c r="H112" s="100"/>
      <c r="I112" s="125">
        <v>543.53</v>
      </c>
      <c r="J112" s="102" t="e">
        <f t="shared" si="16"/>
        <v>#REF!</v>
      </c>
      <c r="K112" s="103"/>
      <c r="L112" s="104"/>
      <c r="M112" s="105"/>
      <c r="N112" s="103">
        <v>0</v>
      </c>
      <c r="O112" s="106"/>
      <c r="P112" s="103">
        <v>0</v>
      </c>
      <c r="Q112" s="107">
        <f t="shared" si="17"/>
        <v>0</v>
      </c>
      <c r="R112" s="108">
        <v>0</v>
      </c>
      <c r="S112" s="119"/>
      <c r="T112" s="110">
        <f t="shared" si="29"/>
        <v>0</v>
      </c>
      <c r="U112" s="103"/>
      <c r="V112" s="112">
        <f t="shared" si="18"/>
        <v>0</v>
      </c>
      <c r="W112" s="112">
        <f t="shared" si="19"/>
        <v>0</v>
      </c>
      <c r="X112" s="113">
        <f t="shared" si="20"/>
        <v>0</v>
      </c>
      <c r="Y112" s="113">
        <v>0</v>
      </c>
      <c r="Z112" s="114">
        <v>0</v>
      </c>
      <c r="AA112" s="11">
        <f t="shared" si="21"/>
        <v>0</v>
      </c>
      <c r="AB112" s="115" t="e">
        <f t="shared" si="22"/>
        <v>#REF!</v>
      </c>
      <c r="AC112" s="115">
        <f t="shared" si="23"/>
        <v>0</v>
      </c>
      <c r="AD112" s="115">
        <f t="shared" si="24"/>
        <v>0</v>
      </c>
      <c r="AE112" s="11"/>
      <c r="AF112" s="115">
        <f t="shared" si="25"/>
        <v>0</v>
      </c>
      <c r="AG112" s="115">
        <f t="shared" si="26"/>
        <v>0</v>
      </c>
      <c r="AH112" s="115">
        <f t="shared" si="27"/>
        <v>0</v>
      </c>
      <c r="AJ112" s="11" t="e">
        <f t="shared" si="28"/>
        <v>#REF!</v>
      </c>
    </row>
    <row r="113" spans="1:36" s="124" customFormat="1">
      <c r="A113" s="123"/>
      <c r="B113" s="123" t="s">
        <v>49</v>
      </c>
      <c r="C113" s="122"/>
      <c r="D113" s="118" t="s">
        <v>424</v>
      </c>
      <c r="E113" s="98"/>
      <c r="F113" s="99" t="e">
        <f>VLOOKUP(D113,#REF!,17,FALSE)</f>
        <v>#REF!</v>
      </c>
      <c r="G113" s="100"/>
      <c r="H113" s="100"/>
      <c r="I113" s="125">
        <v>108248.66</v>
      </c>
      <c r="J113" s="102" t="e">
        <f t="shared" si="16"/>
        <v>#REF!</v>
      </c>
      <c r="K113" s="103"/>
      <c r="L113" s="104"/>
      <c r="M113" s="105"/>
      <c r="N113" s="103">
        <v>0</v>
      </c>
      <c r="O113" s="106"/>
      <c r="P113" s="103">
        <v>0</v>
      </c>
      <c r="Q113" s="107">
        <f t="shared" si="17"/>
        <v>0</v>
      </c>
      <c r="R113" s="108">
        <v>0</v>
      </c>
      <c r="S113" s="119"/>
      <c r="T113" s="110">
        <f t="shared" si="29"/>
        <v>0</v>
      </c>
      <c r="U113" s="103"/>
      <c r="V113" s="112">
        <f t="shared" si="18"/>
        <v>0</v>
      </c>
      <c r="W113" s="112">
        <f t="shared" si="19"/>
        <v>0</v>
      </c>
      <c r="X113" s="113">
        <f t="shared" si="20"/>
        <v>0</v>
      </c>
      <c r="Y113" s="113">
        <v>0</v>
      </c>
      <c r="Z113" s="114">
        <v>0</v>
      </c>
      <c r="AA113" s="11">
        <f t="shared" si="21"/>
        <v>0</v>
      </c>
      <c r="AB113" s="115" t="e">
        <f t="shared" si="22"/>
        <v>#REF!</v>
      </c>
      <c r="AC113" s="115">
        <f t="shared" si="23"/>
        <v>0</v>
      </c>
      <c r="AD113" s="115">
        <f t="shared" si="24"/>
        <v>0</v>
      </c>
      <c r="AE113" s="11"/>
      <c r="AF113" s="115">
        <f t="shared" si="25"/>
        <v>0</v>
      </c>
      <c r="AG113" s="115">
        <f t="shared" si="26"/>
        <v>0</v>
      </c>
      <c r="AH113" s="115">
        <f t="shared" si="27"/>
        <v>0</v>
      </c>
      <c r="AJ113" s="11" t="e">
        <f t="shared" si="28"/>
        <v>#REF!</v>
      </c>
    </row>
    <row r="114" spans="1:36" s="124" customFormat="1">
      <c r="A114" s="123"/>
      <c r="B114" s="123" t="s">
        <v>49</v>
      </c>
      <c r="C114" s="122"/>
      <c r="D114" s="118" t="s">
        <v>425</v>
      </c>
      <c r="E114" s="98"/>
      <c r="F114" s="99" t="e">
        <f>VLOOKUP(D114,#REF!,17,FALSE)</f>
        <v>#REF!</v>
      </c>
      <c r="G114" s="100"/>
      <c r="H114" s="100"/>
      <c r="I114" s="125">
        <v>114468.69</v>
      </c>
      <c r="J114" s="102" t="e">
        <f t="shared" si="16"/>
        <v>#REF!</v>
      </c>
      <c r="K114" s="103"/>
      <c r="L114" s="104"/>
      <c r="M114" s="105"/>
      <c r="N114" s="103">
        <v>0</v>
      </c>
      <c r="O114" s="106"/>
      <c r="P114" s="103">
        <v>0</v>
      </c>
      <c r="Q114" s="107">
        <f t="shared" si="17"/>
        <v>0</v>
      </c>
      <c r="R114" s="108">
        <v>0</v>
      </c>
      <c r="S114" s="119"/>
      <c r="T114" s="110">
        <f t="shared" si="29"/>
        <v>0</v>
      </c>
      <c r="U114" s="103"/>
      <c r="V114" s="112">
        <f t="shared" si="18"/>
        <v>0</v>
      </c>
      <c r="W114" s="112">
        <f t="shared" si="19"/>
        <v>0</v>
      </c>
      <c r="X114" s="113">
        <f t="shared" si="20"/>
        <v>0</v>
      </c>
      <c r="Y114" s="113">
        <v>0</v>
      </c>
      <c r="Z114" s="114">
        <v>0</v>
      </c>
      <c r="AA114" s="11">
        <f t="shared" si="21"/>
        <v>0</v>
      </c>
      <c r="AB114" s="115" t="e">
        <f t="shared" si="22"/>
        <v>#REF!</v>
      </c>
      <c r="AC114" s="115">
        <f t="shared" si="23"/>
        <v>0</v>
      </c>
      <c r="AD114" s="115">
        <f t="shared" si="24"/>
        <v>0</v>
      </c>
      <c r="AE114" s="11"/>
      <c r="AF114" s="115">
        <f t="shared" si="25"/>
        <v>0</v>
      </c>
      <c r="AG114" s="115">
        <f t="shared" si="26"/>
        <v>0</v>
      </c>
      <c r="AH114" s="115">
        <f t="shared" si="27"/>
        <v>0</v>
      </c>
      <c r="AJ114" s="11" t="e">
        <f t="shared" si="28"/>
        <v>#REF!</v>
      </c>
    </row>
    <row r="115" spans="1:36" s="124" customFormat="1">
      <c r="A115" s="123"/>
      <c r="B115" s="123" t="s">
        <v>49</v>
      </c>
      <c r="C115" s="122"/>
      <c r="D115" s="118" t="s">
        <v>426</v>
      </c>
      <c r="E115" s="98"/>
      <c r="F115" s="99" t="e">
        <f>VLOOKUP(D115,#REF!,17,FALSE)</f>
        <v>#REF!</v>
      </c>
      <c r="G115" s="100"/>
      <c r="H115" s="100"/>
      <c r="I115" s="125">
        <v>120.35</v>
      </c>
      <c r="J115" s="102" t="e">
        <f t="shared" si="16"/>
        <v>#REF!</v>
      </c>
      <c r="K115" s="103"/>
      <c r="L115" s="104"/>
      <c r="M115" s="105"/>
      <c r="N115" s="103">
        <v>0</v>
      </c>
      <c r="O115" s="106"/>
      <c r="P115" s="103">
        <v>0</v>
      </c>
      <c r="Q115" s="107">
        <f t="shared" si="17"/>
        <v>0</v>
      </c>
      <c r="R115" s="108">
        <v>0</v>
      </c>
      <c r="S115" s="119"/>
      <c r="T115" s="110">
        <f t="shared" si="29"/>
        <v>0</v>
      </c>
      <c r="U115" s="103"/>
      <c r="V115" s="112">
        <f t="shared" si="18"/>
        <v>0</v>
      </c>
      <c r="W115" s="112">
        <f t="shared" si="19"/>
        <v>0</v>
      </c>
      <c r="X115" s="113">
        <f t="shared" si="20"/>
        <v>0</v>
      </c>
      <c r="Y115" s="113">
        <v>0</v>
      </c>
      <c r="Z115" s="114">
        <v>0</v>
      </c>
      <c r="AA115" s="11">
        <f t="shared" si="21"/>
        <v>0</v>
      </c>
      <c r="AB115" s="115" t="e">
        <f t="shared" si="22"/>
        <v>#REF!</v>
      </c>
      <c r="AC115" s="115">
        <f t="shared" si="23"/>
        <v>0</v>
      </c>
      <c r="AD115" s="115">
        <f t="shared" si="24"/>
        <v>0</v>
      </c>
      <c r="AE115" s="11"/>
      <c r="AF115" s="115">
        <f t="shared" si="25"/>
        <v>0</v>
      </c>
      <c r="AG115" s="115">
        <f t="shared" si="26"/>
        <v>0</v>
      </c>
      <c r="AH115" s="115">
        <f t="shared" si="27"/>
        <v>0</v>
      </c>
      <c r="AJ115" s="11" t="e">
        <f t="shared" si="28"/>
        <v>#REF!</v>
      </c>
    </row>
    <row r="116" spans="1:36" s="124" customFormat="1">
      <c r="A116" s="123"/>
      <c r="B116" s="123" t="s">
        <v>49</v>
      </c>
      <c r="C116" s="122"/>
      <c r="D116" s="118" t="s">
        <v>427</v>
      </c>
      <c r="E116" s="98"/>
      <c r="F116" s="99" t="e">
        <f>VLOOKUP(D116,#REF!,17,FALSE)</f>
        <v>#REF!</v>
      </c>
      <c r="G116" s="100"/>
      <c r="H116" s="100"/>
      <c r="I116" s="125">
        <v>2627.94</v>
      </c>
      <c r="J116" s="102" t="e">
        <f t="shared" si="16"/>
        <v>#REF!</v>
      </c>
      <c r="K116" s="103"/>
      <c r="L116" s="104"/>
      <c r="M116" s="105"/>
      <c r="N116" s="103">
        <v>0</v>
      </c>
      <c r="O116" s="106"/>
      <c r="P116" s="103">
        <v>0</v>
      </c>
      <c r="Q116" s="107">
        <f t="shared" si="17"/>
        <v>0</v>
      </c>
      <c r="R116" s="108">
        <v>0</v>
      </c>
      <c r="S116" s="119"/>
      <c r="T116" s="110">
        <f t="shared" si="29"/>
        <v>0</v>
      </c>
      <c r="U116" s="103"/>
      <c r="V116" s="112">
        <f t="shared" si="18"/>
        <v>0</v>
      </c>
      <c r="W116" s="112">
        <f t="shared" si="19"/>
        <v>0</v>
      </c>
      <c r="X116" s="113">
        <f t="shared" si="20"/>
        <v>0</v>
      </c>
      <c r="Y116" s="113">
        <v>0</v>
      </c>
      <c r="Z116" s="114">
        <v>0</v>
      </c>
      <c r="AA116" s="11">
        <f t="shared" si="21"/>
        <v>0</v>
      </c>
      <c r="AB116" s="115" t="e">
        <f t="shared" si="22"/>
        <v>#REF!</v>
      </c>
      <c r="AC116" s="115">
        <f t="shared" si="23"/>
        <v>0</v>
      </c>
      <c r="AD116" s="115">
        <f t="shared" si="24"/>
        <v>0</v>
      </c>
      <c r="AE116" s="11"/>
      <c r="AF116" s="115">
        <f t="shared" si="25"/>
        <v>0</v>
      </c>
      <c r="AG116" s="115">
        <f t="shared" si="26"/>
        <v>0</v>
      </c>
      <c r="AH116" s="115">
        <f t="shared" si="27"/>
        <v>0</v>
      </c>
      <c r="AJ116" s="11" t="e">
        <f t="shared" si="28"/>
        <v>#REF!</v>
      </c>
    </row>
    <row r="117" spans="1:36" s="124" customFormat="1">
      <c r="A117" s="123"/>
      <c r="B117" s="123" t="s">
        <v>49</v>
      </c>
      <c r="C117" s="122"/>
      <c r="D117" s="118" t="s">
        <v>428</v>
      </c>
      <c r="E117" s="98"/>
      <c r="F117" s="99" t="e">
        <f>VLOOKUP(D117,#REF!,17,FALSE)</f>
        <v>#REF!</v>
      </c>
      <c r="G117" s="100"/>
      <c r="H117" s="100"/>
      <c r="I117" s="125">
        <v>918.92</v>
      </c>
      <c r="J117" s="102" t="e">
        <f t="shared" si="16"/>
        <v>#REF!</v>
      </c>
      <c r="K117" s="103"/>
      <c r="L117" s="104"/>
      <c r="M117" s="105"/>
      <c r="N117" s="103">
        <v>0</v>
      </c>
      <c r="O117" s="106"/>
      <c r="P117" s="103">
        <v>0</v>
      </c>
      <c r="Q117" s="107">
        <f t="shared" si="17"/>
        <v>0</v>
      </c>
      <c r="R117" s="108">
        <v>0</v>
      </c>
      <c r="S117" s="119"/>
      <c r="T117" s="110">
        <f t="shared" si="29"/>
        <v>0</v>
      </c>
      <c r="U117" s="103"/>
      <c r="V117" s="112">
        <f t="shared" si="18"/>
        <v>0</v>
      </c>
      <c r="W117" s="112">
        <f t="shared" si="19"/>
        <v>0</v>
      </c>
      <c r="X117" s="113">
        <f t="shared" si="20"/>
        <v>0</v>
      </c>
      <c r="Y117" s="113">
        <v>0</v>
      </c>
      <c r="Z117" s="114">
        <v>0</v>
      </c>
      <c r="AA117" s="11">
        <f t="shared" si="21"/>
        <v>0</v>
      </c>
      <c r="AB117" s="115" t="e">
        <f t="shared" si="22"/>
        <v>#REF!</v>
      </c>
      <c r="AC117" s="115">
        <f t="shared" si="23"/>
        <v>0</v>
      </c>
      <c r="AD117" s="115">
        <f t="shared" si="24"/>
        <v>0</v>
      </c>
      <c r="AE117" s="11"/>
      <c r="AF117" s="115">
        <f t="shared" si="25"/>
        <v>0</v>
      </c>
      <c r="AG117" s="115">
        <f t="shared" si="26"/>
        <v>0</v>
      </c>
      <c r="AH117" s="115">
        <f t="shared" si="27"/>
        <v>0</v>
      </c>
      <c r="AJ117" s="11" t="e">
        <f t="shared" si="28"/>
        <v>#REF!</v>
      </c>
    </row>
    <row r="118" spans="1:36" s="124" customFormat="1">
      <c r="A118" s="123"/>
      <c r="B118" s="123" t="s">
        <v>49</v>
      </c>
      <c r="C118" s="122"/>
      <c r="D118" s="118" t="s">
        <v>429</v>
      </c>
      <c r="E118" s="98"/>
      <c r="F118" s="99" t="e">
        <f>VLOOKUP(D118,#REF!,17,FALSE)</f>
        <v>#REF!</v>
      </c>
      <c r="G118" s="100"/>
      <c r="H118" s="100"/>
      <c r="I118" s="125">
        <f>24176.42+2060.42+1632.75+6227.68+0.68+438.97</f>
        <v>34536.92</v>
      </c>
      <c r="J118" s="102" t="e">
        <f t="shared" si="16"/>
        <v>#REF!</v>
      </c>
      <c r="K118" s="103"/>
      <c r="L118" s="104"/>
      <c r="M118" s="105"/>
      <c r="N118" s="103">
        <v>0</v>
      </c>
      <c r="O118" s="106"/>
      <c r="P118" s="103"/>
      <c r="Q118" s="107">
        <f t="shared" si="17"/>
        <v>0</v>
      </c>
      <c r="R118" s="108">
        <v>0</v>
      </c>
      <c r="S118" s="119"/>
      <c r="T118" s="110">
        <f t="shared" si="29"/>
        <v>0</v>
      </c>
      <c r="U118" s="103"/>
      <c r="V118" s="112">
        <f t="shared" si="18"/>
        <v>0</v>
      </c>
      <c r="W118" s="112">
        <f t="shared" si="19"/>
        <v>0</v>
      </c>
      <c r="X118" s="113">
        <f t="shared" si="20"/>
        <v>0</v>
      </c>
      <c r="Y118" s="113">
        <v>0</v>
      </c>
      <c r="Z118" s="114">
        <v>0</v>
      </c>
      <c r="AA118" s="11">
        <f t="shared" si="21"/>
        <v>0</v>
      </c>
      <c r="AB118" s="115" t="e">
        <f t="shared" si="22"/>
        <v>#REF!</v>
      </c>
      <c r="AC118" s="115">
        <f t="shared" si="23"/>
        <v>0</v>
      </c>
      <c r="AD118" s="115">
        <f t="shared" si="24"/>
        <v>0</v>
      </c>
      <c r="AE118" s="11"/>
      <c r="AF118" s="115">
        <f t="shared" si="25"/>
        <v>0</v>
      </c>
      <c r="AG118" s="115">
        <f t="shared" si="26"/>
        <v>0</v>
      </c>
      <c r="AH118" s="115">
        <f t="shared" si="27"/>
        <v>0</v>
      </c>
      <c r="AJ118" s="11" t="e">
        <f t="shared" si="28"/>
        <v>#REF!</v>
      </c>
    </row>
    <row r="119" spans="1:36" s="14" customFormat="1">
      <c r="A119" s="130"/>
      <c r="B119" s="130" t="s">
        <v>49</v>
      </c>
      <c r="C119" s="122"/>
      <c r="D119" s="120" t="s">
        <v>184</v>
      </c>
      <c r="E119" s="98"/>
      <c r="F119" s="99" t="e">
        <f>VLOOKUP(D119,#REF!,17,FALSE)</f>
        <v>#REF!</v>
      </c>
      <c r="G119" s="100"/>
      <c r="H119" s="100"/>
      <c r="I119" s="101"/>
      <c r="J119" s="102" t="e">
        <f t="shared" si="16"/>
        <v>#REF!</v>
      </c>
      <c r="K119" s="103"/>
      <c r="L119" s="104"/>
      <c r="M119" s="105"/>
      <c r="N119" s="133"/>
      <c r="O119" s="136"/>
      <c r="P119" s="133"/>
      <c r="Q119" s="107">
        <f t="shared" si="17"/>
        <v>0</v>
      </c>
      <c r="R119" s="108">
        <v>0</v>
      </c>
      <c r="S119" s="119"/>
      <c r="T119" s="110">
        <f t="shared" si="29"/>
        <v>0</v>
      </c>
      <c r="U119" s="103"/>
      <c r="V119" s="112">
        <f t="shared" si="18"/>
        <v>0</v>
      </c>
      <c r="W119" s="112">
        <f t="shared" si="19"/>
        <v>0</v>
      </c>
      <c r="X119" s="113">
        <f t="shared" si="20"/>
        <v>0</v>
      </c>
      <c r="Y119" s="113">
        <v>0</v>
      </c>
      <c r="Z119" s="114">
        <v>0</v>
      </c>
      <c r="AA119" s="11">
        <f t="shared" si="21"/>
        <v>0</v>
      </c>
      <c r="AB119" s="115" t="e">
        <f t="shared" si="22"/>
        <v>#REF!</v>
      </c>
      <c r="AC119" s="115">
        <f t="shared" si="23"/>
        <v>0</v>
      </c>
      <c r="AD119" s="115">
        <f t="shared" si="24"/>
        <v>0</v>
      </c>
      <c r="AE119" s="11"/>
      <c r="AF119" s="115">
        <f t="shared" si="25"/>
        <v>0</v>
      </c>
      <c r="AG119" s="115">
        <f t="shared" si="26"/>
        <v>0</v>
      </c>
      <c r="AH119" s="115">
        <f t="shared" si="27"/>
        <v>0</v>
      </c>
      <c r="AJ119" s="11" t="e">
        <f t="shared" si="28"/>
        <v>#REF!</v>
      </c>
    </row>
    <row r="120" spans="1:36">
      <c r="A120" s="129"/>
      <c r="B120" s="129" t="s">
        <v>46</v>
      </c>
      <c r="C120" s="96" t="s">
        <v>186</v>
      </c>
      <c r="D120" s="120" t="s">
        <v>187</v>
      </c>
      <c r="E120" s="98"/>
      <c r="F120" s="99" t="e">
        <f>VLOOKUP(D120,#REF!,17,FALSE)</f>
        <v>#REF!</v>
      </c>
      <c r="G120" s="100"/>
      <c r="H120" s="100"/>
      <c r="I120" s="125">
        <v>4017.04</v>
      </c>
      <c r="J120" s="102" t="e">
        <f t="shared" si="16"/>
        <v>#REF!</v>
      </c>
      <c r="K120" s="103"/>
      <c r="L120" s="104"/>
      <c r="M120" s="105">
        <v>5000</v>
      </c>
      <c r="N120" s="103">
        <v>0</v>
      </c>
      <c r="O120" s="106"/>
      <c r="P120" s="103">
        <v>0</v>
      </c>
      <c r="Q120" s="107">
        <f t="shared" si="17"/>
        <v>5000</v>
      </c>
      <c r="R120" s="108">
        <v>4070.37</v>
      </c>
      <c r="S120" s="119"/>
      <c r="T120" s="110">
        <f t="shared" si="29"/>
        <v>-929.63000000000011</v>
      </c>
      <c r="U120" s="103"/>
      <c r="V120" s="112">
        <f t="shared" si="18"/>
        <v>0</v>
      </c>
      <c r="W120" s="112">
        <f t="shared" si="19"/>
        <v>5000</v>
      </c>
      <c r="X120" s="113">
        <f t="shared" si="20"/>
        <v>0</v>
      </c>
      <c r="Y120" s="113">
        <v>0</v>
      </c>
      <c r="Z120" s="114">
        <v>0</v>
      </c>
      <c r="AA120" s="11">
        <f t="shared" si="21"/>
        <v>0</v>
      </c>
      <c r="AB120" s="115">
        <f t="shared" si="22"/>
        <v>0</v>
      </c>
      <c r="AC120" s="115" t="e">
        <f t="shared" si="23"/>
        <v>#REF!</v>
      </c>
      <c r="AD120" s="115">
        <f t="shared" si="24"/>
        <v>0</v>
      </c>
      <c r="AE120" s="11"/>
      <c r="AF120" s="115">
        <f t="shared" si="25"/>
        <v>0</v>
      </c>
      <c r="AG120" s="115">
        <f t="shared" si="26"/>
        <v>5000</v>
      </c>
      <c r="AH120" s="115">
        <f t="shared" si="27"/>
        <v>0</v>
      </c>
      <c r="AJ120" s="11" t="e">
        <f t="shared" si="28"/>
        <v>#REF!</v>
      </c>
    </row>
    <row r="121" spans="1:36">
      <c r="A121" s="116"/>
      <c r="B121" s="116" t="s">
        <v>46</v>
      </c>
      <c r="C121" s="122" t="s">
        <v>188</v>
      </c>
      <c r="D121" s="120" t="s">
        <v>189</v>
      </c>
      <c r="E121" s="98">
        <v>12.83</v>
      </c>
      <c r="F121" s="99" t="e">
        <f>VLOOKUP(D121,#REF!,17,FALSE)</f>
        <v>#REF!</v>
      </c>
      <c r="G121" s="100"/>
      <c r="H121" s="100"/>
      <c r="I121" s="101"/>
      <c r="J121" s="102" t="e">
        <f t="shared" si="16"/>
        <v>#REF!</v>
      </c>
      <c r="K121" s="103"/>
      <c r="L121" s="104"/>
      <c r="M121" s="105"/>
      <c r="N121" s="103">
        <v>0</v>
      </c>
      <c r="O121" s="106"/>
      <c r="P121" s="103">
        <v>0</v>
      </c>
      <c r="Q121" s="107">
        <f t="shared" si="17"/>
        <v>0</v>
      </c>
      <c r="R121" s="108">
        <v>0</v>
      </c>
      <c r="S121" s="119"/>
      <c r="T121" s="110">
        <f t="shared" si="29"/>
        <v>0</v>
      </c>
      <c r="U121" s="103"/>
      <c r="V121" s="112">
        <f t="shared" si="18"/>
        <v>0</v>
      </c>
      <c r="W121" s="112">
        <f t="shared" si="19"/>
        <v>0</v>
      </c>
      <c r="X121" s="113">
        <f t="shared" si="20"/>
        <v>0</v>
      </c>
      <c r="Y121" s="113">
        <v>0</v>
      </c>
      <c r="Z121" s="114">
        <v>0</v>
      </c>
      <c r="AA121" s="11">
        <f t="shared" si="21"/>
        <v>0</v>
      </c>
      <c r="AB121" s="115">
        <f t="shared" si="22"/>
        <v>0</v>
      </c>
      <c r="AC121" s="115" t="e">
        <f t="shared" si="23"/>
        <v>#REF!</v>
      </c>
      <c r="AD121" s="115">
        <f t="shared" si="24"/>
        <v>0</v>
      </c>
      <c r="AE121" s="11"/>
      <c r="AF121" s="115">
        <f t="shared" si="25"/>
        <v>0</v>
      </c>
      <c r="AG121" s="115">
        <f t="shared" si="26"/>
        <v>0</v>
      </c>
      <c r="AH121" s="115">
        <f t="shared" si="27"/>
        <v>0</v>
      </c>
      <c r="AJ121" s="11" t="e">
        <f t="shared" si="28"/>
        <v>#REF!</v>
      </c>
    </row>
    <row r="122" spans="1:36">
      <c r="A122" s="116"/>
      <c r="B122" s="116" t="s">
        <v>49</v>
      </c>
      <c r="C122" s="122"/>
      <c r="D122" s="120" t="s">
        <v>190</v>
      </c>
      <c r="E122" s="98"/>
      <c r="F122" s="99" t="e">
        <f>VLOOKUP(D122,#REF!,17,FALSE)</f>
        <v>#REF!</v>
      </c>
      <c r="G122" s="100"/>
      <c r="H122" s="100"/>
      <c r="I122" s="125">
        <v>3278.04</v>
      </c>
      <c r="J122" s="102" t="e">
        <f t="shared" si="16"/>
        <v>#REF!</v>
      </c>
      <c r="K122" s="103"/>
      <c r="L122" s="104"/>
      <c r="M122" s="105"/>
      <c r="N122" s="103">
        <v>0</v>
      </c>
      <c r="O122" s="106"/>
      <c r="P122" s="103">
        <v>0</v>
      </c>
      <c r="Q122" s="107">
        <f t="shared" si="17"/>
        <v>0</v>
      </c>
      <c r="R122" s="108">
        <v>0</v>
      </c>
      <c r="S122" s="119"/>
      <c r="T122" s="110">
        <f t="shared" si="29"/>
        <v>0</v>
      </c>
      <c r="U122" s="103"/>
      <c r="V122" s="112">
        <f t="shared" si="18"/>
        <v>0</v>
      </c>
      <c r="W122" s="112">
        <f t="shared" si="19"/>
        <v>0</v>
      </c>
      <c r="X122" s="113">
        <f t="shared" si="20"/>
        <v>0</v>
      </c>
      <c r="Y122" s="113">
        <v>0</v>
      </c>
      <c r="Z122" s="114">
        <v>0</v>
      </c>
      <c r="AA122" s="11">
        <f t="shared" si="21"/>
        <v>0</v>
      </c>
      <c r="AB122" s="115" t="e">
        <f t="shared" si="22"/>
        <v>#REF!</v>
      </c>
      <c r="AC122" s="115">
        <f t="shared" si="23"/>
        <v>0</v>
      </c>
      <c r="AD122" s="115">
        <f t="shared" si="24"/>
        <v>0</v>
      </c>
      <c r="AE122" s="11"/>
      <c r="AF122" s="115">
        <f t="shared" si="25"/>
        <v>0</v>
      </c>
      <c r="AG122" s="115">
        <f t="shared" si="26"/>
        <v>0</v>
      </c>
      <c r="AH122" s="115">
        <f t="shared" si="27"/>
        <v>0</v>
      </c>
      <c r="AJ122" s="11" t="e">
        <f t="shared" si="28"/>
        <v>#REF!</v>
      </c>
    </row>
    <row r="123" spans="1:36">
      <c r="A123" s="129"/>
      <c r="B123" s="129" t="s">
        <v>49</v>
      </c>
      <c r="C123" s="96" t="s">
        <v>196</v>
      </c>
      <c r="D123" s="120" t="s">
        <v>197</v>
      </c>
      <c r="E123" s="98"/>
      <c r="F123" s="99" t="e">
        <f>VLOOKUP(D123,#REF!,17,FALSE)</f>
        <v>#REF!</v>
      </c>
      <c r="G123" s="100"/>
      <c r="H123" s="100"/>
      <c r="I123" s="101"/>
      <c r="J123" s="102" t="e">
        <f t="shared" si="16"/>
        <v>#REF!</v>
      </c>
      <c r="K123" s="103"/>
      <c r="L123" s="104"/>
      <c r="M123" s="105">
        <v>25000</v>
      </c>
      <c r="N123" s="103">
        <v>0</v>
      </c>
      <c r="O123" s="106"/>
      <c r="P123" s="103">
        <v>0</v>
      </c>
      <c r="Q123" s="107">
        <f t="shared" si="17"/>
        <v>25000</v>
      </c>
      <c r="R123" s="108">
        <v>27311.46</v>
      </c>
      <c r="S123" s="119"/>
      <c r="T123" s="110">
        <f t="shared" si="29"/>
        <v>2311.4599999999991</v>
      </c>
      <c r="U123" s="103"/>
      <c r="V123" s="112">
        <f t="shared" si="18"/>
        <v>25000</v>
      </c>
      <c r="W123" s="112">
        <f t="shared" si="19"/>
        <v>0</v>
      </c>
      <c r="X123" s="113">
        <f t="shared" si="20"/>
        <v>0</v>
      </c>
      <c r="Y123" s="113">
        <v>0</v>
      </c>
      <c r="Z123" s="114">
        <v>0</v>
      </c>
      <c r="AA123" s="11">
        <f t="shared" si="21"/>
        <v>0</v>
      </c>
      <c r="AB123" s="115" t="e">
        <f t="shared" si="22"/>
        <v>#REF!</v>
      </c>
      <c r="AC123" s="115">
        <f t="shared" si="23"/>
        <v>0</v>
      </c>
      <c r="AD123" s="115">
        <f t="shared" si="24"/>
        <v>0</v>
      </c>
      <c r="AE123" s="11"/>
      <c r="AF123" s="115">
        <f t="shared" si="25"/>
        <v>25000</v>
      </c>
      <c r="AG123" s="115">
        <f t="shared" si="26"/>
        <v>0</v>
      </c>
      <c r="AH123" s="115">
        <f t="shared" si="27"/>
        <v>0</v>
      </c>
      <c r="AJ123" s="11" t="e">
        <f t="shared" si="28"/>
        <v>#REF!</v>
      </c>
    </row>
    <row r="124" spans="1:36">
      <c r="A124" s="129"/>
      <c r="B124" s="129" t="s">
        <v>46</v>
      </c>
      <c r="C124" s="96" t="s">
        <v>198</v>
      </c>
      <c r="D124" s="120" t="s">
        <v>199</v>
      </c>
      <c r="E124" s="98"/>
      <c r="F124" s="99" t="e">
        <f>VLOOKUP(D124,#REF!,17,FALSE)</f>
        <v>#REF!</v>
      </c>
      <c r="G124" s="100"/>
      <c r="H124" s="100"/>
      <c r="I124" s="101"/>
      <c r="J124" s="102" t="e">
        <f t="shared" si="16"/>
        <v>#REF!</v>
      </c>
      <c r="K124" s="103"/>
      <c r="L124" s="104"/>
      <c r="M124" s="105"/>
      <c r="N124" s="103">
        <v>0</v>
      </c>
      <c r="O124" s="106"/>
      <c r="P124" s="103">
        <v>0</v>
      </c>
      <c r="Q124" s="107">
        <f t="shared" si="17"/>
        <v>0</v>
      </c>
      <c r="R124" s="108">
        <v>0</v>
      </c>
      <c r="S124" s="119"/>
      <c r="T124" s="110">
        <f t="shared" si="29"/>
        <v>0</v>
      </c>
      <c r="U124" s="103"/>
      <c r="V124" s="112">
        <f t="shared" si="18"/>
        <v>0</v>
      </c>
      <c r="W124" s="112">
        <f t="shared" si="19"/>
        <v>0</v>
      </c>
      <c r="X124" s="113">
        <f t="shared" si="20"/>
        <v>0</v>
      </c>
      <c r="Y124" s="113">
        <v>0</v>
      </c>
      <c r="Z124" s="114">
        <v>0</v>
      </c>
      <c r="AA124" s="11">
        <f t="shared" si="21"/>
        <v>0</v>
      </c>
      <c r="AB124" s="115">
        <f t="shared" si="22"/>
        <v>0</v>
      </c>
      <c r="AC124" s="115" t="e">
        <f t="shared" si="23"/>
        <v>#REF!</v>
      </c>
      <c r="AD124" s="115">
        <f t="shared" si="24"/>
        <v>0</v>
      </c>
      <c r="AE124" s="11"/>
      <c r="AF124" s="115">
        <f t="shared" si="25"/>
        <v>0</v>
      </c>
      <c r="AG124" s="115">
        <f t="shared" si="26"/>
        <v>0</v>
      </c>
      <c r="AH124" s="115">
        <f t="shared" si="27"/>
        <v>0</v>
      </c>
      <c r="AJ124" s="11" t="e">
        <f t="shared" si="28"/>
        <v>#REF!</v>
      </c>
    </row>
    <row r="125" spans="1:36">
      <c r="A125" s="129"/>
      <c r="B125" s="129" t="s">
        <v>49</v>
      </c>
      <c r="C125" s="96"/>
      <c r="D125" s="120" t="s">
        <v>201</v>
      </c>
      <c r="E125" s="98"/>
      <c r="F125" s="99" t="e">
        <f>VLOOKUP(D125,#REF!,17,FALSE)</f>
        <v>#REF!</v>
      </c>
      <c r="G125" s="100"/>
      <c r="H125" s="100"/>
      <c r="I125" s="125">
        <v>1932.7</v>
      </c>
      <c r="J125" s="102" t="e">
        <f t="shared" si="16"/>
        <v>#REF!</v>
      </c>
      <c r="K125" s="103"/>
      <c r="L125" s="104"/>
      <c r="M125" s="105"/>
      <c r="N125" s="103">
        <v>0</v>
      </c>
      <c r="O125" s="106"/>
      <c r="P125" s="103">
        <v>0</v>
      </c>
      <c r="Q125" s="107">
        <f t="shared" si="17"/>
        <v>0</v>
      </c>
      <c r="R125" s="108">
        <v>0</v>
      </c>
      <c r="S125" s="119"/>
      <c r="T125" s="110">
        <f t="shared" si="29"/>
        <v>0</v>
      </c>
      <c r="U125" s="103"/>
      <c r="V125" s="112">
        <f t="shared" si="18"/>
        <v>0</v>
      </c>
      <c r="W125" s="112">
        <f t="shared" si="19"/>
        <v>0</v>
      </c>
      <c r="X125" s="113">
        <f t="shared" si="20"/>
        <v>0</v>
      </c>
      <c r="Y125" s="113">
        <v>0</v>
      </c>
      <c r="Z125" s="114">
        <v>0</v>
      </c>
      <c r="AA125" s="11">
        <f t="shared" si="21"/>
        <v>0</v>
      </c>
      <c r="AB125" s="115" t="e">
        <f t="shared" si="22"/>
        <v>#REF!</v>
      </c>
      <c r="AC125" s="115">
        <f t="shared" si="23"/>
        <v>0</v>
      </c>
      <c r="AD125" s="115">
        <f t="shared" si="24"/>
        <v>0</v>
      </c>
      <c r="AE125" s="11"/>
      <c r="AF125" s="115">
        <f t="shared" si="25"/>
        <v>0</v>
      </c>
      <c r="AG125" s="115">
        <f t="shared" si="26"/>
        <v>0</v>
      </c>
      <c r="AH125" s="115">
        <f t="shared" si="27"/>
        <v>0</v>
      </c>
      <c r="AJ125" s="11" t="e">
        <f t="shared" si="28"/>
        <v>#REF!</v>
      </c>
    </row>
    <row r="126" spans="1:36">
      <c r="A126" s="129"/>
      <c r="B126" s="129" t="s">
        <v>81</v>
      </c>
      <c r="C126" s="96" t="s">
        <v>202</v>
      </c>
      <c r="D126" s="120" t="s">
        <v>203</v>
      </c>
      <c r="E126" s="98">
        <f>3337.4+1099.1</f>
        <v>4436.5</v>
      </c>
      <c r="F126" s="99" t="e">
        <f>VLOOKUP(D126,#REF!,17,FALSE)</f>
        <v>#REF!</v>
      </c>
      <c r="G126" s="100"/>
      <c r="H126" s="100"/>
      <c r="I126" s="101"/>
      <c r="J126" s="102" t="e">
        <f t="shared" si="16"/>
        <v>#REF!</v>
      </c>
      <c r="K126" s="103"/>
      <c r="L126" s="104"/>
      <c r="M126" s="105">
        <v>5000</v>
      </c>
      <c r="N126" s="103">
        <v>0</v>
      </c>
      <c r="O126" s="106"/>
      <c r="P126" s="103">
        <v>0</v>
      </c>
      <c r="Q126" s="107">
        <f t="shared" si="17"/>
        <v>5000</v>
      </c>
      <c r="R126" s="108">
        <v>0</v>
      </c>
      <c r="S126" s="119"/>
      <c r="T126" s="110">
        <f t="shared" si="29"/>
        <v>-5000</v>
      </c>
      <c r="U126" s="103"/>
      <c r="V126" s="112">
        <f t="shared" si="18"/>
        <v>0</v>
      </c>
      <c r="W126" s="112">
        <f t="shared" si="19"/>
        <v>0</v>
      </c>
      <c r="X126" s="113">
        <f t="shared" si="20"/>
        <v>5000</v>
      </c>
      <c r="Y126" s="113">
        <v>0</v>
      </c>
      <c r="Z126" s="114">
        <v>0</v>
      </c>
      <c r="AA126" s="11">
        <f t="shared" si="21"/>
        <v>0</v>
      </c>
      <c r="AB126" s="115">
        <f t="shared" si="22"/>
        <v>0</v>
      </c>
      <c r="AC126" s="115">
        <f t="shared" si="23"/>
        <v>0</v>
      </c>
      <c r="AD126" s="115" t="e">
        <f t="shared" si="24"/>
        <v>#REF!</v>
      </c>
      <c r="AE126" s="11"/>
      <c r="AF126" s="115">
        <f t="shared" si="25"/>
        <v>0</v>
      </c>
      <c r="AG126" s="115">
        <f t="shared" si="26"/>
        <v>0</v>
      </c>
      <c r="AH126" s="115">
        <f t="shared" si="27"/>
        <v>5000</v>
      </c>
      <c r="AJ126" s="11" t="e">
        <f t="shared" si="28"/>
        <v>#REF!</v>
      </c>
    </row>
    <row r="127" spans="1:36">
      <c r="A127" s="129"/>
      <c r="B127" s="129" t="s">
        <v>46</v>
      </c>
      <c r="C127" s="96" t="s">
        <v>204</v>
      </c>
      <c r="D127" s="120" t="s">
        <v>205</v>
      </c>
      <c r="E127" s="98">
        <v>1492.48</v>
      </c>
      <c r="F127" s="99" t="e">
        <f>VLOOKUP(D127,#REF!,17,FALSE)</f>
        <v>#REF!</v>
      </c>
      <c r="G127" s="100"/>
      <c r="H127" s="100"/>
      <c r="I127" s="101"/>
      <c r="J127" s="102" t="e">
        <f t="shared" si="16"/>
        <v>#REF!</v>
      </c>
      <c r="K127" s="103"/>
      <c r="L127" s="104"/>
      <c r="M127" s="105"/>
      <c r="N127" s="103">
        <v>0</v>
      </c>
      <c r="O127" s="106"/>
      <c r="P127" s="103">
        <v>0</v>
      </c>
      <c r="Q127" s="107">
        <f t="shared" si="17"/>
        <v>0</v>
      </c>
      <c r="R127" s="108">
        <v>0</v>
      </c>
      <c r="S127" s="119"/>
      <c r="T127" s="110">
        <f t="shared" si="29"/>
        <v>0</v>
      </c>
      <c r="U127" s="103"/>
      <c r="V127" s="112">
        <f t="shared" si="18"/>
        <v>0</v>
      </c>
      <c r="W127" s="112">
        <f t="shared" si="19"/>
        <v>0</v>
      </c>
      <c r="X127" s="113">
        <f t="shared" si="20"/>
        <v>0</v>
      </c>
      <c r="Y127" s="113">
        <v>0</v>
      </c>
      <c r="Z127" s="114">
        <v>0</v>
      </c>
      <c r="AA127" s="11">
        <f t="shared" si="21"/>
        <v>0</v>
      </c>
      <c r="AB127" s="115">
        <f t="shared" si="22"/>
        <v>0</v>
      </c>
      <c r="AC127" s="115" t="e">
        <f t="shared" si="23"/>
        <v>#REF!</v>
      </c>
      <c r="AD127" s="115">
        <f t="shared" si="24"/>
        <v>0</v>
      </c>
      <c r="AE127" s="11"/>
      <c r="AF127" s="115">
        <f t="shared" si="25"/>
        <v>0</v>
      </c>
      <c r="AG127" s="115">
        <f t="shared" si="26"/>
        <v>0</v>
      </c>
      <c r="AH127" s="115">
        <f t="shared" si="27"/>
        <v>0</v>
      </c>
      <c r="AJ127" s="11" t="e">
        <f t="shared" si="28"/>
        <v>#REF!</v>
      </c>
    </row>
    <row r="128" spans="1:36" s="124" customFormat="1">
      <c r="A128" s="123" t="s">
        <v>60</v>
      </c>
      <c r="B128" s="123" t="s">
        <v>46</v>
      </c>
      <c r="C128" s="122" t="s">
        <v>206</v>
      </c>
      <c r="D128" s="118" t="s">
        <v>207</v>
      </c>
      <c r="E128" s="98"/>
      <c r="F128" s="99" t="e">
        <f>VLOOKUP(D128,#REF!,17,FALSE)</f>
        <v>#REF!</v>
      </c>
      <c r="G128" s="100"/>
      <c r="H128" s="100"/>
      <c r="I128" s="101"/>
      <c r="J128" s="102" t="e">
        <f t="shared" si="16"/>
        <v>#REF!</v>
      </c>
      <c r="K128" s="103"/>
      <c r="L128" s="104"/>
      <c r="M128" s="105"/>
      <c r="N128" s="103">
        <v>0</v>
      </c>
      <c r="O128" s="106"/>
      <c r="P128" s="103">
        <v>0</v>
      </c>
      <c r="Q128" s="107">
        <f t="shared" si="17"/>
        <v>0</v>
      </c>
      <c r="R128" s="108">
        <v>0</v>
      </c>
      <c r="S128" s="119"/>
      <c r="T128" s="110">
        <f t="shared" si="29"/>
        <v>0</v>
      </c>
      <c r="U128" s="103"/>
      <c r="V128" s="112">
        <f t="shared" si="18"/>
        <v>0</v>
      </c>
      <c r="W128" s="112">
        <f t="shared" si="19"/>
        <v>0</v>
      </c>
      <c r="X128" s="113">
        <f t="shared" si="20"/>
        <v>0</v>
      </c>
      <c r="Y128" s="113">
        <v>0</v>
      </c>
      <c r="Z128" s="114">
        <v>0</v>
      </c>
      <c r="AA128" s="11">
        <f t="shared" si="21"/>
        <v>0</v>
      </c>
      <c r="AB128" s="115">
        <f t="shared" si="22"/>
        <v>0</v>
      </c>
      <c r="AC128" s="115" t="e">
        <f t="shared" si="23"/>
        <v>#REF!</v>
      </c>
      <c r="AD128" s="115">
        <f t="shared" si="24"/>
        <v>0</v>
      </c>
      <c r="AE128" s="11"/>
      <c r="AF128" s="115">
        <f t="shared" si="25"/>
        <v>0</v>
      </c>
      <c r="AG128" s="115">
        <f t="shared" si="26"/>
        <v>0</v>
      </c>
      <c r="AH128" s="115">
        <f t="shared" si="27"/>
        <v>0</v>
      </c>
      <c r="AJ128" s="11" t="e">
        <f t="shared" si="28"/>
        <v>#REF!</v>
      </c>
    </row>
    <row r="129" spans="1:36" s="124" customFormat="1">
      <c r="A129" s="123"/>
      <c r="B129" s="123" t="s">
        <v>46</v>
      </c>
      <c r="C129" s="122"/>
      <c r="D129" s="118" t="s">
        <v>208</v>
      </c>
      <c r="E129" s="98"/>
      <c r="F129" s="99" t="e">
        <f>VLOOKUP(D129,#REF!,17,FALSE)</f>
        <v>#REF!</v>
      </c>
      <c r="G129" s="100"/>
      <c r="H129" s="100"/>
      <c r="I129" s="125">
        <f>14194.08+742.64</f>
        <v>14936.72</v>
      </c>
      <c r="J129" s="102" t="e">
        <f t="shared" si="16"/>
        <v>#REF!</v>
      </c>
      <c r="K129" s="103"/>
      <c r="L129" s="104"/>
      <c r="M129" s="105"/>
      <c r="N129" s="103">
        <v>0</v>
      </c>
      <c r="O129" s="106"/>
      <c r="P129" s="103">
        <v>0</v>
      </c>
      <c r="Q129" s="107">
        <f t="shared" si="17"/>
        <v>0</v>
      </c>
      <c r="R129" s="108">
        <v>0</v>
      </c>
      <c r="S129" s="119"/>
      <c r="T129" s="110">
        <f t="shared" si="29"/>
        <v>0</v>
      </c>
      <c r="U129" s="103"/>
      <c r="V129" s="112">
        <f t="shared" si="18"/>
        <v>0</v>
      </c>
      <c r="W129" s="112">
        <f t="shared" si="19"/>
        <v>0</v>
      </c>
      <c r="X129" s="113">
        <f t="shared" si="20"/>
        <v>0</v>
      </c>
      <c r="Y129" s="113">
        <v>0</v>
      </c>
      <c r="Z129" s="114">
        <v>0</v>
      </c>
      <c r="AA129" s="11">
        <f t="shared" si="21"/>
        <v>0</v>
      </c>
      <c r="AB129" s="115">
        <f t="shared" si="22"/>
        <v>0</v>
      </c>
      <c r="AC129" s="115" t="e">
        <f t="shared" si="23"/>
        <v>#REF!</v>
      </c>
      <c r="AD129" s="115">
        <f t="shared" si="24"/>
        <v>0</v>
      </c>
      <c r="AE129" s="11"/>
      <c r="AF129" s="115">
        <f t="shared" si="25"/>
        <v>0</v>
      </c>
      <c r="AG129" s="115">
        <f t="shared" si="26"/>
        <v>0</v>
      </c>
      <c r="AH129" s="115">
        <f t="shared" si="27"/>
        <v>0</v>
      </c>
      <c r="AJ129" s="11" t="e">
        <f t="shared" si="28"/>
        <v>#REF!</v>
      </c>
    </row>
    <row r="130" spans="1:36" s="124" customFormat="1">
      <c r="A130" s="123"/>
      <c r="B130" s="123" t="s">
        <v>49</v>
      </c>
      <c r="C130" s="122"/>
      <c r="D130" s="118" t="s">
        <v>209</v>
      </c>
      <c r="E130" s="98"/>
      <c r="F130" s="99" t="e">
        <f>VLOOKUP(D130,#REF!,17,FALSE)</f>
        <v>#REF!</v>
      </c>
      <c r="G130" s="100"/>
      <c r="H130" s="100"/>
      <c r="I130" s="125">
        <v>1495.47</v>
      </c>
      <c r="J130" s="102" t="e">
        <f t="shared" si="16"/>
        <v>#REF!</v>
      </c>
      <c r="K130" s="103"/>
      <c r="L130" s="104"/>
      <c r="M130" s="105"/>
      <c r="N130" s="103">
        <v>0</v>
      </c>
      <c r="O130" s="106"/>
      <c r="P130" s="103">
        <v>0</v>
      </c>
      <c r="Q130" s="107">
        <f t="shared" si="17"/>
        <v>0</v>
      </c>
      <c r="R130" s="108">
        <v>0</v>
      </c>
      <c r="S130" s="119"/>
      <c r="T130" s="110">
        <f t="shared" si="29"/>
        <v>0</v>
      </c>
      <c r="U130" s="103"/>
      <c r="V130" s="112">
        <f t="shared" si="18"/>
        <v>0</v>
      </c>
      <c r="W130" s="112">
        <f t="shared" si="19"/>
        <v>0</v>
      </c>
      <c r="X130" s="113">
        <f t="shared" si="20"/>
        <v>0</v>
      </c>
      <c r="Y130" s="113">
        <v>0</v>
      </c>
      <c r="Z130" s="114">
        <v>0</v>
      </c>
      <c r="AA130" s="11">
        <f t="shared" si="21"/>
        <v>0</v>
      </c>
      <c r="AB130" s="115" t="e">
        <f t="shared" si="22"/>
        <v>#REF!</v>
      </c>
      <c r="AC130" s="115">
        <f t="shared" si="23"/>
        <v>0</v>
      </c>
      <c r="AD130" s="115">
        <f t="shared" si="24"/>
        <v>0</v>
      </c>
      <c r="AE130" s="11"/>
      <c r="AF130" s="115">
        <f t="shared" si="25"/>
        <v>0</v>
      </c>
      <c r="AG130" s="115">
        <f t="shared" si="26"/>
        <v>0</v>
      </c>
      <c r="AH130" s="115">
        <f t="shared" si="27"/>
        <v>0</v>
      </c>
      <c r="AJ130" s="11" t="e">
        <f t="shared" si="28"/>
        <v>#REF!</v>
      </c>
    </row>
    <row r="131" spans="1:36" s="124" customFormat="1">
      <c r="A131" s="127"/>
      <c r="B131" s="127" t="s">
        <v>49</v>
      </c>
      <c r="C131" s="96" t="s">
        <v>210</v>
      </c>
      <c r="D131" s="118" t="s">
        <v>211</v>
      </c>
      <c r="E131" s="98"/>
      <c r="F131" s="99" t="e">
        <f>VLOOKUP(D131,#REF!,17,FALSE)</f>
        <v>#REF!</v>
      </c>
      <c r="G131" s="100"/>
      <c r="H131" s="100"/>
      <c r="I131" s="101"/>
      <c r="J131" s="102" t="e">
        <f t="shared" si="16"/>
        <v>#REF!</v>
      </c>
      <c r="K131" s="103"/>
      <c r="L131" s="104"/>
      <c r="M131" s="105"/>
      <c r="N131" s="103">
        <v>0</v>
      </c>
      <c r="O131" s="106"/>
      <c r="P131" s="103">
        <v>0</v>
      </c>
      <c r="Q131" s="107">
        <f t="shared" si="17"/>
        <v>0</v>
      </c>
      <c r="R131" s="108">
        <v>0</v>
      </c>
      <c r="S131" s="119"/>
      <c r="T131" s="110">
        <f t="shared" ref="T131:T162" si="30">IF(R131="","",R131-Q131)</f>
        <v>0</v>
      </c>
      <c r="U131" s="103"/>
      <c r="V131" s="112">
        <f t="shared" si="18"/>
        <v>0</v>
      </c>
      <c r="W131" s="112">
        <f t="shared" si="19"/>
        <v>0</v>
      </c>
      <c r="X131" s="113">
        <f t="shared" si="20"/>
        <v>0</v>
      </c>
      <c r="Y131" s="113">
        <v>0</v>
      </c>
      <c r="Z131" s="114">
        <v>0</v>
      </c>
      <c r="AA131" s="11">
        <f t="shared" si="21"/>
        <v>0</v>
      </c>
      <c r="AB131" s="115" t="e">
        <f t="shared" si="22"/>
        <v>#REF!</v>
      </c>
      <c r="AC131" s="115">
        <f t="shared" si="23"/>
        <v>0</v>
      </c>
      <c r="AD131" s="115">
        <f t="shared" si="24"/>
        <v>0</v>
      </c>
      <c r="AE131" s="11"/>
      <c r="AF131" s="115">
        <f t="shared" si="25"/>
        <v>0</v>
      </c>
      <c r="AG131" s="115">
        <f t="shared" si="26"/>
        <v>0</v>
      </c>
      <c r="AH131" s="115">
        <f t="shared" si="27"/>
        <v>0</v>
      </c>
      <c r="AJ131" s="11" t="e">
        <f t="shared" si="28"/>
        <v>#REF!</v>
      </c>
    </row>
    <row r="132" spans="1:36" s="124" customFormat="1">
      <c r="A132" s="123"/>
      <c r="B132" s="123" t="s">
        <v>49</v>
      </c>
      <c r="C132" s="122"/>
      <c r="D132" s="120" t="s">
        <v>212</v>
      </c>
      <c r="E132" s="98"/>
      <c r="F132" s="99" t="e">
        <f>VLOOKUP(D132,#REF!,17,FALSE)</f>
        <v>#REF!</v>
      </c>
      <c r="G132" s="100"/>
      <c r="H132" s="100"/>
      <c r="I132" s="101"/>
      <c r="J132" s="102" t="e">
        <f t="shared" si="16"/>
        <v>#REF!</v>
      </c>
      <c r="K132" s="103"/>
      <c r="L132" s="104"/>
      <c r="M132" s="105"/>
      <c r="N132" s="103">
        <v>0</v>
      </c>
      <c r="O132" s="106"/>
      <c r="P132" s="103">
        <v>0</v>
      </c>
      <c r="Q132" s="107">
        <f t="shared" si="17"/>
        <v>0</v>
      </c>
      <c r="R132" s="108">
        <v>0</v>
      </c>
      <c r="S132" s="119"/>
      <c r="T132" s="110">
        <f t="shared" si="30"/>
        <v>0</v>
      </c>
      <c r="U132" s="103"/>
      <c r="V132" s="112">
        <f t="shared" si="18"/>
        <v>0</v>
      </c>
      <c r="W132" s="112">
        <f t="shared" si="19"/>
        <v>0</v>
      </c>
      <c r="X132" s="113">
        <f t="shared" si="20"/>
        <v>0</v>
      </c>
      <c r="Y132" s="113">
        <v>0</v>
      </c>
      <c r="Z132" s="114">
        <v>0</v>
      </c>
      <c r="AA132" s="11">
        <f t="shared" si="21"/>
        <v>0</v>
      </c>
      <c r="AB132" s="115" t="e">
        <f t="shared" si="22"/>
        <v>#REF!</v>
      </c>
      <c r="AC132" s="115">
        <f t="shared" si="23"/>
        <v>0</v>
      </c>
      <c r="AD132" s="115">
        <f t="shared" si="24"/>
        <v>0</v>
      </c>
      <c r="AE132" s="11"/>
      <c r="AF132" s="115">
        <f t="shared" si="25"/>
        <v>0</v>
      </c>
      <c r="AG132" s="115">
        <f t="shared" si="26"/>
        <v>0</v>
      </c>
      <c r="AH132" s="115">
        <f t="shared" si="27"/>
        <v>0</v>
      </c>
      <c r="AJ132" s="11" t="e">
        <f t="shared" si="28"/>
        <v>#REF!</v>
      </c>
    </row>
    <row r="133" spans="1:36" s="124" customFormat="1">
      <c r="A133" s="123"/>
      <c r="B133" s="123" t="s">
        <v>49</v>
      </c>
      <c r="C133" s="122" t="s">
        <v>213</v>
      </c>
      <c r="D133" s="118" t="s">
        <v>214</v>
      </c>
      <c r="E133" s="98"/>
      <c r="F133" s="99" t="e">
        <f>VLOOKUP(D133,#REF!,17,FALSE)</f>
        <v>#REF!</v>
      </c>
      <c r="G133" s="100"/>
      <c r="H133" s="100"/>
      <c r="I133" s="125">
        <v>4839.03</v>
      </c>
      <c r="J133" s="102" t="e">
        <f t="shared" si="16"/>
        <v>#REF!</v>
      </c>
      <c r="K133" s="103"/>
      <c r="L133" s="104"/>
      <c r="M133" s="105"/>
      <c r="N133" s="103">
        <v>0</v>
      </c>
      <c r="O133" s="106"/>
      <c r="P133" s="103">
        <v>0</v>
      </c>
      <c r="Q133" s="107">
        <f t="shared" si="17"/>
        <v>0</v>
      </c>
      <c r="R133" s="108">
        <v>0</v>
      </c>
      <c r="S133" s="119"/>
      <c r="T133" s="110">
        <f t="shared" si="30"/>
        <v>0</v>
      </c>
      <c r="U133" s="103"/>
      <c r="V133" s="112">
        <f t="shared" si="18"/>
        <v>0</v>
      </c>
      <c r="W133" s="112">
        <f t="shared" si="19"/>
        <v>0</v>
      </c>
      <c r="X133" s="113">
        <f t="shared" si="20"/>
        <v>0</v>
      </c>
      <c r="Y133" s="113">
        <v>0</v>
      </c>
      <c r="Z133" s="114">
        <v>0</v>
      </c>
      <c r="AA133" s="11">
        <f t="shared" si="21"/>
        <v>0</v>
      </c>
      <c r="AB133" s="115" t="e">
        <f t="shared" si="22"/>
        <v>#REF!</v>
      </c>
      <c r="AC133" s="115">
        <f t="shared" si="23"/>
        <v>0</v>
      </c>
      <c r="AD133" s="115">
        <f t="shared" si="24"/>
        <v>0</v>
      </c>
      <c r="AE133" s="11"/>
      <c r="AF133" s="115">
        <f t="shared" si="25"/>
        <v>0</v>
      </c>
      <c r="AG133" s="115">
        <f t="shared" si="26"/>
        <v>0</v>
      </c>
      <c r="AH133" s="115">
        <f t="shared" si="27"/>
        <v>0</v>
      </c>
      <c r="AJ133" s="11" t="e">
        <f t="shared" si="28"/>
        <v>#REF!</v>
      </c>
    </row>
    <row r="134" spans="1:36" s="124" customFormat="1">
      <c r="A134" s="123"/>
      <c r="B134" s="123" t="s">
        <v>49</v>
      </c>
      <c r="C134" s="122" t="s">
        <v>213</v>
      </c>
      <c r="D134" s="118" t="s">
        <v>215</v>
      </c>
      <c r="E134" s="98"/>
      <c r="F134" s="99" t="e">
        <f>VLOOKUP(D134,#REF!,17,FALSE)</f>
        <v>#REF!</v>
      </c>
      <c r="G134" s="100"/>
      <c r="H134" s="100"/>
      <c r="I134" s="125">
        <v>323.33</v>
      </c>
      <c r="J134" s="102" t="e">
        <f t="shared" si="16"/>
        <v>#REF!</v>
      </c>
      <c r="K134" s="103"/>
      <c r="L134" s="104"/>
      <c r="M134" s="105"/>
      <c r="N134" s="103">
        <v>0</v>
      </c>
      <c r="O134" s="106"/>
      <c r="P134" s="103">
        <v>0</v>
      </c>
      <c r="Q134" s="107">
        <f t="shared" si="17"/>
        <v>0</v>
      </c>
      <c r="R134" s="108">
        <v>0</v>
      </c>
      <c r="S134" s="119"/>
      <c r="T134" s="110">
        <f t="shared" si="30"/>
        <v>0</v>
      </c>
      <c r="U134" s="103"/>
      <c r="V134" s="112">
        <f t="shared" si="18"/>
        <v>0</v>
      </c>
      <c r="W134" s="112">
        <f t="shared" si="19"/>
        <v>0</v>
      </c>
      <c r="X134" s="113">
        <f t="shared" si="20"/>
        <v>0</v>
      </c>
      <c r="Y134" s="113">
        <v>0</v>
      </c>
      <c r="Z134" s="114">
        <v>0</v>
      </c>
      <c r="AA134" s="11">
        <f t="shared" si="21"/>
        <v>0</v>
      </c>
      <c r="AB134" s="115" t="e">
        <f t="shared" si="22"/>
        <v>#REF!</v>
      </c>
      <c r="AC134" s="115">
        <f t="shared" si="23"/>
        <v>0</v>
      </c>
      <c r="AD134" s="115">
        <f t="shared" si="24"/>
        <v>0</v>
      </c>
      <c r="AE134" s="11"/>
      <c r="AF134" s="115">
        <f t="shared" si="25"/>
        <v>0</v>
      </c>
      <c r="AG134" s="115">
        <f t="shared" si="26"/>
        <v>0</v>
      </c>
      <c r="AH134" s="115">
        <f t="shared" si="27"/>
        <v>0</v>
      </c>
      <c r="AJ134" s="11" t="e">
        <f t="shared" si="28"/>
        <v>#REF!</v>
      </c>
    </row>
    <row r="135" spans="1:36" s="124" customFormat="1">
      <c r="A135" s="123"/>
      <c r="B135" s="123" t="s">
        <v>49</v>
      </c>
      <c r="C135" s="122" t="s">
        <v>213</v>
      </c>
      <c r="D135" s="118" t="s">
        <v>216</v>
      </c>
      <c r="E135" s="98"/>
      <c r="F135" s="99" t="e">
        <f>VLOOKUP(D135,#REF!,17,FALSE)</f>
        <v>#REF!</v>
      </c>
      <c r="G135" s="100"/>
      <c r="H135" s="100"/>
      <c r="I135" s="125">
        <v>91.79</v>
      </c>
      <c r="J135" s="102" t="e">
        <f t="shared" si="16"/>
        <v>#REF!</v>
      </c>
      <c r="K135" s="103"/>
      <c r="L135" s="104"/>
      <c r="M135" s="105"/>
      <c r="N135" s="103">
        <v>0</v>
      </c>
      <c r="O135" s="106"/>
      <c r="P135" s="103">
        <v>0</v>
      </c>
      <c r="Q135" s="107">
        <f t="shared" si="17"/>
        <v>0</v>
      </c>
      <c r="R135" s="108">
        <v>0</v>
      </c>
      <c r="S135" s="119"/>
      <c r="T135" s="110">
        <f t="shared" si="30"/>
        <v>0</v>
      </c>
      <c r="U135" s="103"/>
      <c r="V135" s="112">
        <f t="shared" si="18"/>
        <v>0</v>
      </c>
      <c r="W135" s="112">
        <f t="shared" si="19"/>
        <v>0</v>
      </c>
      <c r="X135" s="113">
        <f t="shared" si="20"/>
        <v>0</v>
      </c>
      <c r="Y135" s="113">
        <v>0</v>
      </c>
      <c r="Z135" s="114">
        <v>0</v>
      </c>
      <c r="AA135" s="11">
        <f t="shared" si="21"/>
        <v>0</v>
      </c>
      <c r="AB135" s="115" t="e">
        <f t="shared" si="22"/>
        <v>#REF!</v>
      </c>
      <c r="AC135" s="115">
        <f t="shared" si="23"/>
        <v>0</v>
      </c>
      <c r="AD135" s="115">
        <f t="shared" si="24"/>
        <v>0</v>
      </c>
      <c r="AE135" s="11"/>
      <c r="AF135" s="115">
        <f t="shared" si="25"/>
        <v>0</v>
      </c>
      <c r="AG135" s="115">
        <f t="shared" si="26"/>
        <v>0</v>
      </c>
      <c r="AH135" s="115">
        <f t="shared" si="27"/>
        <v>0</v>
      </c>
      <c r="AJ135" s="11" t="e">
        <f t="shared" si="28"/>
        <v>#REF!</v>
      </c>
    </row>
    <row r="136" spans="1:36" s="124" customFormat="1">
      <c r="A136" s="123"/>
      <c r="B136" s="123" t="s">
        <v>49</v>
      </c>
      <c r="C136" s="122" t="s">
        <v>213</v>
      </c>
      <c r="D136" s="118" t="s">
        <v>217</v>
      </c>
      <c r="E136" s="98"/>
      <c r="F136" s="99" t="e">
        <f>VLOOKUP(D136,#REF!,17,FALSE)</f>
        <v>#REF!</v>
      </c>
      <c r="G136" s="100"/>
      <c r="H136" s="100"/>
      <c r="I136" s="125">
        <v>5.26</v>
      </c>
      <c r="J136" s="102" t="e">
        <f t="shared" si="16"/>
        <v>#REF!</v>
      </c>
      <c r="K136" s="103"/>
      <c r="L136" s="104"/>
      <c r="M136" s="105"/>
      <c r="N136" s="103">
        <v>0</v>
      </c>
      <c r="O136" s="106"/>
      <c r="P136" s="103">
        <v>0</v>
      </c>
      <c r="Q136" s="107">
        <f t="shared" si="17"/>
        <v>0</v>
      </c>
      <c r="R136" s="108">
        <v>0</v>
      </c>
      <c r="S136" s="119"/>
      <c r="T136" s="110">
        <f t="shared" si="30"/>
        <v>0</v>
      </c>
      <c r="U136" s="103"/>
      <c r="V136" s="112">
        <f t="shared" si="18"/>
        <v>0</v>
      </c>
      <c r="W136" s="112">
        <f t="shared" si="19"/>
        <v>0</v>
      </c>
      <c r="X136" s="113">
        <f t="shared" si="20"/>
        <v>0</v>
      </c>
      <c r="Y136" s="113">
        <v>0</v>
      </c>
      <c r="Z136" s="114">
        <v>0</v>
      </c>
      <c r="AA136" s="11">
        <f t="shared" si="21"/>
        <v>0</v>
      </c>
      <c r="AB136" s="115" t="e">
        <f t="shared" si="22"/>
        <v>#REF!</v>
      </c>
      <c r="AC136" s="115">
        <f t="shared" si="23"/>
        <v>0</v>
      </c>
      <c r="AD136" s="115">
        <f t="shared" si="24"/>
        <v>0</v>
      </c>
      <c r="AE136" s="11"/>
      <c r="AF136" s="115">
        <f t="shared" si="25"/>
        <v>0</v>
      </c>
      <c r="AG136" s="115">
        <f t="shared" si="26"/>
        <v>0</v>
      </c>
      <c r="AH136" s="115">
        <f t="shared" si="27"/>
        <v>0</v>
      </c>
      <c r="AJ136" s="11" t="e">
        <f t="shared" si="28"/>
        <v>#REF!</v>
      </c>
    </row>
    <row r="137" spans="1:36" s="124" customFormat="1">
      <c r="A137" s="123"/>
      <c r="B137" s="123" t="s">
        <v>49</v>
      </c>
      <c r="C137" s="122" t="s">
        <v>213</v>
      </c>
      <c r="D137" s="118" t="s">
        <v>218</v>
      </c>
      <c r="E137" s="98"/>
      <c r="F137" s="99" t="e">
        <f>VLOOKUP(D137,#REF!,17,FALSE)</f>
        <v>#REF!</v>
      </c>
      <c r="G137" s="100"/>
      <c r="H137" s="100"/>
      <c r="I137" s="125">
        <v>105.95</v>
      </c>
      <c r="J137" s="102" t="e">
        <f t="shared" si="16"/>
        <v>#REF!</v>
      </c>
      <c r="K137" s="103"/>
      <c r="L137" s="104"/>
      <c r="M137" s="105"/>
      <c r="N137" s="103">
        <v>0</v>
      </c>
      <c r="O137" s="106"/>
      <c r="P137" s="103">
        <v>0</v>
      </c>
      <c r="Q137" s="107">
        <f t="shared" si="17"/>
        <v>0</v>
      </c>
      <c r="R137" s="108">
        <v>0</v>
      </c>
      <c r="S137" s="119"/>
      <c r="T137" s="110">
        <f t="shared" si="30"/>
        <v>0</v>
      </c>
      <c r="U137" s="103"/>
      <c r="V137" s="112">
        <f t="shared" si="18"/>
        <v>0</v>
      </c>
      <c r="W137" s="112">
        <f t="shared" si="19"/>
        <v>0</v>
      </c>
      <c r="X137" s="113">
        <f t="shared" si="20"/>
        <v>0</v>
      </c>
      <c r="Y137" s="113">
        <v>0</v>
      </c>
      <c r="Z137" s="114">
        <v>0</v>
      </c>
      <c r="AA137" s="11">
        <f t="shared" si="21"/>
        <v>0</v>
      </c>
      <c r="AB137" s="115" t="e">
        <f t="shared" si="22"/>
        <v>#REF!</v>
      </c>
      <c r="AC137" s="115">
        <f t="shared" si="23"/>
        <v>0</v>
      </c>
      <c r="AD137" s="115">
        <f t="shared" si="24"/>
        <v>0</v>
      </c>
      <c r="AE137" s="11"/>
      <c r="AF137" s="115">
        <f t="shared" si="25"/>
        <v>0</v>
      </c>
      <c r="AG137" s="115">
        <f t="shared" si="26"/>
        <v>0</v>
      </c>
      <c r="AH137" s="115">
        <f t="shared" si="27"/>
        <v>0</v>
      </c>
      <c r="AJ137" s="11" t="e">
        <f t="shared" si="28"/>
        <v>#REF!</v>
      </c>
    </row>
    <row r="138" spans="1:36" s="124" customFormat="1">
      <c r="A138" s="123"/>
      <c r="B138" s="123" t="s">
        <v>49</v>
      </c>
      <c r="C138" s="122" t="s">
        <v>213</v>
      </c>
      <c r="D138" s="118" t="s">
        <v>219</v>
      </c>
      <c r="E138" s="98"/>
      <c r="F138" s="99" t="e">
        <f>VLOOKUP(D138,#REF!,17,FALSE)</f>
        <v>#REF!</v>
      </c>
      <c r="G138" s="100"/>
      <c r="H138" s="100"/>
      <c r="I138" s="125">
        <v>2.91</v>
      </c>
      <c r="J138" s="102" t="e">
        <f t="shared" si="16"/>
        <v>#REF!</v>
      </c>
      <c r="K138" s="103"/>
      <c r="L138" s="104"/>
      <c r="M138" s="105"/>
      <c r="N138" s="103">
        <v>0</v>
      </c>
      <c r="O138" s="106"/>
      <c r="P138" s="103">
        <v>0</v>
      </c>
      <c r="Q138" s="107">
        <f t="shared" si="17"/>
        <v>0</v>
      </c>
      <c r="R138" s="108">
        <v>0</v>
      </c>
      <c r="S138" s="119"/>
      <c r="T138" s="110">
        <f t="shared" si="30"/>
        <v>0</v>
      </c>
      <c r="U138" s="103"/>
      <c r="V138" s="112">
        <f t="shared" si="18"/>
        <v>0</v>
      </c>
      <c r="W138" s="112">
        <f t="shared" si="19"/>
        <v>0</v>
      </c>
      <c r="X138" s="113">
        <f t="shared" si="20"/>
        <v>0</v>
      </c>
      <c r="Y138" s="113">
        <v>0</v>
      </c>
      <c r="Z138" s="114">
        <v>0</v>
      </c>
      <c r="AA138" s="11">
        <f t="shared" si="21"/>
        <v>0</v>
      </c>
      <c r="AB138" s="115" t="e">
        <f t="shared" si="22"/>
        <v>#REF!</v>
      </c>
      <c r="AC138" s="115">
        <f t="shared" si="23"/>
        <v>0</v>
      </c>
      <c r="AD138" s="115">
        <f t="shared" si="24"/>
        <v>0</v>
      </c>
      <c r="AE138" s="11"/>
      <c r="AF138" s="115">
        <f t="shared" si="25"/>
        <v>0</v>
      </c>
      <c r="AG138" s="115">
        <f t="shared" si="26"/>
        <v>0</v>
      </c>
      <c r="AH138" s="115">
        <f t="shared" si="27"/>
        <v>0</v>
      </c>
      <c r="AJ138" s="11" t="e">
        <f t="shared" si="28"/>
        <v>#REF!</v>
      </c>
    </row>
    <row r="139" spans="1:36" s="124" customFormat="1">
      <c r="A139" s="123"/>
      <c r="B139" s="123" t="s">
        <v>49</v>
      </c>
      <c r="C139" s="122" t="s">
        <v>213</v>
      </c>
      <c r="D139" s="118" t="s">
        <v>220</v>
      </c>
      <c r="E139" s="98"/>
      <c r="F139" s="99" t="e">
        <f>VLOOKUP(D139,#REF!,17,FALSE)</f>
        <v>#REF!</v>
      </c>
      <c r="G139" s="100"/>
      <c r="H139" s="100"/>
      <c r="I139" s="125">
        <f>1047.97+249.02+214.69</f>
        <v>1511.68</v>
      </c>
      <c r="J139" s="102" t="e">
        <f t="shared" si="16"/>
        <v>#REF!</v>
      </c>
      <c r="K139" s="103"/>
      <c r="L139" s="104"/>
      <c r="M139" s="105"/>
      <c r="N139" s="103">
        <v>0</v>
      </c>
      <c r="O139" s="106"/>
      <c r="P139" s="103">
        <v>0</v>
      </c>
      <c r="Q139" s="107">
        <f t="shared" si="17"/>
        <v>0</v>
      </c>
      <c r="R139" s="108">
        <v>0</v>
      </c>
      <c r="S139" s="119"/>
      <c r="T139" s="110">
        <f t="shared" si="30"/>
        <v>0</v>
      </c>
      <c r="U139" s="103"/>
      <c r="V139" s="112">
        <f t="shared" si="18"/>
        <v>0</v>
      </c>
      <c r="W139" s="112">
        <f t="shared" si="19"/>
        <v>0</v>
      </c>
      <c r="X139" s="113">
        <f t="shared" si="20"/>
        <v>0</v>
      </c>
      <c r="Y139" s="113">
        <v>0</v>
      </c>
      <c r="Z139" s="114">
        <v>0</v>
      </c>
      <c r="AA139" s="11">
        <f t="shared" si="21"/>
        <v>0</v>
      </c>
      <c r="AB139" s="115" t="e">
        <f t="shared" si="22"/>
        <v>#REF!</v>
      </c>
      <c r="AC139" s="115">
        <f t="shared" si="23"/>
        <v>0</v>
      </c>
      <c r="AD139" s="115">
        <f t="shared" si="24"/>
        <v>0</v>
      </c>
      <c r="AE139" s="11"/>
      <c r="AF139" s="115">
        <f t="shared" si="25"/>
        <v>0</v>
      </c>
      <c r="AG139" s="115">
        <f t="shared" si="26"/>
        <v>0</v>
      </c>
      <c r="AH139" s="115">
        <f t="shared" si="27"/>
        <v>0</v>
      </c>
      <c r="AJ139" s="11" t="e">
        <f t="shared" si="28"/>
        <v>#REF!</v>
      </c>
    </row>
    <row r="140" spans="1:36" s="124" customFormat="1">
      <c r="A140" s="123"/>
      <c r="B140" s="123" t="s">
        <v>49</v>
      </c>
      <c r="C140" s="122" t="s">
        <v>213</v>
      </c>
      <c r="D140" s="118" t="s">
        <v>221</v>
      </c>
      <c r="E140" s="98"/>
      <c r="F140" s="99" t="e">
        <f>VLOOKUP(D140,#REF!,17,FALSE)</f>
        <v>#REF!</v>
      </c>
      <c r="G140" s="100"/>
      <c r="H140" s="100"/>
      <c r="I140" s="125">
        <v>385.21</v>
      </c>
      <c r="J140" s="102" t="e">
        <f t="shared" si="16"/>
        <v>#REF!</v>
      </c>
      <c r="K140" s="103"/>
      <c r="L140" s="104"/>
      <c r="M140" s="105"/>
      <c r="N140" s="103">
        <v>0</v>
      </c>
      <c r="O140" s="106"/>
      <c r="P140" s="103">
        <v>0</v>
      </c>
      <c r="Q140" s="107">
        <f t="shared" si="17"/>
        <v>0</v>
      </c>
      <c r="R140" s="108">
        <v>0</v>
      </c>
      <c r="S140" s="119"/>
      <c r="T140" s="110">
        <f t="shared" si="30"/>
        <v>0</v>
      </c>
      <c r="U140" s="103"/>
      <c r="V140" s="112">
        <f t="shared" si="18"/>
        <v>0</v>
      </c>
      <c r="W140" s="112">
        <f t="shared" si="19"/>
        <v>0</v>
      </c>
      <c r="X140" s="113">
        <f t="shared" si="20"/>
        <v>0</v>
      </c>
      <c r="Y140" s="113">
        <v>0</v>
      </c>
      <c r="Z140" s="114">
        <v>0</v>
      </c>
      <c r="AA140" s="11">
        <f t="shared" si="21"/>
        <v>0</v>
      </c>
      <c r="AB140" s="115" t="e">
        <f t="shared" si="22"/>
        <v>#REF!</v>
      </c>
      <c r="AC140" s="115">
        <f t="shared" si="23"/>
        <v>0</v>
      </c>
      <c r="AD140" s="115">
        <f t="shared" si="24"/>
        <v>0</v>
      </c>
      <c r="AE140" s="11"/>
      <c r="AF140" s="115">
        <f t="shared" si="25"/>
        <v>0</v>
      </c>
      <c r="AG140" s="115">
        <f t="shared" si="26"/>
        <v>0</v>
      </c>
      <c r="AH140" s="115">
        <f t="shared" si="27"/>
        <v>0</v>
      </c>
      <c r="AJ140" s="11" t="e">
        <f t="shared" si="28"/>
        <v>#REF!</v>
      </c>
    </row>
    <row r="141" spans="1:36" s="124" customFormat="1">
      <c r="A141" s="123"/>
      <c r="B141" s="123" t="s">
        <v>46</v>
      </c>
      <c r="C141" s="122" t="s">
        <v>213</v>
      </c>
      <c r="D141" s="118" t="s">
        <v>222</v>
      </c>
      <c r="E141" s="98"/>
      <c r="F141" s="99" t="e">
        <f>VLOOKUP(D141,#REF!,17,FALSE)</f>
        <v>#REF!</v>
      </c>
      <c r="G141" s="100"/>
      <c r="H141" s="100"/>
      <c r="I141" s="101"/>
      <c r="J141" s="102" t="e">
        <f t="shared" si="16"/>
        <v>#REF!</v>
      </c>
      <c r="K141" s="103"/>
      <c r="L141" s="104"/>
      <c r="M141" s="105"/>
      <c r="N141" s="103">
        <v>0</v>
      </c>
      <c r="O141" s="106"/>
      <c r="P141" s="103">
        <v>0</v>
      </c>
      <c r="Q141" s="107">
        <f t="shared" si="17"/>
        <v>0</v>
      </c>
      <c r="R141" s="108">
        <v>0</v>
      </c>
      <c r="S141" s="119"/>
      <c r="T141" s="110">
        <f t="shared" si="30"/>
        <v>0</v>
      </c>
      <c r="U141" s="103"/>
      <c r="V141" s="112">
        <f t="shared" si="18"/>
        <v>0</v>
      </c>
      <c r="W141" s="112">
        <f t="shared" si="19"/>
        <v>0</v>
      </c>
      <c r="X141" s="113">
        <f t="shared" si="20"/>
        <v>0</v>
      </c>
      <c r="Y141" s="113">
        <v>0</v>
      </c>
      <c r="Z141" s="114">
        <v>0</v>
      </c>
      <c r="AA141" s="11">
        <f t="shared" si="21"/>
        <v>0</v>
      </c>
      <c r="AB141" s="115">
        <f t="shared" si="22"/>
        <v>0</v>
      </c>
      <c r="AC141" s="115" t="e">
        <f t="shared" si="23"/>
        <v>#REF!</v>
      </c>
      <c r="AD141" s="115">
        <f t="shared" si="24"/>
        <v>0</v>
      </c>
      <c r="AE141" s="11"/>
      <c r="AF141" s="115">
        <f t="shared" si="25"/>
        <v>0</v>
      </c>
      <c r="AG141" s="115">
        <f t="shared" si="26"/>
        <v>0</v>
      </c>
      <c r="AH141" s="115">
        <f t="shared" si="27"/>
        <v>0</v>
      </c>
      <c r="AJ141" s="11" t="e">
        <f t="shared" si="28"/>
        <v>#REF!</v>
      </c>
    </row>
    <row r="142" spans="1:36" s="124" customFormat="1">
      <c r="A142" s="123"/>
      <c r="B142" s="116" t="s">
        <v>46</v>
      </c>
      <c r="C142" s="122"/>
      <c r="D142" s="120" t="s">
        <v>223</v>
      </c>
      <c r="E142" s="98"/>
      <c r="F142" s="99" t="e">
        <f>VLOOKUP(D142,#REF!,17,FALSE)</f>
        <v>#REF!</v>
      </c>
      <c r="G142" s="100"/>
      <c r="H142" s="100"/>
      <c r="I142" s="101"/>
      <c r="J142" s="102" t="e">
        <f t="shared" si="16"/>
        <v>#REF!</v>
      </c>
      <c r="K142" s="103"/>
      <c r="L142" s="104"/>
      <c r="M142" s="105">
        <v>15000</v>
      </c>
      <c r="N142" s="103">
        <v>0</v>
      </c>
      <c r="O142" s="106"/>
      <c r="P142" s="103">
        <v>0</v>
      </c>
      <c r="Q142" s="107">
        <f t="shared" si="17"/>
        <v>15000</v>
      </c>
      <c r="R142" s="108">
        <v>0</v>
      </c>
      <c r="S142" s="119"/>
      <c r="T142" s="110">
        <f t="shared" si="30"/>
        <v>-15000</v>
      </c>
      <c r="U142" s="103"/>
      <c r="V142" s="112">
        <f t="shared" si="18"/>
        <v>0</v>
      </c>
      <c r="W142" s="112">
        <f t="shared" si="19"/>
        <v>15000</v>
      </c>
      <c r="X142" s="113">
        <f t="shared" si="20"/>
        <v>0</v>
      </c>
      <c r="Y142" s="113">
        <v>0</v>
      </c>
      <c r="Z142" s="114">
        <v>0</v>
      </c>
      <c r="AA142" s="11">
        <f t="shared" si="21"/>
        <v>0</v>
      </c>
      <c r="AB142" s="115">
        <f t="shared" si="22"/>
        <v>0</v>
      </c>
      <c r="AC142" s="115" t="e">
        <f t="shared" si="23"/>
        <v>#REF!</v>
      </c>
      <c r="AD142" s="115">
        <f t="shared" si="24"/>
        <v>0</v>
      </c>
      <c r="AE142" s="11"/>
      <c r="AF142" s="115">
        <f t="shared" si="25"/>
        <v>0</v>
      </c>
      <c r="AG142" s="115">
        <f t="shared" si="26"/>
        <v>15000</v>
      </c>
      <c r="AH142" s="115">
        <f t="shared" si="27"/>
        <v>0</v>
      </c>
      <c r="AJ142" s="11" t="e">
        <f t="shared" si="28"/>
        <v>#REF!</v>
      </c>
    </row>
    <row r="143" spans="1:36">
      <c r="A143" s="129"/>
      <c r="B143" s="129" t="s">
        <v>49</v>
      </c>
      <c r="C143" s="96" t="s">
        <v>224</v>
      </c>
      <c r="D143" s="120" t="s">
        <v>225</v>
      </c>
      <c r="E143" s="98"/>
      <c r="F143" s="99" t="e">
        <f>VLOOKUP(D143,#REF!,17,FALSE)</f>
        <v>#REF!</v>
      </c>
      <c r="G143" s="100"/>
      <c r="H143" s="100"/>
      <c r="I143" s="101"/>
      <c r="J143" s="102" t="e">
        <f t="shared" si="16"/>
        <v>#REF!</v>
      </c>
      <c r="K143" s="103"/>
      <c r="L143" s="104"/>
      <c r="M143" s="105">
        <v>100000</v>
      </c>
      <c r="N143" s="103">
        <v>0</v>
      </c>
      <c r="O143" s="106"/>
      <c r="P143" s="103">
        <v>0</v>
      </c>
      <c r="Q143" s="107">
        <f t="shared" si="17"/>
        <v>100000</v>
      </c>
      <c r="R143" s="108">
        <v>0</v>
      </c>
      <c r="S143" s="119"/>
      <c r="T143" s="110">
        <f t="shared" si="30"/>
        <v>-100000</v>
      </c>
      <c r="U143" s="103"/>
      <c r="V143" s="112">
        <f t="shared" si="18"/>
        <v>100000</v>
      </c>
      <c r="W143" s="112">
        <f t="shared" si="19"/>
        <v>0</v>
      </c>
      <c r="X143" s="113">
        <f t="shared" si="20"/>
        <v>0</v>
      </c>
      <c r="Y143" s="113">
        <v>0</v>
      </c>
      <c r="Z143" s="114">
        <v>0</v>
      </c>
      <c r="AA143" s="11">
        <f t="shared" si="21"/>
        <v>0</v>
      </c>
      <c r="AB143" s="115" t="e">
        <f t="shared" si="22"/>
        <v>#REF!</v>
      </c>
      <c r="AC143" s="115">
        <f t="shared" si="23"/>
        <v>0</v>
      </c>
      <c r="AD143" s="115">
        <f t="shared" si="24"/>
        <v>0</v>
      </c>
      <c r="AE143" s="11"/>
      <c r="AF143" s="115">
        <f t="shared" si="25"/>
        <v>100000</v>
      </c>
      <c r="AG143" s="115">
        <f t="shared" si="26"/>
        <v>0</v>
      </c>
      <c r="AH143" s="115">
        <f t="shared" si="27"/>
        <v>0</v>
      </c>
      <c r="AJ143" s="11" t="e">
        <f t="shared" si="28"/>
        <v>#REF!</v>
      </c>
    </row>
    <row r="144" spans="1:36" s="141" customFormat="1">
      <c r="A144" s="129"/>
      <c r="B144" s="129" t="s">
        <v>49</v>
      </c>
      <c r="C144" s="96" t="s">
        <v>224</v>
      </c>
      <c r="D144" s="120" t="s">
        <v>226</v>
      </c>
      <c r="E144" s="98"/>
      <c r="F144" s="99" t="e">
        <f>VLOOKUP(D144,#REF!,17,FALSE)</f>
        <v>#REF!</v>
      </c>
      <c r="G144" s="100"/>
      <c r="H144" s="100"/>
      <c r="I144" s="101"/>
      <c r="J144" s="102" t="e">
        <f t="shared" ref="J144:J207" si="31">SUM(E144:I144)</f>
        <v>#REF!</v>
      </c>
      <c r="K144" s="103"/>
      <c r="L144" s="104"/>
      <c r="M144" s="105">
        <v>10000</v>
      </c>
      <c r="N144" s="103">
        <v>0</v>
      </c>
      <c r="O144" s="106"/>
      <c r="P144" s="103">
        <v>0</v>
      </c>
      <c r="Q144" s="107">
        <f t="shared" ref="Q144:Q207" si="32">L144+M144</f>
        <v>10000</v>
      </c>
      <c r="R144" s="108">
        <v>0</v>
      </c>
      <c r="S144" s="119"/>
      <c r="T144" s="110">
        <f t="shared" si="30"/>
        <v>-10000</v>
      </c>
      <c r="U144" s="103"/>
      <c r="V144" s="112">
        <f t="shared" ref="V144:V207" si="33">IF(B144="D",Q144,0)</f>
        <v>10000</v>
      </c>
      <c r="W144" s="112">
        <f t="shared" ref="W144:W207" si="34">IF(B144="M",Q144,0)</f>
        <v>0</v>
      </c>
      <c r="X144" s="113">
        <f t="shared" ref="X144:X207" si="35">IF(B144="V",Q144,0)</f>
        <v>0</v>
      </c>
      <c r="Y144" s="113">
        <v>0</v>
      </c>
      <c r="Z144" s="114">
        <v>0</v>
      </c>
      <c r="AA144" s="11">
        <f t="shared" ref="AA144:AA207" si="36">(L144+M144)-(V144+W144+X144+Y144+Z144)</f>
        <v>0</v>
      </c>
      <c r="AB144" s="115" t="e">
        <f t="shared" ref="AB144:AB207" si="37">IF(B144="D",J144,0)</f>
        <v>#REF!</v>
      </c>
      <c r="AC144" s="115">
        <f t="shared" ref="AC144:AC207" si="38">IF(B144="M",J144,0)</f>
        <v>0</v>
      </c>
      <c r="AD144" s="115">
        <f t="shared" ref="AD144:AD207" si="39">IF(B144="V",J144,0)</f>
        <v>0</v>
      </c>
      <c r="AE144" s="11"/>
      <c r="AF144" s="115">
        <f t="shared" ref="AF144:AF207" si="40">IF(B144="D",Q144,0)</f>
        <v>10000</v>
      </c>
      <c r="AG144" s="115">
        <f t="shared" ref="AG144:AG207" si="41">IF(B144="M",Q144,0)</f>
        <v>0</v>
      </c>
      <c r="AH144" s="115">
        <f t="shared" ref="AH144:AH207" si="42">IF(B144="V",Q144,0)</f>
        <v>0</v>
      </c>
      <c r="AJ144" s="11" t="e">
        <f t="shared" si="28"/>
        <v>#REF!</v>
      </c>
    </row>
    <row r="145" spans="1:36" s="141" customFormat="1">
      <c r="A145" s="129"/>
      <c r="B145" s="129" t="s">
        <v>81</v>
      </c>
      <c r="C145" s="128" t="s">
        <v>227</v>
      </c>
      <c r="D145" s="120" t="s">
        <v>228</v>
      </c>
      <c r="E145" s="98"/>
      <c r="F145" s="99" t="e">
        <f>VLOOKUP(D145,#REF!,17,FALSE)</f>
        <v>#REF!</v>
      </c>
      <c r="G145" s="100"/>
      <c r="H145" s="100"/>
      <c r="I145" s="125">
        <v>8725.65</v>
      </c>
      <c r="J145" s="102" t="e">
        <f t="shared" si="31"/>
        <v>#REF!</v>
      </c>
      <c r="K145" s="103"/>
      <c r="L145" s="104"/>
      <c r="M145" s="105"/>
      <c r="N145" s="103">
        <v>0</v>
      </c>
      <c r="O145" s="106"/>
      <c r="P145" s="103">
        <v>0</v>
      </c>
      <c r="Q145" s="107">
        <f t="shared" si="32"/>
        <v>0</v>
      </c>
      <c r="R145" s="108">
        <v>0</v>
      </c>
      <c r="S145" s="119"/>
      <c r="T145" s="110">
        <f t="shared" si="30"/>
        <v>0</v>
      </c>
      <c r="U145" s="103"/>
      <c r="V145" s="112">
        <f t="shared" si="33"/>
        <v>0</v>
      </c>
      <c r="W145" s="112">
        <f t="shared" si="34"/>
        <v>0</v>
      </c>
      <c r="X145" s="113">
        <f t="shared" si="35"/>
        <v>0</v>
      </c>
      <c r="Y145" s="113">
        <v>0</v>
      </c>
      <c r="Z145" s="114">
        <v>0</v>
      </c>
      <c r="AA145" s="11">
        <f t="shared" si="36"/>
        <v>0</v>
      </c>
      <c r="AB145" s="115">
        <f t="shared" si="37"/>
        <v>0</v>
      </c>
      <c r="AC145" s="115">
        <f t="shared" si="38"/>
        <v>0</v>
      </c>
      <c r="AD145" s="115" t="e">
        <f t="shared" si="39"/>
        <v>#REF!</v>
      </c>
      <c r="AE145" s="11"/>
      <c r="AF145" s="115">
        <f t="shared" si="40"/>
        <v>0</v>
      </c>
      <c r="AG145" s="115">
        <f t="shared" si="41"/>
        <v>0</v>
      </c>
      <c r="AH145" s="115">
        <f t="shared" si="42"/>
        <v>0</v>
      </c>
      <c r="AJ145" s="11" t="e">
        <f t="shared" ref="AJ145:AJ208" si="43">SUM(AB145:AH145)</f>
        <v>#REF!</v>
      </c>
    </row>
    <row r="146" spans="1:36">
      <c r="A146" s="129"/>
      <c r="B146" s="129" t="s">
        <v>46</v>
      </c>
      <c r="C146" s="96"/>
      <c r="D146" s="120" t="s">
        <v>229</v>
      </c>
      <c r="E146" s="98"/>
      <c r="F146" s="99" t="e">
        <f>VLOOKUP(D146,#REF!,17,FALSE)</f>
        <v>#REF!</v>
      </c>
      <c r="G146" s="100"/>
      <c r="H146" s="100"/>
      <c r="I146" s="101"/>
      <c r="J146" s="102" t="e">
        <f t="shared" si="31"/>
        <v>#REF!</v>
      </c>
      <c r="K146" s="103"/>
      <c r="L146" s="104"/>
      <c r="M146" s="105"/>
      <c r="N146" s="103">
        <v>0</v>
      </c>
      <c r="O146" s="106"/>
      <c r="P146" s="103">
        <v>0</v>
      </c>
      <c r="Q146" s="107">
        <f t="shared" si="32"/>
        <v>0</v>
      </c>
      <c r="R146" s="108">
        <v>7.56</v>
      </c>
      <c r="S146" s="119"/>
      <c r="T146" s="110">
        <f t="shared" si="30"/>
        <v>7.56</v>
      </c>
      <c r="U146" s="103"/>
      <c r="V146" s="112">
        <f t="shared" si="33"/>
        <v>0</v>
      </c>
      <c r="W146" s="112">
        <f t="shared" si="34"/>
        <v>0</v>
      </c>
      <c r="X146" s="113">
        <f t="shared" si="35"/>
        <v>0</v>
      </c>
      <c r="Y146" s="113">
        <v>0</v>
      </c>
      <c r="Z146" s="114">
        <v>0</v>
      </c>
      <c r="AA146" s="11">
        <f t="shared" si="36"/>
        <v>0</v>
      </c>
      <c r="AB146" s="115">
        <f t="shared" si="37"/>
        <v>0</v>
      </c>
      <c r="AC146" s="115" t="e">
        <f t="shared" si="38"/>
        <v>#REF!</v>
      </c>
      <c r="AD146" s="115">
        <f t="shared" si="39"/>
        <v>0</v>
      </c>
      <c r="AE146" s="11"/>
      <c r="AF146" s="115">
        <f t="shared" si="40"/>
        <v>0</v>
      </c>
      <c r="AG146" s="115">
        <f t="shared" si="41"/>
        <v>0</v>
      </c>
      <c r="AH146" s="115">
        <f t="shared" si="42"/>
        <v>0</v>
      </c>
      <c r="AJ146" s="11" t="e">
        <f t="shared" si="43"/>
        <v>#REF!</v>
      </c>
    </row>
    <row r="147" spans="1:36">
      <c r="A147" s="116"/>
      <c r="B147" s="116" t="s">
        <v>46</v>
      </c>
      <c r="C147" s="122" t="s">
        <v>230</v>
      </c>
      <c r="D147" s="120" t="s">
        <v>231</v>
      </c>
      <c r="E147" s="98"/>
      <c r="F147" s="99" t="e">
        <f>VLOOKUP(D147,#REF!,17,FALSE)</f>
        <v>#REF!</v>
      </c>
      <c r="G147" s="100"/>
      <c r="H147" s="100"/>
      <c r="I147" s="101"/>
      <c r="J147" s="102" t="e">
        <f t="shared" si="31"/>
        <v>#REF!</v>
      </c>
      <c r="K147" s="103"/>
      <c r="L147" s="104"/>
      <c r="M147" s="105"/>
      <c r="N147" s="103">
        <v>0</v>
      </c>
      <c r="O147" s="106"/>
      <c r="P147" s="103">
        <v>0</v>
      </c>
      <c r="Q147" s="107">
        <f t="shared" si="32"/>
        <v>0</v>
      </c>
      <c r="R147" s="108">
        <v>0</v>
      </c>
      <c r="S147" s="119"/>
      <c r="T147" s="110">
        <f t="shared" si="30"/>
        <v>0</v>
      </c>
      <c r="U147" s="103"/>
      <c r="V147" s="112">
        <f t="shared" si="33"/>
        <v>0</v>
      </c>
      <c r="W147" s="112">
        <f t="shared" si="34"/>
        <v>0</v>
      </c>
      <c r="X147" s="113">
        <f t="shared" si="35"/>
        <v>0</v>
      </c>
      <c r="Y147" s="113">
        <v>0</v>
      </c>
      <c r="Z147" s="114">
        <v>0</v>
      </c>
      <c r="AA147" s="11">
        <f t="shared" si="36"/>
        <v>0</v>
      </c>
      <c r="AB147" s="115">
        <f t="shared" si="37"/>
        <v>0</v>
      </c>
      <c r="AC147" s="115" t="e">
        <f t="shared" si="38"/>
        <v>#REF!</v>
      </c>
      <c r="AD147" s="115">
        <f t="shared" si="39"/>
        <v>0</v>
      </c>
      <c r="AE147" s="11"/>
      <c r="AF147" s="115">
        <f t="shared" si="40"/>
        <v>0</v>
      </c>
      <c r="AG147" s="115">
        <f t="shared" si="41"/>
        <v>0</v>
      </c>
      <c r="AH147" s="115">
        <f t="shared" si="42"/>
        <v>0</v>
      </c>
      <c r="AJ147" s="11" t="e">
        <f t="shared" si="43"/>
        <v>#REF!</v>
      </c>
    </row>
    <row r="148" spans="1:36">
      <c r="A148" s="129"/>
      <c r="B148" s="129" t="s">
        <v>49</v>
      </c>
      <c r="C148" s="96"/>
      <c r="D148" s="120" t="s">
        <v>232</v>
      </c>
      <c r="E148" s="98"/>
      <c r="F148" s="99" t="e">
        <f>VLOOKUP(D148,#REF!,17,FALSE)</f>
        <v>#REF!</v>
      </c>
      <c r="G148" s="100"/>
      <c r="H148" s="100"/>
      <c r="I148" s="125">
        <v>3240.54</v>
      </c>
      <c r="J148" s="102" t="e">
        <f t="shared" si="31"/>
        <v>#REF!</v>
      </c>
      <c r="K148" s="103"/>
      <c r="L148" s="104"/>
      <c r="M148" s="105"/>
      <c r="N148" s="103">
        <v>0</v>
      </c>
      <c r="O148" s="106"/>
      <c r="P148" s="103">
        <v>0</v>
      </c>
      <c r="Q148" s="107">
        <f t="shared" si="32"/>
        <v>0</v>
      </c>
      <c r="R148" s="108">
        <v>0</v>
      </c>
      <c r="S148" s="119"/>
      <c r="T148" s="110">
        <f t="shared" si="30"/>
        <v>0</v>
      </c>
      <c r="U148" s="103"/>
      <c r="V148" s="112">
        <f t="shared" si="33"/>
        <v>0</v>
      </c>
      <c r="W148" s="112">
        <f t="shared" si="34"/>
        <v>0</v>
      </c>
      <c r="X148" s="113">
        <f t="shared" si="35"/>
        <v>0</v>
      </c>
      <c r="Y148" s="113">
        <v>0</v>
      </c>
      <c r="Z148" s="114">
        <v>0</v>
      </c>
      <c r="AA148" s="11">
        <f t="shared" si="36"/>
        <v>0</v>
      </c>
      <c r="AB148" s="115" t="e">
        <f t="shared" si="37"/>
        <v>#REF!</v>
      </c>
      <c r="AC148" s="115">
        <f t="shared" si="38"/>
        <v>0</v>
      </c>
      <c r="AD148" s="115">
        <f t="shared" si="39"/>
        <v>0</v>
      </c>
      <c r="AE148" s="11"/>
      <c r="AF148" s="115">
        <f t="shared" si="40"/>
        <v>0</v>
      </c>
      <c r="AG148" s="115">
        <f t="shared" si="41"/>
        <v>0</v>
      </c>
      <c r="AH148" s="115">
        <f t="shared" si="42"/>
        <v>0</v>
      </c>
      <c r="AJ148" s="11" t="e">
        <f t="shared" si="43"/>
        <v>#REF!</v>
      </c>
    </row>
    <row r="149" spans="1:36">
      <c r="A149" s="129"/>
      <c r="B149" s="129" t="s">
        <v>49</v>
      </c>
      <c r="C149" s="96"/>
      <c r="D149" s="120" t="s">
        <v>234</v>
      </c>
      <c r="E149" s="98"/>
      <c r="F149" s="99" t="e">
        <f>VLOOKUP(D149,#REF!,17,FALSE)</f>
        <v>#REF!</v>
      </c>
      <c r="G149" s="100"/>
      <c r="H149" s="100"/>
      <c r="I149" s="101"/>
      <c r="J149" s="102" t="e">
        <f t="shared" si="31"/>
        <v>#REF!</v>
      </c>
      <c r="K149" s="103"/>
      <c r="L149" s="104"/>
      <c r="M149" s="105"/>
      <c r="N149" s="103">
        <v>0</v>
      </c>
      <c r="O149" s="106"/>
      <c r="P149" s="103">
        <v>0</v>
      </c>
      <c r="Q149" s="107">
        <f t="shared" si="32"/>
        <v>0</v>
      </c>
      <c r="R149" s="108">
        <v>0</v>
      </c>
      <c r="S149" s="119"/>
      <c r="T149" s="110">
        <f t="shared" si="30"/>
        <v>0</v>
      </c>
      <c r="U149" s="103"/>
      <c r="V149" s="112">
        <f t="shared" si="33"/>
        <v>0</v>
      </c>
      <c r="W149" s="112">
        <f t="shared" si="34"/>
        <v>0</v>
      </c>
      <c r="X149" s="113">
        <f t="shared" si="35"/>
        <v>0</v>
      </c>
      <c r="Y149" s="113">
        <v>0</v>
      </c>
      <c r="Z149" s="114">
        <v>0</v>
      </c>
      <c r="AA149" s="11">
        <f t="shared" si="36"/>
        <v>0</v>
      </c>
      <c r="AB149" s="115" t="e">
        <f t="shared" si="37"/>
        <v>#REF!</v>
      </c>
      <c r="AC149" s="115">
        <f t="shared" si="38"/>
        <v>0</v>
      </c>
      <c r="AD149" s="115">
        <f t="shared" si="39"/>
        <v>0</v>
      </c>
      <c r="AE149" s="11"/>
      <c r="AF149" s="115">
        <f t="shared" si="40"/>
        <v>0</v>
      </c>
      <c r="AG149" s="115">
        <f t="shared" si="41"/>
        <v>0</v>
      </c>
      <c r="AH149" s="115">
        <f t="shared" si="42"/>
        <v>0</v>
      </c>
      <c r="AJ149" s="11" t="e">
        <f t="shared" si="43"/>
        <v>#REF!</v>
      </c>
    </row>
    <row r="150" spans="1:36">
      <c r="A150" s="129"/>
      <c r="B150" s="129" t="s">
        <v>49</v>
      </c>
      <c r="C150" s="96" t="s">
        <v>235</v>
      </c>
      <c r="D150" s="120" t="s">
        <v>236</v>
      </c>
      <c r="E150" s="98">
        <v>2525.38</v>
      </c>
      <c r="F150" s="99" t="e">
        <f>VLOOKUP(D150,#REF!,17,FALSE)</f>
        <v>#REF!</v>
      </c>
      <c r="G150" s="100"/>
      <c r="H150" s="100"/>
      <c r="I150" s="101"/>
      <c r="J150" s="102" t="e">
        <f t="shared" si="31"/>
        <v>#REF!</v>
      </c>
      <c r="K150" s="103"/>
      <c r="L150" s="104"/>
      <c r="M150" s="105">
        <v>5000</v>
      </c>
      <c r="N150" s="103">
        <v>0</v>
      </c>
      <c r="O150" s="106"/>
      <c r="P150" s="103">
        <v>0</v>
      </c>
      <c r="Q150" s="107">
        <f t="shared" si="32"/>
        <v>5000</v>
      </c>
      <c r="R150" s="108">
        <v>0</v>
      </c>
      <c r="S150" s="119"/>
      <c r="T150" s="110">
        <f t="shared" si="30"/>
        <v>-5000</v>
      </c>
      <c r="U150" s="103"/>
      <c r="V150" s="112">
        <f t="shared" si="33"/>
        <v>5000</v>
      </c>
      <c r="W150" s="112">
        <f t="shared" si="34"/>
        <v>0</v>
      </c>
      <c r="X150" s="113">
        <f t="shared" si="35"/>
        <v>0</v>
      </c>
      <c r="Y150" s="113">
        <v>0</v>
      </c>
      <c r="Z150" s="114">
        <v>0</v>
      </c>
      <c r="AA150" s="11">
        <f t="shared" si="36"/>
        <v>0</v>
      </c>
      <c r="AB150" s="115" t="e">
        <f t="shared" si="37"/>
        <v>#REF!</v>
      </c>
      <c r="AC150" s="115">
        <f t="shared" si="38"/>
        <v>0</v>
      </c>
      <c r="AD150" s="115">
        <f t="shared" si="39"/>
        <v>0</v>
      </c>
      <c r="AE150" s="11"/>
      <c r="AF150" s="115">
        <f t="shared" si="40"/>
        <v>5000</v>
      </c>
      <c r="AG150" s="115">
        <f t="shared" si="41"/>
        <v>0</v>
      </c>
      <c r="AH150" s="115">
        <f t="shared" si="42"/>
        <v>0</v>
      </c>
      <c r="AJ150" s="11" t="e">
        <f t="shared" si="43"/>
        <v>#REF!</v>
      </c>
    </row>
    <row r="151" spans="1:36">
      <c r="A151" s="129"/>
      <c r="B151" s="129" t="s">
        <v>81</v>
      </c>
      <c r="C151" s="96" t="s">
        <v>235</v>
      </c>
      <c r="D151" s="120" t="s">
        <v>237</v>
      </c>
      <c r="E151" s="98">
        <v>2.92</v>
      </c>
      <c r="F151" s="99" t="e">
        <f>VLOOKUP(D151,#REF!,17,FALSE)</f>
        <v>#REF!</v>
      </c>
      <c r="G151" s="100"/>
      <c r="H151" s="100"/>
      <c r="I151" s="101"/>
      <c r="J151" s="102" t="e">
        <f t="shared" si="31"/>
        <v>#REF!</v>
      </c>
      <c r="K151" s="103"/>
      <c r="L151" s="104"/>
      <c r="M151" s="105"/>
      <c r="N151" s="103">
        <v>0</v>
      </c>
      <c r="O151" s="106"/>
      <c r="P151" s="103">
        <v>0</v>
      </c>
      <c r="Q151" s="107">
        <f t="shared" si="32"/>
        <v>0</v>
      </c>
      <c r="R151" s="108">
        <v>0</v>
      </c>
      <c r="S151" s="119"/>
      <c r="T151" s="110">
        <f t="shared" si="30"/>
        <v>0</v>
      </c>
      <c r="U151" s="103"/>
      <c r="V151" s="112">
        <f t="shared" si="33"/>
        <v>0</v>
      </c>
      <c r="W151" s="112">
        <f t="shared" si="34"/>
        <v>0</v>
      </c>
      <c r="X151" s="113">
        <f t="shared" si="35"/>
        <v>0</v>
      </c>
      <c r="Y151" s="113">
        <v>0</v>
      </c>
      <c r="Z151" s="114">
        <v>0</v>
      </c>
      <c r="AA151" s="11">
        <f t="shared" si="36"/>
        <v>0</v>
      </c>
      <c r="AB151" s="115">
        <f t="shared" si="37"/>
        <v>0</v>
      </c>
      <c r="AC151" s="115">
        <f t="shared" si="38"/>
        <v>0</v>
      </c>
      <c r="AD151" s="115" t="e">
        <f t="shared" si="39"/>
        <v>#REF!</v>
      </c>
      <c r="AE151" s="11"/>
      <c r="AF151" s="115">
        <f t="shared" si="40"/>
        <v>0</v>
      </c>
      <c r="AG151" s="115">
        <f t="shared" si="41"/>
        <v>0</v>
      </c>
      <c r="AH151" s="115">
        <f t="shared" si="42"/>
        <v>0</v>
      </c>
      <c r="AJ151" s="11" t="e">
        <f t="shared" si="43"/>
        <v>#REF!</v>
      </c>
    </row>
    <row r="152" spans="1:36">
      <c r="A152" s="129"/>
      <c r="B152" s="129" t="s">
        <v>46</v>
      </c>
      <c r="C152" s="96" t="s">
        <v>238</v>
      </c>
      <c r="D152" s="120" t="s">
        <v>239</v>
      </c>
      <c r="E152" s="98">
        <v>2769.9</v>
      </c>
      <c r="F152" s="99" t="e">
        <f>VLOOKUP(D152,#REF!,17,FALSE)</f>
        <v>#REF!</v>
      </c>
      <c r="G152" s="100"/>
      <c r="H152" s="100"/>
      <c r="I152" s="101"/>
      <c r="J152" s="102" t="e">
        <f t="shared" si="31"/>
        <v>#REF!</v>
      </c>
      <c r="K152" s="103"/>
      <c r="L152" s="104"/>
      <c r="M152" s="105"/>
      <c r="N152" s="103">
        <v>0</v>
      </c>
      <c r="O152" s="106"/>
      <c r="P152" s="103">
        <v>0</v>
      </c>
      <c r="Q152" s="107">
        <f t="shared" si="32"/>
        <v>0</v>
      </c>
      <c r="R152" s="108">
        <v>0</v>
      </c>
      <c r="S152" s="119"/>
      <c r="T152" s="110">
        <f t="shared" si="30"/>
        <v>0</v>
      </c>
      <c r="U152" s="103"/>
      <c r="V152" s="112">
        <f t="shared" si="33"/>
        <v>0</v>
      </c>
      <c r="W152" s="112">
        <f t="shared" si="34"/>
        <v>0</v>
      </c>
      <c r="X152" s="113">
        <f t="shared" si="35"/>
        <v>0</v>
      </c>
      <c r="Y152" s="113">
        <v>0</v>
      </c>
      <c r="Z152" s="114">
        <v>0</v>
      </c>
      <c r="AA152" s="11">
        <f t="shared" si="36"/>
        <v>0</v>
      </c>
      <c r="AB152" s="115">
        <f t="shared" si="37"/>
        <v>0</v>
      </c>
      <c r="AC152" s="115" t="e">
        <f t="shared" si="38"/>
        <v>#REF!</v>
      </c>
      <c r="AD152" s="115">
        <f t="shared" si="39"/>
        <v>0</v>
      </c>
      <c r="AE152" s="11"/>
      <c r="AF152" s="115">
        <f t="shared" si="40"/>
        <v>0</v>
      </c>
      <c r="AG152" s="115">
        <f t="shared" si="41"/>
        <v>0</v>
      </c>
      <c r="AH152" s="115">
        <f t="shared" si="42"/>
        <v>0</v>
      </c>
      <c r="AJ152" s="11" t="e">
        <f t="shared" si="43"/>
        <v>#REF!</v>
      </c>
    </row>
    <row r="153" spans="1:36">
      <c r="A153" s="129"/>
      <c r="B153" s="129" t="s">
        <v>46</v>
      </c>
      <c r="C153" s="96" t="s">
        <v>240</v>
      </c>
      <c r="D153" s="120" t="s">
        <v>241</v>
      </c>
      <c r="E153" s="98"/>
      <c r="F153" s="99" t="e">
        <f>VLOOKUP(D153,#REF!,17,FALSE)</f>
        <v>#REF!</v>
      </c>
      <c r="G153" s="100"/>
      <c r="H153" s="100"/>
      <c r="I153" s="101"/>
      <c r="J153" s="102" t="e">
        <f t="shared" si="31"/>
        <v>#REF!</v>
      </c>
      <c r="K153" s="103"/>
      <c r="L153" s="104"/>
      <c r="M153" s="105"/>
      <c r="N153" s="103">
        <v>0</v>
      </c>
      <c r="O153" s="106"/>
      <c r="P153" s="103">
        <v>0</v>
      </c>
      <c r="Q153" s="107">
        <f t="shared" si="32"/>
        <v>0</v>
      </c>
      <c r="R153" s="108">
        <v>57.19</v>
      </c>
      <c r="S153" s="119"/>
      <c r="T153" s="110">
        <f t="shared" si="30"/>
        <v>57.19</v>
      </c>
      <c r="U153" s="103"/>
      <c r="V153" s="112">
        <f t="shared" si="33"/>
        <v>0</v>
      </c>
      <c r="W153" s="112">
        <f t="shared" si="34"/>
        <v>0</v>
      </c>
      <c r="X153" s="113">
        <f t="shared" si="35"/>
        <v>0</v>
      </c>
      <c r="Y153" s="113">
        <v>0</v>
      </c>
      <c r="Z153" s="114">
        <v>0</v>
      </c>
      <c r="AA153" s="11">
        <f t="shared" si="36"/>
        <v>0</v>
      </c>
      <c r="AB153" s="115">
        <f t="shared" si="37"/>
        <v>0</v>
      </c>
      <c r="AC153" s="115" t="e">
        <f t="shared" si="38"/>
        <v>#REF!</v>
      </c>
      <c r="AD153" s="115">
        <f t="shared" si="39"/>
        <v>0</v>
      </c>
      <c r="AE153" s="11"/>
      <c r="AF153" s="115">
        <f t="shared" si="40"/>
        <v>0</v>
      </c>
      <c r="AG153" s="115">
        <f t="shared" si="41"/>
        <v>0</v>
      </c>
      <c r="AH153" s="115">
        <f t="shared" si="42"/>
        <v>0</v>
      </c>
      <c r="AJ153" s="11" t="e">
        <f t="shared" si="43"/>
        <v>#REF!</v>
      </c>
    </row>
    <row r="154" spans="1:36" s="124" customFormat="1">
      <c r="A154" s="123"/>
      <c r="B154" s="123" t="s">
        <v>81</v>
      </c>
      <c r="C154" s="122"/>
      <c r="D154" s="281" t="s">
        <v>242</v>
      </c>
      <c r="E154" s="98"/>
      <c r="F154" s="99" t="e">
        <f>VLOOKUP(D154,#REF!,17,FALSE)</f>
        <v>#REF!</v>
      </c>
      <c r="G154" s="100"/>
      <c r="H154" s="100"/>
      <c r="I154" s="125">
        <v>7837.5</v>
      </c>
      <c r="J154" s="102" t="e">
        <f t="shared" si="31"/>
        <v>#REF!</v>
      </c>
      <c r="K154" s="103"/>
      <c r="L154" s="104"/>
      <c r="M154" s="105"/>
      <c r="N154" s="103">
        <v>0</v>
      </c>
      <c r="O154" s="106"/>
      <c r="P154" s="103">
        <v>0</v>
      </c>
      <c r="Q154" s="107">
        <f t="shared" si="32"/>
        <v>0</v>
      </c>
      <c r="R154" s="108">
        <v>0</v>
      </c>
      <c r="S154" s="119"/>
      <c r="T154" s="110">
        <f t="shared" si="30"/>
        <v>0</v>
      </c>
      <c r="U154" s="103"/>
      <c r="V154" s="112">
        <f t="shared" si="33"/>
        <v>0</v>
      </c>
      <c r="W154" s="112">
        <f t="shared" si="34"/>
        <v>0</v>
      </c>
      <c r="X154" s="113">
        <f t="shared" si="35"/>
        <v>0</v>
      </c>
      <c r="Y154" s="113">
        <v>0</v>
      </c>
      <c r="Z154" s="114">
        <v>0</v>
      </c>
      <c r="AA154" s="11">
        <f t="shared" si="36"/>
        <v>0</v>
      </c>
      <c r="AB154" s="115">
        <f t="shared" si="37"/>
        <v>0</v>
      </c>
      <c r="AC154" s="115">
        <f t="shared" si="38"/>
        <v>0</v>
      </c>
      <c r="AD154" s="115" t="e">
        <f t="shared" si="39"/>
        <v>#REF!</v>
      </c>
      <c r="AE154" s="11"/>
      <c r="AF154" s="115">
        <f t="shared" si="40"/>
        <v>0</v>
      </c>
      <c r="AG154" s="115">
        <f t="shared" si="41"/>
        <v>0</v>
      </c>
      <c r="AH154" s="115">
        <f t="shared" si="42"/>
        <v>0</v>
      </c>
      <c r="AJ154" s="11" t="e">
        <f t="shared" si="43"/>
        <v>#REF!</v>
      </c>
    </row>
    <row r="155" spans="1:36" s="124" customFormat="1">
      <c r="A155" s="123"/>
      <c r="B155" s="123" t="s">
        <v>49</v>
      </c>
      <c r="C155" s="122"/>
      <c r="D155" s="142" t="s">
        <v>244</v>
      </c>
      <c r="E155" s="98"/>
      <c r="F155" s="99" t="e">
        <f>VLOOKUP(D155,#REF!,17,FALSE)</f>
        <v>#REF!</v>
      </c>
      <c r="G155" s="100"/>
      <c r="H155" s="100"/>
      <c r="I155" s="101"/>
      <c r="J155" s="102" t="e">
        <f t="shared" si="31"/>
        <v>#REF!</v>
      </c>
      <c r="K155" s="103"/>
      <c r="L155" s="104"/>
      <c r="M155" s="105"/>
      <c r="N155" s="103">
        <v>0</v>
      </c>
      <c r="O155" s="106"/>
      <c r="P155" s="103">
        <v>0</v>
      </c>
      <c r="Q155" s="107">
        <f t="shared" si="32"/>
        <v>0</v>
      </c>
      <c r="R155" s="108">
        <v>0</v>
      </c>
      <c r="S155" s="119"/>
      <c r="T155" s="110">
        <f t="shared" si="30"/>
        <v>0</v>
      </c>
      <c r="U155" s="103"/>
      <c r="V155" s="112">
        <f t="shared" si="33"/>
        <v>0</v>
      </c>
      <c r="W155" s="112">
        <f t="shared" si="34"/>
        <v>0</v>
      </c>
      <c r="X155" s="113">
        <f t="shared" si="35"/>
        <v>0</v>
      </c>
      <c r="Y155" s="113">
        <v>0</v>
      </c>
      <c r="Z155" s="114">
        <v>0</v>
      </c>
      <c r="AA155" s="11">
        <f t="shared" si="36"/>
        <v>0</v>
      </c>
      <c r="AB155" s="115" t="e">
        <f t="shared" si="37"/>
        <v>#REF!</v>
      </c>
      <c r="AC155" s="115">
        <f t="shared" si="38"/>
        <v>0</v>
      </c>
      <c r="AD155" s="115">
        <f t="shared" si="39"/>
        <v>0</v>
      </c>
      <c r="AE155" s="11"/>
      <c r="AF155" s="115">
        <f t="shared" si="40"/>
        <v>0</v>
      </c>
      <c r="AG155" s="115">
        <f t="shared" si="41"/>
        <v>0</v>
      </c>
      <c r="AH155" s="115">
        <f t="shared" si="42"/>
        <v>0</v>
      </c>
      <c r="AJ155" s="11" t="e">
        <f t="shared" si="43"/>
        <v>#REF!</v>
      </c>
    </row>
    <row r="156" spans="1:36" s="124" customFormat="1">
      <c r="A156" s="123"/>
      <c r="B156" s="123" t="s">
        <v>46</v>
      </c>
      <c r="C156" s="122" t="s">
        <v>245</v>
      </c>
      <c r="D156" s="142" t="s">
        <v>246</v>
      </c>
      <c r="E156" s="98"/>
      <c r="F156" s="99" t="e">
        <f>VLOOKUP(D156,#REF!,17,FALSE)</f>
        <v>#REF!</v>
      </c>
      <c r="G156" s="100"/>
      <c r="H156" s="100"/>
      <c r="I156" s="125">
        <v>8671.58</v>
      </c>
      <c r="J156" s="102" t="e">
        <f t="shared" si="31"/>
        <v>#REF!</v>
      </c>
      <c r="K156" s="103"/>
      <c r="L156" s="104"/>
      <c r="M156" s="105"/>
      <c r="N156" s="103">
        <v>0</v>
      </c>
      <c r="O156" s="106"/>
      <c r="P156" s="103">
        <v>0</v>
      </c>
      <c r="Q156" s="107">
        <f t="shared" si="32"/>
        <v>0</v>
      </c>
      <c r="R156" s="108">
        <v>0</v>
      </c>
      <c r="S156" s="119"/>
      <c r="T156" s="110">
        <f t="shared" si="30"/>
        <v>0</v>
      </c>
      <c r="U156" s="103"/>
      <c r="V156" s="112">
        <f t="shared" si="33"/>
        <v>0</v>
      </c>
      <c r="W156" s="112">
        <f t="shared" si="34"/>
        <v>0</v>
      </c>
      <c r="X156" s="113">
        <f t="shared" si="35"/>
        <v>0</v>
      </c>
      <c r="Y156" s="113">
        <v>0</v>
      </c>
      <c r="Z156" s="114">
        <v>0</v>
      </c>
      <c r="AA156" s="11">
        <f t="shared" si="36"/>
        <v>0</v>
      </c>
      <c r="AB156" s="115">
        <f t="shared" si="37"/>
        <v>0</v>
      </c>
      <c r="AC156" s="115" t="e">
        <f t="shared" si="38"/>
        <v>#REF!</v>
      </c>
      <c r="AD156" s="115">
        <f t="shared" si="39"/>
        <v>0</v>
      </c>
      <c r="AE156" s="11"/>
      <c r="AF156" s="115">
        <f t="shared" si="40"/>
        <v>0</v>
      </c>
      <c r="AG156" s="115">
        <f t="shared" si="41"/>
        <v>0</v>
      </c>
      <c r="AH156" s="115">
        <f t="shared" si="42"/>
        <v>0</v>
      </c>
      <c r="AJ156" s="11" t="e">
        <f t="shared" si="43"/>
        <v>#REF!</v>
      </c>
    </row>
    <row r="157" spans="1:36" s="124" customFormat="1">
      <c r="A157" s="127"/>
      <c r="B157" s="127" t="s">
        <v>46</v>
      </c>
      <c r="C157" s="96" t="s">
        <v>210</v>
      </c>
      <c r="D157" s="118" t="s">
        <v>247</v>
      </c>
      <c r="E157" s="98"/>
      <c r="F157" s="99" t="e">
        <f>VLOOKUP(D157,#REF!,17,FALSE)</f>
        <v>#REF!</v>
      </c>
      <c r="G157" s="100"/>
      <c r="H157" s="100"/>
      <c r="I157" s="101"/>
      <c r="J157" s="102" t="e">
        <f t="shared" si="31"/>
        <v>#REF!</v>
      </c>
      <c r="K157" s="103"/>
      <c r="L157" s="104"/>
      <c r="M157" s="105">
        <v>80000</v>
      </c>
      <c r="N157" s="103">
        <v>0</v>
      </c>
      <c r="O157" s="106"/>
      <c r="P157" s="103">
        <v>0</v>
      </c>
      <c r="Q157" s="107">
        <f t="shared" si="32"/>
        <v>80000</v>
      </c>
      <c r="R157" s="108">
        <v>56862.69</v>
      </c>
      <c r="S157" s="119"/>
      <c r="T157" s="110">
        <f t="shared" si="30"/>
        <v>-23137.309999999998</v>
      </c>
      <c r="U157" s="103"/>
      <c r="V157" s="112">
        <f t="shared" si="33"/>
        <v>0</v>
      </c>
      <c r="W157" s="112">
        <f t="shared" si="34"/>
        <v>80000</v>
      </c>
      <c r="X157" s="113">
        <f t="shared" si="35"/>
        <v>0</v>
      </c>
      <c r="Y157" s="113">
        <v>0</v>
      </c>
      <c r="Z157" s="114">
        <v>0</v>
      </c>
      <c r="AA157" s="11">
        <f t="shared" si="36"/>
        <v>0</v>
      </c>
      <c r="AB157" s="115">
        <f t="shared" si="37"/>
        <v>0</v>
      </c>
      <c r="AC157" s="115" t="e">
        <f t="shared" si="38"/>
        <v>#REF!</v>
      </c>
      <c r="AD157" s="115">
        <f t="shared" si="39"/>
        <v>0</v>
      </c>
      <c r="AE157" s="11"/>
      <c r="AF157" s="115">
        <f t="shared" si="40"/>
        <v>0</v>
      </c>
      <c r="AG157" s="115">
        <f t="shared" si="41"/>
        <v>80000</v>
      </c>
      <c r="AH157" s="115">
        <f t="shared" si="42"/>
        <v>0</v>
      </c>
      <c r="AJ157" s="11" t="e">
        <f t="shared" si="43"/>
        <v>#REF!</v>
      </c>
    </row>
    <row r="158" spans="1:36" s="124" customFormat="1">
      <c r="A158" s="127"/>
      <c r="B158" s="127" t="s">
        <v>49</v>
      </c>
      <c r="C158" s="96" t="s">
        <v>210</v>
      </c>
      <c r="D158" s="118" t="s">
        <v>248</v>
      </c>
      <c r="E158" s="98"/>
      <c r="F158" s="99" t="e">
        <f>VLOOKUP(D158,#REF!,17,FALSE)</f>
        <v>#REF!</v>
      </c>
      <c r="G158" s="100"/>
      <c r="H158" s="100"/>
      <c r="I158" s="101"/>
      <c r="J158" s="102" t="e">
        <f t="shared" si="31"/>
        <v>#REF!</v>
      </c>
      <c r="K158" s="103"/>
      <c r="L158" s="104"/>
      <c r="M158" s="105">
        <v>5000</v>
      </c>
      <c r="N158" s="103">
        <v>0</v>
      </c>
      <c r="O158" s="106"/>
      <c r="P158" s="103">
        <v>0</v>
      </c>
      <c r="Q158" s="107">
        <f t="shared" si="32"/>
        <v>5000</v>
      </c>
      <c r="R158" s="108">
        <v>0</v>
      </c>
      <c r="S158" s="119"/>
      <c r="T158" s="110">
        <f t="shared" si="30"/>
        <v>-5000</v>
      </c>
      <c r="U158" s="103"/>
      <c r="V158" s="112">
        <f t="shared" si="33"/>
        <v>5000</v>
      </c>
      <c r="W158" s="112">
        <f t="shared" si="34"/>
        <v>0</v>
      </c>
      <c r="X158" s="113">
        <f t="shared" si="35"/>
        <v>0</v>
      </c>
      <c r="Y158" s="113">
        <v>0</v>
      </c>
      <c r="Z158" s="114">
        <v>0</v>
      </c>
      <c r="AA158" s="11">
        <f t="shared" si="36"/>
        <v>0</v>
      </c>
      <c r="AB158" s="115" t="e">
        <f t="shared" si="37"/>
        <v>#REF!</v>
      </c>
      <c r="AC158" s="115">
        <f t="shared" si="38"/>
        <v>0</v>
      </c>
      <c r="AD158" s="115">
        <f t="shared" si="39"/>
        <v>0</v>
      </c>
      <c r="AE158" s="11"/>
      <c r="AF158" s="115">
        <f t="shared" si="40"/>
        <v>5000</v>
      </c>
      <c r="AG158" s="115">
        <f t="shared" si="41"/>
        <v>0</v>
      </c>
      <c r="AH158" s="115">
        <f t="shared" si="42"/>
        <v>0</v>
      </c>
      <c r="AJ158" s="11" t="e">
        <f t="shared" si="43"/>
        <v>#REF!</v>
      </c>
    </row>
    <row r="159" spans="1:36">
      <c r="A159" s="129" t="s">
        <v>249</v>
      </c>
      <c r="B159" s="129" t="s">
        <v>49</v>
      </c>
      <c r="C159" s="96"/>
      <c r="D159" s="120" t="s">
        <v>250</v>
      </c>
      <c r="E159" s="98"/>
      <c r="F159" s="99" t="e">
        <f>VLOOKUP(D159,#REF!,17,FALSE)</f>
        <v>#REF!</v>
      </c>
      <c r="G159" s="100"/>
      <c r="H159" s="100"/>
      <c r="I159" s="101"/>
      <c r="J159" s="102" t="e">
        <f t="shared" si="31"/>
        <v>#REF!</v>
      </c>
      <c r="K159" s="103"/>
      <c r="L159" s="104"/>
      <c r="M159" s="105"/>
      <c r="N159" s="103">
        <v>0</v>
      </c>
      <c r="O159" s="106"/>
      <c r="P159" s="103">
        <v>0</v>
      </c>
      <c r="Q159" s="107">
        <f t="shared" si="32"/>
        <v>0</v>
      </c>
      <c r="R159" s="108">
        <v>0</v>
      </c>
      <c r="S159" s="119"/>
      <c r="T159" s="110">
        <f t="shared" si="30"/>
        <v>0</v>
      </c>
      <c r="U159" s="103"/>
      <c r="V159" s="112">
        <f t="shared" si="33"/>
        <v>0</v>
      </c>
      <c r="W159" s="112">
        <f t="shared" si="34"/>
        <v>0</v>
      </c>
      <c r="X159" s="113">
        <f t="shared" si="35"/>
        <v>0</v>
      </c>
      <c r="Y159" s="113">
        <v>0</v>
      </c>
      <c r="Z159" s="114">
        <v>0</v>
      </c>
      <c r="AA159" s="11">
        <f t="shared" si="36"/>
        <v>0</v>
      </c>
      <c r="AB159" s="115" t="e">
        <f t="shared" si="37"/>
        <v>#REF!</v>
      </c>
      <c r="AC159" s="115">
        <f t="shared" si="38"/>
        <v>0</v>
      </c>
      <c r="AD159" s="115">
        <f t="shared" si="39"/>
        <v>0</v>
      </c>
      <c r="AE159" s="11"/>
      <c r="AF159" s="115">
        <f t="shared" si="40"/>
        <v>0</v>
      </c>
      <c r="AG159" s="115">
        <f t="shared" si="41"/>
        <v>0</v>
      </c>
      <c r="AH159" s="115">
        <f t="shared" si="42"/>
        <v>0</v>
      </c>
      <c r="AJ159" s="11" t="e">
        <f t="shared" si="43"/>
        <v>#REF!</v>
      </c>
    </row>
    <row r="160" spans="1:36">
      <c r="A160" s="129"/>
      <c r="B160" s="129" t="s">
        <v>46</v>
      </c>
      <c r="C160" s="96" t="s">
        <v>251</v>
      </c>
      <c r="D160" s="120" t="s">
        <v>252</v>
      </c>
      <c r="E160" s="98"/>
      <c r="F160" s="99" t="e">
        <f>VLOOKUP(D160,#REF!,17,FALSE)</f>
        <v>#REF!</v>
      </c>
      <c r="G160" s="100"/>
      <c r="H160" s="100"/>
      <c r="I160" s="101"/>
      <c r="J160" s="102" t="e">
        <f t="shared" si="31"/>
        <v>#REF!</v>
      </c>
      <c r="K160" s="103"/>
      <c r="L160" s="104"/>
      <c r="M160" s="105"/>
      <c r="N160" s="103">
        <v>0</v>
      </c>
      <c r="O160" s="106"/>
      <c r="P160" s="103">
        <v>0</v>
      </c>
      <c r="Q160" s="107">
        <f t="shared" si="32"/>
        <v>0</v>
      </c>
      <c r="R160" s="108">
        <v>0</v>
      </c>
      <c r="S160" s="119"/>
      <c r="T160" s="110">
        <f t="shared" si="30"/>
        <v>0</v>
      </c>
      <c r="U160" s="103"/>
      <c r="V160" s="112">
        <f t="shared" si="33"/>
        <v>0</v>
      </c>
      <c r="W160" s="112">
        <f t="shared" si="34"/>
        <v>0</v>
      </c>
      <c r="X160" s="113">
        <f t="shared" si="35"/>
        <v>0</v>
      </c>
      <c r="Y160" s="113">
        <v>0</v>
      </c>
      <c r="Z160" s="114">
        <v>0</v>
      </c>
      <c r="AA160" s="11">
        <f t="shared" si="36"/>
        <v>0</v>
      </c>
      <c r="AB160" s="115">
        <f t="shared" si="37"/>
        <v>0</v>
      </c>
      <c r="AC160" s="115" t="e">
        <f t="shared" si="38"/>
        <v>#REF!</v>
      </c>
      <c r="AD160" s="115">
        <f t="shared" si="39"/>
        <v>0</v>
      </c>
      <c r="AE160" s="11"/>
      <c r="AF160" s="115">
        <f t="shared" si="40"/>
        <v>0</v>
      </c>
      <c r="AG160" s="115">
        <f t="shared" si="41"/>
        <v>0</v>
      </c>
      <c r="AH160" s="115">
        <f t="shared" si="42"/>
        <v>0</v>
      </c>
      <c r="AJ160" s="11" t="e">
        <f t="shared" si="43"/>
        <v>#REF!</v>
      </c>
    </row>
    <row r="161" spans="1:36">
      <c r="A161" s="129"/>
      <c r="B161" s="129" t="s">
        <v>46</v>
      </c>
      <c r="C161" s="96" t="s">
        <v>251</v>
      </c>
      <c r="D161" s="120" t="s">
        <v>253</v>
      </c>
      <c r="E161" s="98"/>
      <c r="F161" s="99" t="e">
        <f>VLOOKUP(D161,#REF!,17,FALSE)</f>
        <v>#REF!</v>
      </c>
      <c r="G161" s="100"/>
      <c r="H161" s="100"/>
      <c r="I161" s="101"/>
      <c r="J161" s="102" t="e">
        <f t="shared" si="31"/>
        <v>#REF!</v>
      </c>
      <c r="K161" s="103"/>
      <c r="L161" s="104"/>
      <c r="M161" s="105"/>
      <c r="N161" s="103">
        <v>0</v>
      </c>
      <c r="O161" s="106"/>
      <c r="P161" s="103">
        <v>0</v>
      </c>
      <c r="Q161" s="107">
        <f t="shared" si="32"/>
        <v>0</v>
      </c>
      <c r="R161" s="108">
        <v>0</v>
      </c>
      <c r="S161" s="119"/>
      <c r="T161" s="110">
        <f t="shared" si="30"/>
        <v>0</v>
      </c>
      <c r="U161" s="103"/>
      <c r="V161" s="112">
        <f t="shared" si="33"/>
        <v>0</v>
      </c>
      <c r="W161" s="112">
        <f t="shared" si="34"/>
        <v>0</v>
      </c>
      <c r="X161" s="113">
        <f t="shared" si="35"/>
        <v>0</v>
      </c>
      <c r="Y161" s="113">
        <v>0</v>
      </c>
      <c r="Z161" s="114">
        <v>0</v>
      </c>
      <c r="AA161" s="11">
        <f t="shared" si="36"/>
        <v>0</v>
      </c>
      <c r="AB161" s="115">
        <f t="shared" si="37"/>
        <v>0</v>
      </c>
      <c r="AC161" s="115" t="e">
        <f t="shared" si="38"/>
        <v>#REF!</v>
      </c>
      <c r="AD161" s="115">
        <f t="shared" si="39"/>
        <v>0</v>
      </c>
      <c r="AE161" s="11"/>
      <c r="AF161" s="115">
        <f t="shared" si="40"/>
        <v>0</v>
      </c>
      <c r="AG161" s="115">
        <f t="shared" si="41"/>
        <v>0</v>
      </c>
      <c r="AH161" s="115">
        <f t="shared" si="42"/>
        <v>0</v>
      </c>
      <c r="AJ161" s="11" t="e">
        <f t="shared" si="43"/>
        <v>#REF!</v>
      </c>
    </row>
    <row r="162" spans="1:36">
      <c r="A162" s="129"/>
      <c r="B162" s="129" t="s">
        <v>46</v>
      </c>
      <c r="C162" s="96" t="s">
        <v>254</v>
      </c>
      <c r="D162" s="120" t="s">
        <v>255</v>
      </c>
      <c r="E162" s="98">
        <v>37161.160000000003</v>
      </c>
      <c r="F162" s="99" t="e">
        <f>VLOOKUP(D162,#REF!,17,FALSE)</f>
        <v>#REF!</v>
      </c>
      <c r="G162" s="100"/>
      <c r="H162" s="100"/>
      <c r="I162" s="125">
        <v>115618.74</v>
      </c>
      <c r="J162" s="102" t="e">
        <f t="shared" si="31"/>
        <v>#REF!</v>
      </c>
      <c r="K162" s="103"/>
      <c r="L162" s="104"/>
      <c r="M162" s="105"/>
      <c r="N162" s="103"/>
      <c r="O162" s="106"/>
      <c r="P162" s="103"/>
      <c r="Q162" s="107">
        <f t="shared" si="32"/>
        <v>0</v>
      </c>
      <c r="R162" s="108">
        <v>0</v>
      </c>
      <c r="S162" s="119"/>
      <c r="T162" s="110">
        <f t="shared" si="30"/>
        <v>0</v>
      </c>
      <c r="U162" s="103"/>
      <c r="V162" s="112">
        <f t="shared" si="33"/>
        <v>0</v>
      </c>
      <c r="W162" s="112">
        <f t="shared" si="34"/>
        <v>0</v>
      </c>
      <c r="X162" s="113">
        <f t="shared" si="35"/>
        <v>0</v>
      </c>
      <c r="Y162" s="113">
        <v>0</v>
      </c>
      <c r="Z162" s="114">
        <v>0</v>
      </c>
      <c r="AA162" s="11">
        <f t="shared" si="36"/>
        <v>0</v>
      </c>
      <c r="AB162" s="115">
        <f t="shared" si="37"/>
        <v>0</v>
      </c>
      <c r="AC162" s="115" t="e">
        <f t="shared" si="38"/>
        <v>#REF!</v>
      </c>
      <c r="AD162" s="115">
        <f t="shared" si="39"/>
        <v>0</v>
      </c>
      <c r="AE162" s="11"/>
      <c r="AF162" s="115">
        <f t="shared" si="40"/>
        <v>0</v>
      </c>
      <c r="AG162" s="115">
        <f t="shared" si="41"/>
        <v>0</v>
      </c>
      <c r="AH162" s="115">
        <f t="shared" si="42"/>
        <v>0</v>
      </c>
      <c r="AJ162" s="11" t="e">
        <f t="shared" si="43"/>
        <v>#REF!</v>
      </c>
    </row>
    <row r="163" spans="1:36" s="124" customFormat="1">
      <c r="A163" s="127"/>
      <c r="B163" s="127" t="s">
        <v>46</v>
      </c>
      <c r="C163" s="96"/>
      <c r="D163" s="118" t="s">
        <v>256</v>
      </c>
      <c r="E163" s="98"/>
      <c r="F163" s="99" t="e">
        <f>VLOOKUP(D163,#REF!,17,FALSE)</f>
        <v>#REF!</v>
      </c>
      <c r="G163" s="100"/>
      <c r="H163" s="100"/>
      <c r="I163" s="101"/>
      <c r="J163" s="102" t="e">
        <f t="shared" si="31"/>
        <v>#REF!</v>
      </c>
      <c r="K163" s="103"/>
      <c r="L163" s="104"/>
      <c r="M163" s="105"/>
      <c r="N163" s="103">
        <v>0</v>
      </c>
      <c r="O163" s="106"/>
      <c r="P163" s="103">
        <v>0</v>
      </c>
      <c r="Q163" s="107">
        <f t="shared" si="32"/>
        <v>0</v>
      </c>
      <c r="R163" s="108">
        <v>0</v>
      </c>
      <c r="S163" s="119"/>
      <c r="T163" s="110">
        <f t="shared" ref="T163:T194" si="44">IF(R163="","",R163-Q163)</f>
        <v>0</v>
      </c>
      <c r="U163" s="103"/>
      <c r="V163" s="112">
        <f t="shared" si="33"/>
        <v>0</v>
      </c>
      <c r="W163" s="112">
        <f t="shared" si="34"/>
        <v>0</v>
      </c>
      <c r="X163" s="113">
        <f t="shared" si="35"/>
        <v>0</v>
      </c>
      <c r="Y163" s="113">
        <v>0</v>
      </c>
      <c r="Z163" s="114">
        <v>0</v>
      </c>
      <c r="AA163" s="11">
        <f t="shared" si="36"/>
        <v>0</v>
      </c>
      <c r="AB163" s="115">
        <f t="shared" si="37"/>
        <v>0</v>
      </c>
      <c r="AC163" s="115" t="e">
        <f t="shared" si="38"/>
        <v>#REF!</v>
      </c>
      <c r="AD163" s="115">
        <f t="shared" si="39"/>
        <v>0</v>
      </c>
      <c r="AE163" s="11"/>
      <c r="AF163" s="115">
        <f t="shared" si="40"/>
        <v>0</v>
      </c>
      <c r="AG163" s="115">
        <f t="shared" si="41"/>
        <v>0</v>
      </c>
      <c r="AH163" s="115">
        <f t="shared" si="42"/>
        <v>0</v>
      </c>
      <c r="AJ163" s="11" t="e">
        <f t="shared" si="43"/>
        <v>#REF!</v>
      </c>
    </row>
    <row r="164" spans="1:36" s="14" customFormat="1">
      <c r="A164" s="95"/>
      <c r="B164" s="129" t="s">
        <v>46</v>
      </c>
      <c r="C164" s="96"/>
      <c r="D164" s="120" t="s">
        <v>258</v>
      </c>
      <c r="E164" s="98"/>
      <c r="F164" s="99" t="e">
        <f>VLOOKUP(D164,#REF!,17,FALSE)</f>
        <v>#REF!</v>
      </c>
      <c r="G164" s="100"/>
      <c r="H164" s="100"/>
      <c r="I164" s="125">
        <v>6709.2</v>
      </c>
      <c r="J164" s="102" t="e">
        <f t="shared" si="31"/>
        <v>#REF!</v>
      </c>
      <c r="K164" s="133"/>
      <c r="L164" s="104"/>
      <c r="M164" s="105"/>
      <c r="N164" s="133">
        <v>0</v>
      </c>
      <c r="O164" s="106"/>
      <c r="P164" s="133">
        <v>0</v>
      </c>
      <c r="Q164" s="137">
        <f t="shared" si="32"/>
        <v>0</v>
      </c>
      <c r="R164" s="108">
        <v>0</v>
      </c>
      <c r="S164" s="138"/>
      <c r="T164" s="139">
        <f t="shared" si="44"/>
        <v>0</v>
      </c>
      <c r="U164" s="133"/>
      <c r="V164" s="112">
        <f t="shared" si="33"/>
        <v>0</v>
      </c>
      <c r="W164" s="112">
        <f t="shared" si="34"/>
        <v>0</v>
      </c>
      <c r="X164" s="113">
        <f t="shared" si="35"/>
        <v>0</v>
      </c>
      <c r="Y164" s="113">
        <v>0</v>
      </c>
      <c r="Z164" s="114">
        <v>0</v>
      </c>
      <c r="AA164" s="11">
        <f t="shared" si="36"/>
        <v>0</v>
      </c>
      <c r="AB164" s="115">
        <f t="shared" si="37"/>
        <v>0</v>
      </c>
      <c r="AC164" s="115" t="e">
        <f t="shared" si="38"/>
        <v>#REF!</v>
      </c>
      <c r="AD164" s="115">
        <f t="shared" si="39"/>
        <v>0</v>
      </c>
      <c r="AE164" s="11"/>
      <c r="AF164" s="115">
        <f t="shared" si="40"/>
        <v>0</v>
      </c>
      <c r="AG164" s="115">
        <f t="shared" si="41"/>
        <v>0</v>
      </c>
      <c r="AH164" s="115">
        <f t="shared" si="42"/>
        <v>0</v>
      </c>
      <c r="AJ164" s="11" t="e">
        <f t="shared" si="43"/>
        <v>#REF!</v>
      </c>
    </row>
    <row r="165" spans="1:36">
      <c r="A165" s="129"/>
      <c r="B165" s="129" t="s">
        <v>49</v>
      </c>
      <c r="C165" s="96"/>
      <c r="D165" s="120" t="s">
        <v>259</v>
      </c>
      <c r="E165" s="98">
        <v>14</v>
      </c>
      <c r="F165" s="99" t="e">
        <f>VLOOKUP(D165,#REF!,17,FALSE)</f>
        <v>#REF!</v>
      </c>
      <c r="G165" s="100"/>
      <c r="H165" s="100"/>
      <c r="I165" s="101"/>
      <c r="J165" s="102" t="e">
        <f t="shared" si="31"/>
        <v>#REF!</v>
      </c>
      <c r="K165" s="103"/>
      <c r="L165" s="104"/>
      <c r="M165" s="105"/>
      <c r="N165" s="103">
        <v>0</v>
      </c>
      <c r="O165" s="106"/>
      <c r="P165" s="103">
        <v>0</v>
      </c>
      <c r="Q165" s="107">
        <f t="shared" si="32"/>
        <v>0</v>
      </c>
      <c r="R165" s="108">
        <v>0</v>
      </c>
      <c r="S165" s="119"/>
      <c r="T165" s="110">
        <f t="shared" si="44"/>
        <v>0</v>
      </c>
      <c r="U165" s="103"/>
      <c r="V165" s="112">
        <f t="shared" si="33"/>
        <v>0</v>
      </c>
      <c r="W165" s="112">
        <f t="shared" si="34"/>
        <v>0</v>
      </c>
      <c r="X165" s="113">
        <f t="shared" si="35"/>
        <v>0</v>
      </c>
      <c r="Y165" s="113">
        <v>0</v>
      </c>
      <c r="Z165" s="114">
        <v>0</v>
      </c>
      <c r="AA165" s="11">
        <f t="shared" si="36"/>
        <v>0</v>
      </c>
      <c r="AB165" s="115" t="e">
        <f t="shared" si="37"/>
        <v>#REF!</v>
      </c>
      <c r="AC165" s="115">
        <f t="shared" si="38"/>
        <v>0</v>
      </c>
      <c r="AD165" s="115">
        <f t="shared" si="39"/>
        <v>0</v>
      </c>
      <c r="AE165" s="11"/>
      <c r="AF165" s="115">
        <f t="shared" si="40"/>
        <v>0</v>
      </c>
      <c r="AG165" s="115">
        <f t="shared" si="41"/>
        <v>0</v>
      </c>
      <c r="AH165" s="115">
        <f t="shared" si="42"/>
        <v>0</v>
      </c>
      <c r="AJ165" s="11" t="e">
        <f t="shared" si="43"/>
        <v>#REF!</v>
      </c>
    </row>
    <row r="166" spans="1:36">
      <c r="A166" s="129"/>
      <c r="B166" s="129" t="s">
        <v>441</v>
      </c>
      <c r="C166" s="129"/>
      <c r="D166" s="120" t="s">
        <v>260</v>
      </c>
      <c r="E166" s="98">
        <v>43.61</v>
      </c>
      <c r="F166" s="99" t="e">
        <f>VLOOKUP(D166,#REF!,17,FALSE)</f>
        <v>#REF!</v>
      </c>
      <c r="G166" s="100"/>
      <c r="H166" s="100"/>
      <c r="I166" s="101"/>
      <c r="J166" s="102" t="e">
        <f t="shared" si="31"/>
        <v>#REF!</v>
      </c>
      <c r="K166" s="103"/>
      <c r="L166" s="104"/>
      <c r="M166" s="105"/>
      <c r="N166" s="103">
        <v>0</v>
      </c>
      <c r="O166" s="106"/>
      <c r="P166" s="103">
        <v>0</v>
      </c>
      <c r="Q166" s="107">
        <f t="shared" si="32"/>
        <v>0</v>
      </c>
      <c r="R166" s="108">
        <v>0</v>
      </c>
      <c r="S166" s="119"/>
      <c r="T166" s="110">
        <f t="shared" si="44"/>
        <v>0</v>
      </c>
      <c r="U166" s="103"/>
      <c r="V166" s="112">
        <f t="shared" si="33"/>
        <v>0</v>
      </c>
      <c r="W166" s="112">
        <f t="shared" si="34"/>
        <v>0</v>
      </c>
      <c r="X166" s="113">
        <f t="shared" si="35"/>
        <v>0</v>
      </c>
      <c r="Y166" s="113">
        <v>0</v>
      </c>
      <c r="Z166" s="114">
        <v>0</v>
      </c>
      <c r="AA166" s="11">
        <f t="shared" si="36"/>
        <v>0</v>
      </c>
      <c r="AB166" s="115">
        <f t="shared" si="37"/>
        <v>0</v>
      </c>
      <c r="AC166" s="115" t="e">
        <f t="shared" si="38"/>
        <v>#REF!</v>
      </c>
      <c r="AD166" s="115">
        <f t="shared" si="39"/>
        <v>0</v>
      </c>
      <c r="AE166" s="11"/>
      <c r="AF166" s="115">
        <f t="shared" si="40"/>
        <v>0</v>
      </c>
      <c r="AG166" s="115">
        <f t="shared" si="41"/>
        <v>0</v>
      </c>
      <c r="AH166" s="115">
        <f t="shared" si="42"/>
        <v>0</v>
      </c>
      <c r="AJ166" s="11" t="e">
        <f t="shared" si="43"/>
        <v>#REF!</v>
      </c>
    </row>
    <row r="167" spans="1:36">
      <c r="A167" s="129"/>
      <c r="B167" s="129" t="s">
        <v>49</v>
      </c>
      <c r="C167" s="96"/>
      <c r="D167" s="120" t="s">
        <v>261</v>
      </c>
      <c r="E167" s="98"/>
      <c r="F167" s="99" t="e">
        <f>VLOOKUP(D167,#REF!,17,FALSE)</f>
        <v>#REF!</v>
      </c>
      <c r="G167" s="100"/>
      <c r="H167" s="100"/>
      <c r="I167" s="101"/>
      <c r="J167" s="102" t="e">
        <f t="shared" si="31"/>
        <v>#REF!</v>
      </c>
      <c r="K167" s="103"/>
      <c r="L167" s="104"/>
      <c r="M167" s="105"/>
      <c r="N167" s="103">
        <v>0</v>
      </c>
      <c r="O167" s="106"/>
      <c r="P167" s="103">
        <v>0</v>
      </c>
      <c r="Q167" s="107">
        <f t="shared" si="32"/>
        <v>0</v>
      </c>
      <c r="R167" s="108">
        <v>0</v>
      </c>
      <c r="S167" s="119"/>
      <c r="T167" s="110">
        <f t="shared" si="44"/>
        <v>0</v>
      </c>
      <c r="U167" s="103"/>
      <c r="V167" s="112">
        <f t="shared" si="33"/>
        <v>0</v>
      </c>
      <c r="W167" s="112">
        <f t="shared" si="34"/>
        <v>0</v>
      </c>
      <c r="X167" s="113">
        <f t="shared" si="35"/>
        <v>0</v>
      </c>
      <c r="Y167" s="113">
        <v>0</v>
      </c>
      <c r="Z167" s="114">
        <v>0</v>
      </c>
      <c r="AA167" s="11">
        <f t="shared" si="36"/>
        <v>0</v>
      </c>
      <c r="AB167" s="115" t="e">
        <f t="shared" si="37"/>
        <v>#REF!</v>
      </c>
      <c r="AC167" s="115">
        <f t="shared" si="38"/>
        <v>0</v>
      </c>
      <c r="AD167" s="115">
        <f t="shared" si="39"/>
        <v>0</v>
      </c>
      <c r="AE167" s="11"/>
      <c r="AF167" s="115">
        <f t="shared" si="40"/>
        <v>0</v>
      </c>
      <c r="AG167" s="115">
        <f t="shared" si="41"/>
        <v>0</v>
      </c>
      <c r="AH167" s="115">
        <f t="shared" si="42"/>
        <v>0</v>
      </c>
      <c r="AJ167" s="11" t="e">
        <f t="shared" si="43"/>
        <v>#REF!</v>
      </c>
    </row>
    <row r="168" spans="1:36">
      <c r="A168" s="129"/>
      <c r="B168" s="129" t="s">
        <v>49</v>
      </c>
      <c r="C168" s="96" t="s">
        <v>262</v>
      </c>
      <c r="D168" s="120" t="s">
        <v>263</v>
      </c>
      <c r="E168" s="98"/>
      <c r="F168" s="99" t="e">
        <f>VLOOKUP(D168,#REF!,17,FALSE)</f>
        <v>#REF!</v>
      </c>
      <c r="G168" s="100"/>
      <c r="H168" s="100"/>
      <c r="I168" s="125">
        <v>8155.98</v>
      </c>
      <c r="J168" s="102" t="e">
        <f t="shared" si="31"/>
        <v>#REF!</v>
      </c>
      <c r="K168" s="103"/>
      <c r="L168" s="104"/>
      <c r="M168" s="105"/>
      <c r="N168" s="103">
        <v>0</v>
      </c>
      <c r="O168" s="106"/>
      <c r="P168" s="103">
        <v>0</v>
      </c>
      <c r="Q168" s="107">
        <f t="shared" si="32"/>
        <v>0</v>
      </c>
      <c r="R168" s="108">
        <v>0</v>
      </c>
      <c r="S168" s="119"/>
      <c r="T168" s="110">
        <f t="shared" si="44"/>
        <v>0</v>
      </c>
      <c r="U168" s="103"/>
      <c r="V168" s="112">
        <f t="shared" si="33"/>
        <v>0</v>
      </c>
      <c r="W168" s="112">
        <f t="shared" si="34"/>
        <v>0</v>
      </c>
      <c r="X168" s="113">
        <f t="shared" si="35"/>
        <v>0</v>
      </c>
      <c r="Y168" s="113">
        <v>0</v>
      </c>
      <c r="Z168" s="114">
        <v>0</v>
      </c>
      <c r="AA168" s="11">
        <f t="shared" si="36"/>
        <v>0</v>
      </c>
      <c r="AB168" s="115" t="e">
        <f t="shared" si="37"/>
        <v>#REF!</v>
      </c>
      <c r="AC168" s="115">
        <f t="shared" si="38"/>
        <v>0</v>
      </c>
      <c r="AD168" s="115">
        <f t="shared" si="39"/>
        <v>0</v>
      </c>
      <c r="AE168" s="11"/>
      <c r="AF168" s="115">
        <f t="shared" si="40"/>
        <v>0</v>
      </c>
      <c r="AG168" s="115">
        <f t="shared" si="41"/>
        <v>0</v>
      </c>
      <c r="AH168" s="115">
        <f t="shared" si="42"/>
        <v>0</v>
      </c>
      <c r="AJ168" s="11" t="e">
        <f t="shared" si="43"/>
        <v>#REF!</v>
      </c>
    </row>
    <row r="169" spans="1:36">
      <c r="A169" s="129"/>
      <c r="B169" s="129" t="s">
        <v>49</v>
      </c>
      <c r="C169" s="96" t="s">
        <v>265</v>
      </c>
      <c r="D169" s="120" t="s">
        <v>266</v>
      </c>
      <c r="E169" s="98"/>
      <c r="F169" s="99" t="e">
        <f>VLOOKUP(D169,#REF!,17,FALSE)</f>
        <v>#REF!</v>
      </c>
      <c r="G169" s="100"/>
      <c r="H169" s="100"/>
      <c r="I169" s="101"/>
      <c r="J169" s="102" t="e">
        <f t="shared" si="31"/>
        <v>#REF!</v>
      </c>
      <c r="K169" s="103"/>
      <c r="L169" s="104"/>
      <c r="M169" s="105">
        <v>25000</v>
      </c>
      <c r="N169" s="103">
        <v>0</v>
      </c>
      <c r="O169" s="106"/>
      <c r="P169" s="103">
        <v>0</v>
      </c>
      <c r="Q169" s="107">
        <f t="shared" si="32"/>
        <v>25000</v>
      </c>
      <c r="R169" s="108">
        <v>0</v>
      </c>
      <c r="S169" s="119"/>
      <c r="T169" s="110">
        <f t="shared" si="44"/>
        <v>-25000</v>
      </c>
      <c r="U169" s="103"/>
      <c r="V169" s="112">
        <f t="shared" si="33"/>
        <v>25000</v>
      </c>
      <c r="W169" s="112">
        <f t="shared" si="34"/>
        <v>0</v>
      </c>
      <c r="X169" s="113">
        <f t="shared" si="35"/>
        <v>0</v>
      </c>
      <c r="Y169" s="113">
        <v>0</v>
      </c>
      <c r="Z169" s="114">
        <v>0</v>
      </c>
      <c r="AA169" s="11">
        <f t="shared" si="36"/>
        <v>0</v>
      </c>
      <c r="AB169" s="115" t="e">
        <f t="shared" si="37"/>
        <v>#REF!</v>
      </c>
      <c r="AC169" s="115">
        <f t="shared" si="38"/>
        <v>0</v>
      </c>
      <c r="AD169" s="115">
        <f t="shared" si="39"/>
        <v>0</v>
      </c>
      <c r="AE169" s="11"/>
      <c r="AF169" s="115">
        <f t="shared" si="40"/>
        <v>25000</v>
      </c>
      <c r="AG169" s="115">
        <f t="shared" si="41"/>
        <v>0</v>
      </c>
      <c r="AH169" s="115">
        <f t="shared" si="42"/>
        <v>0</v>
      </c>
      <c r="AJ169" s="11" t="e">
        <f t="shared" si="43"/>
        <v>#REF!</v>
      </c>
    </row>
    <row r="170" spans="1:36">
      <c r="A170" s="129"/>
      <c r="B170" s="129" t="s">
        <v>49</v>
      </c>
      <c r="C170" s="128" t="s">
        <v>267</v>
      </c>
      <c r="D170" s="120" t="s">
        <v>268</v>
      </c>
      <c r="E170" s="98">
        <f>17314.98+16345.87</f>
        <v>33660.85</v>
      </c>
      <c r="F170" s="99" t="e">
        <f>VLOOKUP(D170,#REF!,17,FALSE)</f>
        <v>#REF!</v>
      </c>
      <c r="G170" s="100"/>
      <c r="H170" s="100"/>
      <c r="I170" s="101"/>
      <c r="J170" s="102" t="e">
        <f t="shared" si="31"/>
        <v>#REF!</v>
      </c>
      <c r="K170" s="103"/>
      <c r="L170" s="104"/>
      <c r="M170" s="105">
        <v>17000</v>
      </c>
      <c r="N170" s="103">
        <v>0</v>
      </c>
      <c r="O170" s="106"/>
      <c r="P170" s="103">
        <v>0</v>
      </c>
      <c r="Q170" s="107">
        <f t="shared" si="32"/>
        <v>17000</v>
      </c>
      <c r="R170" s="108">
        <v>0</v>
      </c>
      <c r="S170" s="119"/>
      <c r="T170" s="110">
        <f t="shared" si="44"/>
        <v>-17000</v>
      </c>
      <c r="U170" s="103"/>
      <c r="V170" s="112">
        <f t="shared" si="33"/>
        <v>17000</v>
      </c>
      <c r="W170" s="112">
        <f t="shared" si="34"/>
        <v>0</v>
      </c>
      <c r="X170" s="113">
        <f t="shared" si="35"/>
        <v>0</v>
      </c>
      <c r="Y170" s="113">
        <v>0</v>
      </c>
      <c r="Z170" s="114">
        <v>0</v>
      </c>
      <c r="AA170" s="11">
        <f t="shared" si="36"/>
        <v>0</v>
      </c>
      <c r="AB170" s="115" t="e">
        <f t="shared" si="37"/>
        <v>#REF!</v>
      </c>
      <c r="AC170" s="115">
        <f t="shared" si="38"/>
        <v>0</v>
      </c>
      <c r="AD170" s="115">
        <f t="shared" si="39"/>
        <v>0</v>
      </c>
      <c r="AE170" s="11"/>
      <c r="AF170" s="115">
        <f t="shared" si="40"/>
        <v>17000</v>
      </c>
      <c r="AG170" s="115">
        <f t="shared" si="41"/>
        <v>0</v>
      </c>
      <c r="AH170" s="115">
        <f t="shared" si="42"/>
        <v>0</v>
      </c>
      <c r="AJ170" s="11" t="e">
        <f t="shared" si="43"/>
        <v>#REF!</v>
      </c>
    </row>
    <row r="171" spans="1:36" s="124" customFormat="1">
      <c r="A171" s="127"/>
      <c r="B171" s="127" t="s">
        <v>49</v>
      </c>
      <c r="C171" s="96"/>
      <c r="D171" s="118" t="s">
        <v>430</v>
      </c>
      <c r="E171" s="98"/>
      <c r="F171" s="99" t="e">
        <f>VLOOKUP(D171,#REF!,17,FALSE)</f>
        <v>#REF!</v>
      </c>
      <c r="G171" s="100"/>
      <c r="H171" s="100"/>
      <c r="I171" s="101"/>
      <c r="J171" s="102" t="e">
        <f t="shared" si="31"/>
        <v>#REF!</v>
      </c>
      <c r="K171" s="103"/>
      <c r="L171" s="104"/>
      <c r="M171" s="105"/>
      <c r="N171" s="103">
        <v>0</v>
      </c>
      <c r="O171" s="106"/>
      <c r="P171" s="103">
        <v>0</v>
      </c>
      <c r="Q171" s="107">
        <f t="shared" si="32"/>
        <v>0</v>
      </c>
      <c r="R171" s="108">
        <v>0</v>
      </c>
      <c r="S171" s="119"/>
      <c r="T171" s="110">
        <f t="shared" si="44"/>
        <v>0</v>
      </c>
      <c r="U171" s="103"/>
      <c r="V171" s="112">
        <f t="shared" si="33"/>
        <v>0</v>
      </c>
      <c r="W171" s="112">
        <f t="shared" si="34"/>
        <v>0</v>
      </c>
      <c r="X171" s="113">
        <f t="shared" si="35"/>
        <v>0</v>
      </c>
      <c r="Y171" s="113">
        <v>0</v>
      </c>
      <c r="Z171" s="114">
        <v>0</v>
      </c>
      <c r="AA171" s="11">
        <f t="shared" si="36"/>
        <v>0</v>
      </c>
      <c r="AB171" s="115" t="e">
        <f t="shared" si="37"/>
        <v>#REF!</v>
      </c>
      <c r="AC171" s="115">
        <f t="shared" si="38"/>
        <v>0</v>
      </c>
      <c r="AD171" s="115">
        <f t="shared" si="39"/>
        <v>0</v>
      </c>
      <c r="AE171" s="11"/>
      <c r="AF171" s="115">
        <f t="shared" si="40"/>
        <v>0</v>
      </c>
      <c r="AG171" s="115">
        <f t="shared" si="41"/>
        <v>0</v>
      </c>
      <c r="AH171" s="115">
        <f t="shared" si="42"/>
        <v>0</v>
      </c>
      <c r="AJ171" s="11" t="e">
        <f t="shared" si="43"/>
        <v>#REF!</v>
      </c>
    </row>
    <row r="172" spans="1:36" s="124" customFormat="1">
      <c r="A172" s="127"/>
      <c r="B172" s="127" t="s">
        <v>49</v>
      </c>
      <c r="C172" s="96" t="s">
        <v>270</v>
      </c>
      <c r="D172" s="118" t="s">
        <v>271</v>
      </c>
      <c r="E172" s="98">
        <v>87653.48</v>
      </c>
      <c r="F172" s="99" t="e">
        <f>VLOOKUP(D172,#REF!,17,FALSE)</f>
        <v>#REF!</v>
      </c>
      <c r="G172" s="100"/>
      <c r="H172" s="100"/>
      <c r="I172" s="101"/>
      <c r="J172" s="102" t="e">
        <f t="shared" si="31"/>
        <v>#REF!</v>
      </c>
      <c r="K172" s="103"/>
      <c r="L172" s="104"/>
      <c r="M172" s="105">
        <v>85000</v>
      </c>
      <c r="N172" s="103">
        <v>0</v>
      </c>
      <c r="O172" s="106"/>
      <c r="P172" s="103">
        <v>0</v>
      </c>
      <c r="Q172" s="107">
        <f t="shared" si="32"/>
        <v>85000</v>
      </c>
      <c r="R172" s="108">
        <v>0</v>
      </c>
      <c r="S172" s="119"/>
      <c r="T172" s="110">
        <f t="shared" si="44"/>
        <v>-85000</v>
      </c>
      <c r="U172" s="103"/>
      <c r="V172" s="112">
        <f t="shared" si="33"/>
        <v>85000</v>
      </c>
      <c r="W172" s="112">
        <f t="shared" si="34"/>
        <v>0</v>
      </c>
      <c r="X172" s="113">
        <f t="shared" si="35"/>
        <v>0</v>
      </c>
      <c r="Y172" s="113">
        <v>0</v>
      </c>
      <c r="Z172" s="114">
        <v>0</v>
      </c>
      <c r="AA172" s="11">
        <f t="shared" si="36"/>
        <v>0</v>
      </c>
      <c r="AB172" s="115" t="e">
        <f t="shared" si="37"/>
        <v>#REF!</v>
      </c>
      <c r="AC172" s="115">
        <f t="shared" si="38"/>
        <v>0</v>
      </c>
      <c r="AD172" s="115">
        <f t="shared" si="39"/>
        <v>0</v>
      </c>
      <c r="AE172" s="11"/>
      <c r="AF172" s="115">
        <f t="shared" si="40"/>
        <v>85000</v>
      </c>
      <c r="AG172" s="115">
        <f t="shared" si="41"/>
        <v>0</v>
      </c>
      <c r="AH172" s="115">
        <f t="shared" si="42"/>
        <v>0</v>
      </c>
      <c r="AJ172" s="11" t="e">
        <f t="shared" si="43"/>
        <v>#REF!</v>
      </c>
    </row>
    <row r="173" spans="1:36" s="124" customFormat="1">
      <c r="A173" s="127"/>
      <c r="B173" s="127" t="s">
        <v>49</v>
      </c>
      <c r="C173" s="96"/>
      <c r="D173" s="118" t="s">
        <v>272</v>
      </c>
      <c r="E173" s="98">
        <f>6163.45+5436.89</f>
        <v>11600.34</v>
      </c>
      <c r="F173" s="99" t="e">
        <f>VLOOKUP(D173,#REF!,17,FALSE)</f>
        <v>#REF!</v>
      </c>
      <c r="G173" s="100"/>
      <c r="H173" s="100"/>
      <c r="I173" s="101"/>
      <c r="J173" s="102" t="e">
        <f t="shared" si="31"/>
        <v>#REF!</v>
      </c>
      <c r="K173" s="103"/>
      <c r="L173" s="104"/>
      <c r="M173" s="105">
        <v>12000</v>
      </c>
      <c r="N173" s="103">
        <v>0</v>
      </c>
      <c r="O173" s="106"/>
      <c r="P173" s="103">
        <v>0</v>
      </c>
      <c r="Q173" s="107">
        <f t="shared" si="32"/>
        <v>12000</v>
      </c>
      <c r="R173" s="108">
        <v>0</v>
      </c>
      <c r="S173" s="119"/>
      <c r="T173" s="110">
        <f t="shared" si="44"/>
        <v>-12000</v>
      </c>
      <c r="U173" s="103"/>
      <c r="V173" s="112">
        <f t="shared" si="33"/>
        <v>12000</v>
      </c>
      <c r="W173" s="112">
        <f t="shared" si="34"/>
        <v>0</v>
      </c>
      <c r="X173" s="113">
        <f t="shared" si="35"/>
        <v>0</v>
      </c>
      <c r="Y173" s="113">
        <v>0</v>
      </c>
      <c r="Z173" s="114">
        <v>0</v>
      </c>
      <c r="AA173" s="11">
        <f t="shared" si="36"/>
        <v>0</v>
      </c>
      <c r="AB173" s="115" t="e">
        <f t="shared" si="37"/>
        <v>#REF!</v>
      </c>
      <c r="AC173" s="115">
        <f t="shared" si="38"/>
        <v>0</v>
      </c>
      <c r="AD173" s="115">
        <f t="shared" si="39"/>
        <v>0</v>
      </c>
      <c r="AE173" s="11"/>
      <c r="AF173" s="115">
        <f t="shared" si="40"/>
        <v>12000</v>
      </c>
      <c r="AG173" s="115">
        <f t="shared" si="41"/>
        <v>0</v>
      </c>
      <c r="AH173" s="115">
        <f t="shared" si="42"/>
        <v>0</v>
      </c>
      <c r="AJ173" s="11" t="e">
        <f t="shared" si="43"/>
        <v>#REF!</v>
      </c>
    </row>
    <row r="174" spans="1:36" s="124" customFormat="1">
      <c r="A174" s="127"/>
      <c r="B174" s="127" t="s">
        <v>46</v>
      </c>
      <c r="C174" s="96" t="s">
        <v>273</v>
      </c>
      <c r="D174" s="118" t="s">
        <v>274</v>
      </c>
      <c r="E174" s="98"/>
      <c r="F174" s="99" t="e">
        <f>VLOOKUP(D174,#REF!,17,FALSE)</f>
        <v>#REF!</v>
      </c>
      <c r="G174" s="100"/>
      <c r="H174" s="100"/>
      <c r="I174" s="101"/>
      <c r="J174" s="102" t="e">
        <f t="shared" si="31"/>
        <v>#REF!</v>
      </c>
      <c r="K174" s="103"/>
      <c r="L174" s="104"/>
      <c r="M174" s="105"/>
      <c r="N174" s="103">
        <v>0</v>
      </c>
      <c r="O174" s="106"/>
      <c r="P174" s="103">
        <v>0</v>
      </c>
      <c r="Q174" s="107">
        <f t="shared" si="32"/>
        <v>0</v>
      </c>
      <c r="R174" s="108">
        <v>0</v>
      </c>
      <c r="S174" s="119"/>
      <c r="T174" s="110">
        <f t="shared" si="44"/>
        <v>0</v>
      </c>
      <c r="U174" s="103"/>
      <c r="V174" s="112">
        <f t="shared" si="33"/>
        <v>0</v>
      </c>
      <c r="W174" s="112">
        <f t="shared" si="34"/>
        <v>0</v>
      </c>
      <c r="X174" s="113">
        <f t="shared" si="35"/>
        <v>0</v>
      </c>
      <c r="Y174" s="113">
        <v>0</v>
      </c>
      <c r="Z174" s="114">
        <v>0</v>
      </c>
      <c r="AA174" s="11">
        <f t="shared" si="36"/>
        <v>0</v>
      </c>
      <c r="AB174" s="115">
        <f t="shared" si="37"/>
        <v>0</v>
      </c>
      <c r="AC174" s="115" t="e">
        <f t="shared" si="38"/>
        <v>#REF!</v>
      </c>
      <c r="AD174" s="115">
        <f t="shared" si="39"/>
        <v>0</v>
      </c>
      <c r="AE174" s="11"/>
      <c r="AF174" s="115">
        <f t="shared" si="40"/>
        <v>0</v>
      </c>
      <c r="AG174" s="115">
        <f t="shared" si="41"/>
        <v>0</v>
      </c>
      <c r="AH174" s="115">
        <f t="shared" si="42"/>
        <v>0</v>
      </c>
      <c r="AJ174" s="11" t="e">
        <f t="shared" si="43"/>
        <v>#REF!</v>
      </c>
    </row>
    <row r="175" spans="1:36">
      <c r="A175" s="116"/>
      <c r="B175" s="116" t="s">
        <v>49</v>
      </c>
      <c r="C175" s="126" t="s">
        <v>275</v>
      </c>
      <c r="D175" s="120" t="s">
        <v>276</v>
      </c>
      <c r="E175" s="98"/>
      <c r="F175" s="99" t="e">
        <f>VLOOKUP(D175,#REF!,17,FALSE)</f>
        <v>#REF!</v>
      </c>
      <c r="G175" s="100"/>
      <c r="H175" s="100"/>
      <c r="I175" s="101"/>
      <c r="J175" s="102" t="e">
        <f t="shared" si="31"/>
        <v>#REF!</v>
      </c>
      <c r="K175" s="103"/>
      <c r="L175" s="104"/>
      <c r="M175" s="105"/>
      <c r="N175" s="103">
        <v>0</v>
      </c>
      <c r="O175" s="106"/>
      <c r="P175" s="103">
        <v>0</v>
      </c>
      <c r="Q175" s="107">
        <f t="shared" si="32"/>
        <v>0</v>
      </c>
      <c r="R175" s="108">
        <v>0</v>
      </c>
      <c r="S175" s="119"/>
      <c r="T175" s="110">
        <f t="shared" si="44"/>
        <v>0</v>
      </c>
      <c r="U175" s="103"/>
      <c r="V175" s="112">
        <f t="shared" si="33"/>
        <v>0</v>
      </c>
      <c r="W175" s="112">
        <f t="shared" si="34"/>
        <v>0</v>
      </c>
      <c r="X175" s="113">
        <f t="shared" si="35"/>
        <v>0</v>
      </c>
      <c r="Y175" s="113">
        <v>0</v>
      </c>
      <c r="Z175" s="114">
        <v>0</v>
      </c>
      <c r="AA175" s="11">
        <f t="shared" si="36"/>
        <v>0</v>
      </c>
      <c r="AB175" s="115" t="e">
        <f t="shared" si="37"/>
        <v>#REF!</v>
      </c>
      <c r="AC175" s="115">
        <f t="shared" si="38"/>
        <v>0</v>
      </c>
      <c r="AD175" s="115">
        <f t="shared" si="39"/>
        <v>0</v>
      </c>
      <c r="AE175" s="11"/>
      <c r="AF175" s="115">
        <f t="shared" si="40"/>
        <v>0</v>
      </c>
      <c r="AG175" s="115">
        <f t="shared" si="41"/>
        <v>0</v>
      </c>
      <c r="AH175" s="115">
        <f t="shared" si="42"/>
        <v>0</v>
      </c>
      <c r="AJ175" s="11" t="e">
        <f t="shared" si="43"/>
        <v>#REF!</v>
      </c>
    </row>
    <row r="176" spans="1:36">
      <c r="A176" s="116"/>
      <c r="B176" s="116" t="s">
        <v>46</v>
      </c>
      <c r="C176" s="122" t="s">
        <v>279</v>
      </c>
      <c r="D176" s="120" t="s">
        <v>431</v>
      </c>
      <c r="E176" s="98"/>
      <c r="F176" s="99" t="e">
        <f>VLOOKUP(D176,#REF!,17,FALSE)</f>
        <v>#REF!</v>
      </c>
      <c r="G176" s="100"/>
      <c r="H176" s="100"/>
      <c r="I176" s="101"/>
      <c r="J176" s="102" t="e">
        <f t="shared" si="31"/>
        <v>#REF!</v>
      </c>
      <c r="K176" s="103"/>
      <c r="L176" s="104"/>
      <c r="M176" s="105"/>
      <c r="N176" s="103">
        <v>0</v>
      </c>
      <c r="O176" s="106"/>
      <c r="P176" s="103">
        <v>0</v>
      </c>
      <c r="Q176" s="107">
        <f t="shared" si="32"/>
        <v>0</v>
      </c>
      <c r="R176" s="108">
        <v>0</v>
      </c>
      <c r="S176" s="119"/>
      <c r="T176" s="110">
        <f t="shared" si="44"/>
        <v>0</v>
      </c>
      <c r="U176" s="103"/>
      <c r="V176" s="112">
        <f t="shared" si="33"/>
        <v>0</v>
      </c>
      <c r="W176" s="112">
        <f t="shared" si="34"/>
        <v>0</v>
      </c>
      <c r="X176" s="113">
        <f t="shared" si="35"/>
        <v>0</v>
      </c>
      <c r="Y176" s="113">
        <v>0</v>
      </c>
      <c r="Z176" s="114">
        <v>0</v>
      </c>
      <c r="AA176" s="11">
        <f t="shared" si="36"/>
        <v>0</v>
      </c>
      <c r="AB176" s="115">
        <f t="shared" si="37"/>
        <v>0</v>
      </c>
      <c r="AC176" s="115" t="e">
        <f t="shared" si="38"/>
        <v>#REF!</v>
      </c>
      <c r="AD176" s="115">
        <f t="shared" si="39"/>
        <v>0</v>
      </c>
      <c r="AE176" s="11"/>
      <c r="AF176" s="115">
        <f t="shared" si="40"/>
        <v>0</v>
      </c>
      <c r="AG176" s="115">
        <f t="shared" si="41"/>
        <v>0</v>
      </c>
      <c r="AH176" s="115">
        <f t="shared" si="42"/>
        <v>0</v>
      </c>
      <c r="AJ176" s="11" t="e">
        <f t="shared" si="43"/>
        <v>#REF!</v>
      </c>
    </row>
    <row r="177" spans="1:36">
      <c r="A177" s="116"/>
      <c r="B177" s="116" t="s">
        <v>46</v>
      </c>
      <c r="C177" s="122" t="s">
        <v>279</v>
      </c>
      <c r="D177" s="120" t="s">
        <v>280</v>
      </c>
      <c r="E177" s="98"/>
      <c r="F177" s="99" t="e">
        <f>VLOOKUP(D177,#REF!,17,FALSE)</f>
        <v>#REF!</v>
      </c>
      <c r="G177" s="100"/>
      <c r="H177" s="100"/>
      <c r="I177" s="101"/>
      <c r="J177" s="102" t="e">
        <f t="shared" si="31"/>
        <v>#REF!</v>
      </c>
      <c r="K177" s="103"/>
      <c r="L177" s="104"/>
      <c r="M177" s="105"/>
      <c r="N177" s="103">
        <v>0</v>
      </c>
      <c r="O177" s="106"/>
      <c r="P177" s="103">
        <v>0</v>
      </c>
      <c r="Q177" s="107">
        <f t="shared" si="32"/>
        <v>0</v>
      </c>
      <c r="R177" s="108">
        <v>0</v>
      </c>
      <c r="S177" s="119"/>
      <c r="T177" s="110">
        <f t="shared" si="44"/>
        <v>0</v>
      </c>
      <c r="U177" s="103"/>
      <c r="V177" s="112">
        <f t="shared" si="33"/>
        <v>0</v>
      </c>
      <c r="W177" s="112">
        <f t="shared" si="34"/>
        <v>0</v>
      </c>
      <c r="X177" s="113">
        <f t="shared" si="35"/>
        <v>0</v>
      </c>
      <c r="Y177" s="113">
        <v>0</v>
      </c>
      <c r="Z177" s="114">
        <v>0</v>
      </c>
      <c r="AA177" s="11">
        <f t="shared" si="36"/>
        <v>0</v>
      </c>
      <c r="AB177" s="115">
        <f t="shared" si="37"/>
        <v>0</v>
      </c>
      <c r="AC177" s="115" t="e">
        <f t="shared" si="38"/>
        <v>#REF!</v>
      </c>
      <c r="AD177" s="115">
        <f t="shared" si="39"/>
        <v>0</v>
      </c>
      <c r="AE177" s="11"/>
      <c r="AF177" s="115">
        <f t="shared" si="40"/>
        <v>0</v>
      </c>
      <c r="AG177" s="115">
        <f t="shared" si="41"/>
        <v>0</v>
      </c>
      <c r="AH177" s="115">
        <f t="shared" si="42"/>
        <v>0</v>
      </c>
      <c r="AJ177" s="11" t="e">
        <f t="shared" si="43"/>
        <v>#REF!</v>
      </c>
    </row>
    <row r="178" spans="1:36">
      <c r="A178" s="129"/>
      <c r="B178" s="129" t="s">
        <v>49</v>
      </c>
      <c r="C178" s="96"/>
      <c r="D178" s="120" t="s">
        <v>432</v>
      </c>
      <c r="E178" s="98"/>
      <c r="F178" s="99" t="e">
        <f>VLOOKUP(D178,#REF!,17,FALSE)</f>
        <v>#REF!</v>
      </c>
      <c r="G178" s="100"/>
      <c r="H178" s="100"/>
      <c r="I178" s="125">
        <v>360.34</v>
      </c>
      <c r="J178" s="102" t="e">
        <f t="shared" si="31"/>
        <v>#REF!</v>
      </c>
      <c r="K178" s="103"/>
      <c r="L178" s="104"/>
      <c r="M178" s="105"/>
      <c r="N178" s="103">
        <v>0</v>
      </c>
      <c r="O178" s="106"/>
      <c r="P178" s="103">
        <v>0</v>
      </c>
      <c r="Q178" s="107">
        <f t="shared" si="32"/>
        <v>0</v>
      </c>
      <c r="R178" s="108">
        <v>0</v>
      </c>
      <c r="S178" s="119"/>
      <c r="T178" s="110">
        <f t="shared" si="44"/>
        <v>0</v>
      </c>
      <c r="U178" s="103"/>
      <c r="V178" s="112">
        <f t="shared" si="33"/>
        <v>0</v>
      </c>
      <c r="W178" s="112">
        <f t="shared" si="34"/>
        <v>0</v>
      </c>
      <c r="X178" s="113">
        <f t="shared" si="35"/>
        <v>0</v>
      </c>
      <c r="Y178" s="113">
        <v>0</v>
      </c>
      <c r="Z178" s="114">
        <v>0</v>
      </c>
      <c r="AA178" s="11">
        <f t="shared" si="36"/>
        <v>0</v>
      </c>
      <c r="AB178" s="115" t="e">
        <f t="shared" si="37"/>
        <v>#REF!</v>
      </c>
      <c r="AC178" s="115">
        <f t="shared" si="38"/>
        <v>0</v>
      </c>
      <c r="AD178" s="115">
        <f t="shared" si="39"/>
        <v>0</v>
      </c>
      <c r="AE178" s="11"/>
      <c r="AF178" s="115">
        <f t="shared" si="40"/>
        <v>0</v>
      </c>
      <c r="AG178" s="115">
        <f t="shared" si="41"/>
        <v>0</v>
      </c>
      <c r="AH178" s="115">
        <f t="shared" si="42"/>
        <v>0</v>
      </c>
      <c r="AJ178" s="11" t="e">
        <f t="shared" si="43"/>
        <v>#REF!</v>
      </c>
    </row>
    <row r="179" spans="1:36">
      <c r="A179" s="129"/>
      <c r="B179" s="129" t="s">
        <v>46</v>
      </c>
      <c r="C179" s="96" t="s">
        <v>282</v>
      </c>
      <c r="D179" s="120" t="s">
        <v>283</v>
      </c>
      <c r="E179" s="98"/>
      <c r="F179" s="99" t="e">
        <f>VLOOKUP(D179,#REF!,17,FALSE)</f>
        <v>#REF!</v>
      </c>
      <c r="G179" s="100"/>
      <c r="H179" s="100"/>
      <c r="I179" s="125">
        <v>5352</v>
      </c>
      <c r="J179" s="102" t="e">
        <f t="shared" si="31"/>
        <v>#REF!</v>
      </c>
      <c r="K179" s="103"/>
      <c r="L179" s="104"/>
      <c r="M179" s="105"/>
      <c r="N179" s="103">
        <v>0</v>
      </c>
      <c r="O179" s="106"/>
      <c r="P179" s="103">
        <v>0</v>
      </c>
      <c r="Q179" s="107">
        <f t="shared" si="32"/>
        <v>0</v>
      </c>
      <c r="R179" s="108">
        <v>0</v>
      </c>
      <c r="S179" s="119"/>
      <c r="T179" s="110">
        <f t="shared" si="44"/>
        <v>0</v>
      </c>
      <c r="U179" s="103"/>
      <c r="V179" s="112">
        <f t="shared" si="33"/>
        <v>0</v>
      </c>
      <c r="W179" s="112">
        <f t="shared" si="34"/>
        <v>0</v>
      </c>
      <c r="X179" s="113">
        <f t="shared" si="35"/>
        <v>0</v>
      </c>
      <c r="Y179" s="113">
        <v>0</v>
      </c>
      <c r="Z179" s="114">
        <v>0</v>
      </c>
      <c r="AA179" s="11">
        <f t="shared" si="36"/>
        <v>0</v>
      </c>
      <c r="AB179" s="115">
        <f t="shared" si="37"/>
        <v>0</v>
      </c>
      <c r="AC179" s="115" t="e">
        <f t="shared" si="38"/>
        <v>#REF!</v>
      </c>
      <c r="AD179" s="115">
        <f t="shared" si="39"/>
        <v>0</v>
      </c>
      <c r="AE179" s="11"/>
      <c r="AF179" s="115">
        <f t="shared" si="40"/>
        <v>0</v>
      </c>
      <c r="AG179" s="115">
        <f t="shared" si="41"/>
        <v>0</v>
      </c>
      <c r="AH179" s="115">
        <f t="shared" si="42"/>
        <v>0</v>
      </c>
      <c r="AJ179" s="11" t="e">
        <f t="shared" si="43"/>
        <v>#REF!</v>
      </c>
    </row>
    <row r="180" spans="1:36">
      <c r="A180" s="129"/>
      <c r="B180" s="129" t="s">
        <v>81</v>
      </c>
      <c r="C180" s="96" t="s">
        <v>282</v>
      </c>
      <c r="D180" s="120" t="s">
        <v>283</v>
      </c>
      <c r="E180" s="98"/>
      <c r="F180" s="99" t="e">
        <f>VLOOKUP(D180,#REF!,17,FALSE)</f>
        <v>#REF!</v>
      </c>
      <c r="G180" s="100"/>
      <c r="H180" s="100"/>
      <c r="I180" s="101"/>
      <c r="J180" s="102" t="e">
        <f t="shared" si="31"/>
        <v>#REF!</v>
      </c>
      <c r="K180" s="103"/>
      <c r="L180" s="104"/>
      <c r="M180" s="105"/>
      <c r="N180" s="103">
        <v>0</v>
      </c>
      <c r="O180" s="106"/>
      <c r="P180" s="103">
        <v>0</v>
      </c>
      <c r="Q180" s="107">
        <f t="shared" si="32"/>
        <v>0</v>
      </c>
      <c r="R180" s="108">
        <v>0</v>
      </c>
      <c r="S180" s="119"/>
      <c r="T180" s="110">
        <f t="shared" si="44"/>
        <v>0</v>
      </c>
      <c r="U180" s="103"/>
      <c r="V180" s="112">
        <f t="shared" si="33"/>
        <v>0</v>
      </c>
      <c r="W180" s="112">
        <f t="shared" si="34"/>
        <v>0</v>
      </c>
      <c r="X180" s="113">
        <f t="shared" si="35"/>
        <v>0</v>
      </c>
      <c r="Y180" s="113">
        <v>0</v>
      </c>
      <c r="Z180" s="114">
        <v>0</v>
      </c>
      <c r="AA180" s="11">
        <f t="shared" si="36"/>
        <v>0</v>
      </c>
      <c r="AB180" s="115">
        <f t="shared" si="37"/>
        <v>0</v>
      </c>
      <c r="AC180" s="115">
        <f t="shared" si="38"/>
        <v>0</v>
      </c>
      <c r="AD180" s="115" t="e">
        <f t="shared" si="39"/>
        <v>#REF!</v>
      </c>
      <c r="AE180" s="11"/>
      <c r="AF180" s="115">
        <f t="shared" si="40"/>
        <v>0</v>
      </c>
      <c r="AG180" s="115">
        <f t="shared" si="41"/>
        <v>0</v>
      </c>
      <c r="AH180" s="115">
        <f t="shared" si="42"/>
        <v>0</v>
      </c>
      <c r="AJ180" s="11" t="e">
        <f t="shared" si="43"/>
        <v>#REF!</v>
      </c>
    </row>
    <row r="181" spans="1:36">
      <c r="A181" s="129"/>
      <c r="B181" s="129" t="s">
        <v>49</v>
      </c>
      <c r="C181" s="96" t="s">
        <v>284</v>
      </c>
      <c r="D181" s="120" t="s">
        <v>285</v>
      </c>
      <c r="E181" s="98">
        <f>11164.71+10269.39</f>
        <v>21434.1</v>
      </c>
      <c r="F181" s="99" t="e">
        <f>VLOOKUP(D181,#REF!,17,FALSE)</f>
        <v>#REF!</v>
      </c>
      <c r="G181" s="100"/>
      <c r="H181" s="100"/>
      <c r="I181" s="125">
        <v>7966.53</v>
      </c>
      <c r="J181" s="102" t="e">
        <f t="shared" si="31"/>
        <v>#REF!</v>
      </c>
      <c r="K181" s="103"/>
      <c r="L181" s="104"/>
      <c r="M181" s="105"/>
      <c r="N181" s="103">
        <v>0</v>
      </c>
      <c r="O181" s="106"/>
      <c r="P181" s="103">
        <v>0</v>
      </c>
      <c r="Q181" s="107">
        <f t="shared" si="32"/>
        <v>0</v>
      </c>
      <c r="R181" s="108">
        <v>0</v>
      </c>
      <c r="S181" s="119"/>
      <c r="T181" s="110">
        <f t="shared" si="44"/>
        <v>0</v>
      </c>
      <c r="U181" s="103"/>
      <c r="V181" s="112">
        <f t="shared" si="33"/>
        <v>0</v>
      </c>
      <c r="W181" s="112">
        <f t="shared" si="34"/>
        <v>0</v>
      </c>
      <c r="X181" s="113">
        <f t="shared" si="35"/>
        <v>0</v>
      </c>
      <c r="Y181" s="113">
        <v>0</v>
      </c>
      <c r="Z181" s="114">
        <v>0</v>
      </c>
      <c r="AA181" s="11">
        <f t="shared" si="36"/>
        <v>0</v>
      </c>
      <c r="AB181" s="115" t="e">
        <f t="shared" si="37"/>
        <v>#REF!</v>
      </c>
      <c r="AC181" s="115">
        <f t="shared" si="38"/>
        <v>0</v>
      </c>
      <c r="AD181" s="115">
        <f t="shared" si="39"/>
        <v>0</v>
      </c>
      <c r="AE181" s="11"/>
      <c r="AF181" s="115">
        <f t="shared" si="40"/>
        <v>0</v>
      </c>
      <c r="AG181" s="115">
        <f t="shared" si="41"/>
        <v>0</v>
      </c>
      <c r="AH181" s="115">
        <f t="shared" si="42"/>
        <v>0</v>
      </c>
      <c r="AJ181" s="11" t="e">
        <f t="shared" si="43"/>
        <v>#REF!</v>
      </c>
    </row>
    <row r="182" spans="1:36">
      <c r="A182" s="116"/>
      <c r="B182" s="116" t="s">
        <v>46</v>
      </c>
      <c r="C182" s="122"/>
      <c r="D182" s="120" t="s">
        <v>286</v>
      </c>
      <c r="E182" s="98"/>
      <c r="F182" s="99" t="e">
        <f>VLOOKUP(D182,#REF!,17,FALSE)</f>
        <v>#REF!</v>
      </c>
      <c r="G182" s="100"/>
      <c r="H182" s="100"/>
      <c r="I182" s="101"/>
      <c r="J182" s="102" t="e">
        <f t="shared" si="31"/>
        <v>#REF!</v>
      </c>
      <c r="K182" s="103"/>
      <c r="L182" s="104"/>
      <c r="M182" s="105">
        <v>30000</v>
      </c>
      <c r="N182" s="103">
        <v>0</v>
      </c>
      <c r="O182" s="106"/>
      <c r="P182" s="103">
        <v>0</v>
      </c>
      <c r="Q182" s="107">
        <f t="shared" si="32"/>
        <v>30000</v>
      </c>
      <c r="R182" s="108">
        <v>0</v>
      </c>
      <c r="S182" s="119"/>
      <c r="T182" s="110">
        <f t="shared" si="44"/>
        <v>-30000</v>
      </c>
      <c r="U182" s="103"/>
      <c r="V182" s="112">
        <f t="shared" si="33"/>
        <v>0</v>
      </c>
      <c r="W182" s="112">
        <f t="shared" si="34"/>
        <v>30000</v>
      </c>
      <c r="X182" s="113">
        <f t="shared" si="35"/>
        <v>0</v>
      </c>
      <c r="Y182" s="113">
        <v>0</v>
      </c>
      <c r="Z182" s="114">
        <v>0</v>
      </c>
      <c r="AA182" s="11">
        <f t="shared" si="36"/>
        <v>0</v>
      </c>
      <c r="AB182" s="115">
        <f t="shared" si="37"/>
        <v>0</v>
      </c>
      <c r="AC182" s="115" t="e">
        <f t="shared" si="38"/>
        <v>#REF!</v>
      </c>
      <c r="AD182" s="115">
        <f t="shared" si="39"/>
        <v>0</v>
      </c>
      <c r="AE182" s="11"/>
      <c r="AF182" s="115">
        <f t="shared" si="40"/>
        <v>0</v>
      </c>
      <c r="AG182" s="115">
        <f t="shared" si="41"/>
        <v>30000</v>
      </c>
      <c r="AH182" s="115">
        <f t="shared" si="42"/>
        <v>0</v>
      </c>
      <c r="AJ182" s="11" t="e">
        <f t="shared" si="43"/>
        <v>#REF!</v>
      </c>
    </row>
    <row r="183" spans="1:36">
      <c r="A183" s="129"/>
      <c r="B183" s="129" t="s">
        <v>49</v>
      </c>
      <c r="C183" s="96"/>
      <c r="D183" s="120" t="s">
        <v>287</v>
      </c>
      <c r="E183" s="98"/>
      <c r="F183" s="99" t="e">
        <f>VLOOKUP(D183,#REF!,17,FALSE)</f>
        <v>#REF!</v>
      </c>
      <c r="G183" s="100"/>
      <c r="H183" s="100"/>
      <c r="I183" s="101"/>
      <c r="J183" s="102" t="e">
        <f t="shared" si="31"/>
        <v>#REF!</v>
      </c>
      <c r="K183" s="103"/>
      <c r="L183" s="104"/>
      <c r="M183" s="105">
        <v>15000</v>
      </c>
      <c r="N183" s="103">
        <v>0</v>
      </c>
      <c r="O183" s="106"/>
      <c r="P183" s="103">
        <v>0</v>
      </c>
      <c r="Q183" s="107">
        <f t="shared" si="32"/>
        <v>15000</v>
      </c>
      <c r="R183" s="108">
        <f>1091.37+18559.13</f>
        <v>19650.5</v>
      </c>
      <c r="S183" s="119"/>
      <c r="T183" s="110">
        <f t="shared" si="44"/>
        <v>4650.5</v>
      </c>
      <c r="U183" s="103"/>
      <c r="V183" s="112">
        <f t="shared" si="33"/>
        <v>15000</v>
      </c>
      <c r="W183" s="112">
        <f t="shared" si="34"/>
        <v>0</v>
      </c>
      <c r="X183" s="113">
        <f t="shared" si="35"/>
        <v>0</v>
      </c>
      <c r="Y183" s="113">
        <v>0</v>
      </c>
      <c r="Z183" s="114">
        <v>0</v>
      </c>
      <c r="AA183" s="11">
        <f t="shared" si="36"/>
        <v>0</v>
      </c>
      <c r="AB183" s="115" t="e">
        <f t="shared" si="37"/>
        <v>#REF!</v>
      </c>
      <c r="AC183" s="115">
        <f t="shared" si="38"/>
        <v>0</v>
      </c>
      <c r="AD183" s="115">
        <f t="shared" si="39"/>
        <v>0</v>
      </c>
      <c r="AE183" s="11"/>
      <c r="AF183" s="115">
        <f t="shared" si="40"/>
        <v>15000</v>
      </c>
      <c r="AG183" s="115">
        <f t="shared" si="41"/>
        <v>0</v>
      </c>
      <c r="AH183" s="115">
        <f t="shared" si="42"/>
        <v>0</v>
      </c>
      <c r="AJ183" s="11" t="e">
        <f t="shared" si="43"/>
        <v>#REF!</v>
      </c>
    </row>
    <row r="184" spans="1:36">
      <c r="A184" s="116" t="s">
        <v>60</v>
      </c>
      <c r="B184" s="116" t="s">
        <v>49</v>
      </c>
      <c r="C184" s="122"/>
      <c r="D184" s="120" t="s">
        <v>433</v>
      </c>
      <c r="E184" s="98"/>
      <c r="F184" s="99" t="e">
        <f>VLOOKUP(D184,#REF!,17,FALSE)</f>
        <v>#REF!</v>
      </c>
      <c r="G184" s="100"/>
      <c r="H184" s="100"/>
      <c r="I184" s="101"/>
      <c r="J184" s="102" t="e">
        <f t="shared" si="31"/>
        <v>#REF!</v>
      </c>
      <c r="K184" s="103"/>
      <c r="L184" s="104"/>
      <c r="M184" s="105"/>
      <c r="N184" s="103">
        <v>0</v>
      </c>
      <c r="O184" s="106"/>
      <c r="P184" s="103">
        <v>0</v>
      </c>
      <c r="Q184" s="107">
        <f t="shared" si="32"/>
        <v>0</v>
      </c>
      <c r="R184" s="108">
        <v>0</v>
      </c>
      <c r="S184" s="119"/>
      <c r="T184" s="110">
        <f t="shared" si="44"/>
        <v>0</v>
      </c>
      <c r="U184" s="103"/>
      <c r="V184" s="112">
        <f t="shared" si="33"/>
        <v>0</v>
      </c>
      <c r="W184" s="112">
        <f t="shared" si="34"/>
        <v>0</v>
      </c>
      <c r="X184" s="113">
        <f t="shared" si="35"/>
        <v>0</v>
      </c>
      <c r="Y184" s="113">
        <v>0</v>
      </c>
      <c r="Z184" s="114">
        <v>0</v>
      </c>
      <c r="AA184" s="11">
        <f t="shared" si="36"/>
        <v>0</v>
      </c>
      <c r="AB184" s="115" t="e">
        <f t="shared" si="37"/>
        <v>#REF!</v>
      </c>
      <c r="AC184" s="115">
        <f t="shared" si="38"/>
        <v>0</v>
      </c>
      <c r="AD184" s="115">
        <f t="shared" si="39"/>
        <v>0</v>
      </c>
      <c r="AE184" s="11"/>
      <c r="AF184" s="115">
        <f t="shared" si="40"/>
        <v>0</v>
      </c>
      <c r="AG184" s="115">
        <f t="shared" si="41"/>
        <v>0</v>
      </c>
      <c r="AH184" s="115">
        <f t="shared" si="42"/>
        <v>0</v>
      </c>
      <c r="AJ184" s="11" t="e">
        <f t="shared" si="43"/>
        <v>#REF!</v>
      </c>
    </row>
    <row r="185" spans="1:36">
      <c r="A185" s="116"/>
      <c r="B185" s="116" t="s">
        <v>49</v>
      </c>
      <c r="C185" s="122" t="s">
        <v>289</v>
      </c>
      <c r="D185" s="120" t="s">
        <v>290</v>
      </c>
      <c r="E185" s="98"/>
      <c r="F185" s="99" t="e">
        <f>VLOOKUP(D185,#REF!,17,FALSE)</f>
        <v>#REF!</v>
      </c>
      <c r="G185" s="100"/>
      <c r="H185" s="100"/>
      <c r="I185" s="101"/>
      <c r="J185" s="102" t="e">
        <f t="shared" si="31"/>
        <v>#REF!</v>
      </c>
      <c r="K185" s="103"/>
      <c r="L185" s="104"/>
      <c r="M185" s="105">
        <v>965000</v>
      </c>
      <c r="N185" s="103">
        <v>0</v>
      </c>
      <c r="O185" s="106"/>
      <c r="P185" s="103">
        <v>0</v>
      </c>
      <c r="Q185" s="107">
        <f t="shared" si="32"/>
        <v>965000</v>
      </c>
      <c r="R185" s="108">
        <v>1077037.92</v>
      </c>
      <c r="S185" s="119"/>
      <c r="T185" s="110">
        <f t="shared" si="44"/>
        <v>112037.91999999993</v>
      </c>
      <c r="U185" s="103"/>
      <c r="V185" s="112">
        <f t="shared" si="33"/>
        <v>965000</v>
      </c>
      <c r="W185" s="112">
        <f t="shared" si="34"/>
        <v>0</v>
      </c>
      <c r="X185" s="113">
        <f t="shared" si="35"/>
        <v>0</v>
      </c>
      <c r="Y185" s="113">
        <v>0</v>
      </c>
      <c r="Z185" s="114">
        <v>0</v>
      </c>
      <c r="AA185" s="11">
        <f t="shared" si="36"/>
        <v>0</v>
      </c>
      <c r="AB185" s="115" t="e">
        <f t="shared" si="37"/>
        <v>#REF!</v>
      </c>
      <c r="AC185" s="115">
        <f t="shared" si="38"/>
        <v>0</v>
      </c>
      <c r="AD185" s="115">
        <f t="shared" si="39"/>
        <v>0</v>
      </c>
      <c r="AE185" s="11"/>
      <c r="AF185" s="115">
        <f t="shared" si="40"/>
        <v>965000</v>
      </c>
      <c r="AG185" s="115">
        <f t="shared" si="41"/>
        <v>0</v>
      </c>
      <c r="AH185" s="115">
        <f t="shared" si="42"/>
        <v>0</v>
      </c>
      <c r="AJ185" s="11" t="e">
        <f t="shared" si="43"/>
        <v>#REF!</v>
      </c>
    </row>
    <row r="186" spans="1:36">
      <c r="A186" s="116"/>
      <c r="B186" s="116" t="s">
        <v>49</v>
      </c>
      <c r="C186" s="122" t="s">
        <v>289</v>
      </c>
      <c r="D186" s="120" t="s">
        <v>292</v>
      </c>
      <c r="E186" s="98"/>
      <c r="F186" s="99" t="e">
        <f>VLOOKUP(D186,#REF!,17,FALSE)</f>
        <v>#REF!</v>
      </c>
      <c r="G186" s="100"/>
      <c r="H186" s="100"/>
      <c r="I186" s="101"/>
      <c r="J186" s="102" t="e">
        <f t="shared" si="31"/>
        <v>#REF!</v>
      </c>
      <c r="K186" s="103"/>
      <c r="L186" s="104"/>
      <c r="M186" s="105">
        <v>25000</v>
      </c>
      <c r="N186" s="103">
        <v>0</v>
      </c>
      <c r="O186" s="106"/>
      <c r="P186" s="103">
        <v>0</v>
      </c>
      <c r="Q186" s="107">
        <f t="shared" si="32"/>
        <v>25000</v>
      </c>
      <c r="R186" s="108">
        <v>18797.14</v>
      </c>
      <c r="S186" s="119"/>
      <c r="T186" s="110">
        <f t="shared" si="44"/>
        <v>-6202.8600000000006</v>
      </c>
      <c r="U186" s="103"/>
      <c r="V186" s="112">
        <f t="shared" si="33"/>
        <v>25000</v>
      </c>
      <c r="W186" s="112">
        <f t="shared" si="34"/>
        <v>0</v>
      </c>
      <c r="X186" s="113">
        <f t="shared" si="35"/>
        <v>0</v>
      </c>
      <c r="Y186" s="113">
        <v>0</v>
      </c>
      <c r="Z186" s="114">
        <v>0</v>
      </c>
      <c r="AA186" s="11">
        <f t="shared" si="36"/>
        <v>0</v>
      </c>
      <c r="AB186" s="115" t="e">
        <f t="shared" si="37"/>
        <v>#REF!</v>
      </c>
      <c r="AC186" s="115">
        <f t="shared" si="38"/>
        <v>0</v>
      </c>
      <c r="AD186" s="115">
        <f t="shared" si="39"/>
        <v>0</v>
      </c>
      <c r="AE186" s="11"/>
      <c r="AF186" s="115">
        <f t="shared" si="40"/>
        <v>25000</v>
      </c>
      <c r="AG186" s="115">
        <f t="shared" si="41"/>
        <v>0</v>
      </c>
      <c r="AH186" s="115">
        <f t="shared" si="42"/>
        <v>0</v>
      </c>
      <c r="AJ186" s="11" t="e">
        <f t="shared" si="43"/>
        <v>#REF!</v>
      </c>
    </row>
    <row r="187" spans="1:36">
      <c r="A187" s="129"/>
      <c r="B187" s="129" t="s">
        <v>49</v>
      </c>
      <c r="C187" s="96"/>
      <c r="D187" s="120" t="s">
        <v>293</v>
      </c>
      <c r="E187" s="98"/>
      <c r="F187" s="99" t="e">
        <f>VLOOKUP(D187,#REF!,17,FALSE)</f>
        <v>#REF!</v>
      </c>
      <c r="G187" s="100"/>
      <c r="H187" s="100"/>
      <c r="I187" s="125">
        <v>801.97</v>
      </c>
      <c r="J187" s="102" t="e">
        <f t="shared" si="31"/>
        <v>#REF!</v>
      </c>
      <c r="K187" s="103"/>
      <c r="L187" s="104"/>
      <c r="M187" s="105"/>
      <c r="N187" s="103">
        <v>0</v>
      </c>
      <c r="O187" s="106"/>
      <c r="P187" s="103">
        <v>0</v>
      </c>
      <c r="Q187" s="107">
        <f t="shared" si="32"/>
        <v>0</v>
      </c>
      <c r="R187" s="108">
        <v>0</v>
      </c>
      <c r="S187" s="119"/>
      <c r="T187" s="110">
        <f t="shared" si="44"/>
        <v>0</v>
      </c>
      <c r="U187" s="103"/>
      <c r="V187" s="112">
        <f t="shared" si="33"/>
        <v>0</v>
      </c>
      <c r="W187" s="112">
        <f t="shared" si="34"/>
        <v>0</v>
      </c>
      <c r="X187" s="113">
        <f t="shared" si="35"/>
        <v>0</v>
      </c>
      <c r="Y187" s="113">
        <v>0</v>
      </c>
      <c r="Z187" s="114">
        <v>0</v>
      </c>
      <c r="AA187" s="11">
        <f t="shared" si="36"/>
        <v>0</v>
      </c>
      <c r="AB187" s="115" t="e">
        <f t="shared" si="37"/>
        <v>#REF!</v>
      </c>
      <c r="AC187" s="115">
        <f t="shared" si="38"/>
        <v>0</v>
      </c>
      <c r="AD187" s="115">
        <f t="shared" si="39"/>
        <v>0</v>
      </c>
      <c r="AE187" s="11"/>
      <c r="AF187" s="115">
        <f t="shared" si="40"/>
        <v>0</v>
      </c>
      <c r="AG187" s="115">
        <f t="shared" si="41"/>
        <v>0</v>
      </c>
      <c r="AH187" s="115">
        <f t="shared" si="42"/>
        <v>0</v>
      </c>
      <c r="AJ187" s="11" t="e">
        <f t="shared" si="43"/>
        <v>#REF!</v>
      </c>
    </row>
    <row r="188" spans="1:36">
      <c r="A188" s="129"/>
      <c r="B188" s="129" t="s">
        <v>46</v>
      </c>
      <c r="C188" s="96"/>
      <c r="D188" s="120" t="s">
        <v>294</v>
      </c>
      <c r="E188" s="98"/>
      <c r="F188" s="99" t="e">
        <f>VLOOKUP(D188,#REF!,17,FALSE)</f>
        <v>#REF!</v>
      </c>
      <c r="G188" s="100"/>
      <c r="H188" s="100"/>
      <c r="I188" s="101"/>
      <c r="J188" s="102" t="e">
        <f t="shared" si="31"/>
        <v>#REF!</v>
      </c>
      <c r="K188" s="103"/>
      <c r="L188" s="104"/>
      <c r="M188" s="105"/>
      <c r="N188" s="103">
        <v>0</v>
      </c>
      <c r="O188" s="106"/>
      <c r="P188" s="103">
        <v>0</v>
      </c>
      <c r="Q188" s="107">
        <f t="shared" si="32"/>
        <v>0</v>
      </c>
      <c r="R188" s="108">
        <v>0</v>
      </c>
      <c r="S188" s="119"/>
      <c r="T188" s="110">
        <f t="shared" si="44"/>
        <v>0</v>
      </c>
      <c r="U188" s="103"/>
      <c r="V188" s="112">
        <f t="shared" si="33"/>
        <v>0</v>
      </c>
      <c r="W188" s="112">
        <f t="shared" si="34"/>
        <v>0</v>
      </c>
      <c r="X188" s="113">
        <f t="shared" si="35"/>
        <v>0</v>
      </c>
      <c r="Y188" s="113">
        <v>0</v>
      </c>
      <c r="Z188" s="114">
        <v>0</v>
      </c>
      <c r="AA188" s="11">
        <f t="shared" si="36"/>
        <v>0</v>
      </c>
      <c r="AB188" s="115">
        <f t="shared" si="37"/>
        <v>0</v>
      </c>
      <c r="AC188" s="115" t="e">
        <f t="shared" si="38"/>
        <v>#REF!</v>
      </c>
      <c r="AD188" s="115">
        <f t="shared" si="39"/>
        <v>0</v>
      </c>
      <c r="AE188" s="11"/>
      <c r="AF188" s="115">
        <f t="shared" si="40"/>
        <v>0</v>
      </c>
      <c r="AG188" s="115">
        <f t="shared" si="41"/>
        <v>0</v>
      </c>
      <c r="AH188" s="115">
        <f t="shared" si="42"/>
        <v>0</v>
      </c>
      <c r="AJ188" s="11" t="e">
        <f t="shared" si="43"/>
        <v>#REF!</v>
      </c>
    </row>
    <row r="189" spans="1:36">
      <c r="A189" s="129"/>
      <c r="B189" s="129" t="s">
        <v>46</v>
      </c>
      <c r="C189" s="96"/>
      <c r="D189" s="120" t="s">
        <v>295</v>
      </c>
      <c r="E189" s="98">
        <f>958.84+6123.07</f>
        <v>7081.91</v>
      </c>
      <c r="F189" s="99" t="e">
        <f>VLOOKUP(D189,#REF!,17,FALSE)</f>
        <v>#REF!</v>
      </c>
      <c r="G189" s="100"/>
      <c r="H189" s="100"/>
      <c r="I189" s="101"/>
      <c r="J189" s="102" t="e">
        <f t="shared" si="31"/>
        <v>#REF!</v>
      </c>
      <c r="K189" s="103"/>
      <c r="L189" s="104"/>
      <c r="M189" s="105">
        <v>5000</v>
      </c>
      <c r="N189" s="103">
        <v>0</v>
      </c>
      <c r="O189" s="106"/>
      <c r="P189" s="103">
        <v>0</v>
      </c>
      <c r="Q189" s="107">
        <f t="shared" si="32"/>
        <v>5000</v>
      </c>
      <c r="R189" s="108">
        <v>0</v>
      </c>
      <c r="S189" s="119"/>
      <c r="T189" s="110">
        <f t="shared" si="44"/>
        <v>-5000</v>
      </c>
      <c r="U189" s="103"/>
      <c r="V189" s="112">
        <f t="shared" si="33"/>
        <v>0</v>
      </c>
      <c r="W189" s="112">
        <f t="shared" si="34"/>
        <v>5000</v>
      </c>
      <c r="X189" s="113">
        <f t="shared" si="35"/>
        <v>0</v>
      </c>
      <c r="Y189" s="113">
        <v>0</v>
      </c>
      <c r="Z189" s="114">
        <v>0</v>
      </c>
      <c r="AA189" s="11">
        <f t="shared" si="36"/>
        <v>0</v>
      </c>
      <c r="AB189" s="115">
        <f t="shared" si="37"/>
        <v>0</v>
      </c>
      <c r="AC189" s="115" t="e">
        <f t="shared" si="38"/>
        <v>#REF!</v>
      </c>
      <c r="AD189" s="115">
        <f t="shared" si="39"/>
        <v>0</v>
      </c>
      <c r="AE189" s="11"/>
      <c r="AF189" s="115">
        <f t="shared" si="40"/>
        <v>0</v>
      </c>
      <c r="AG189" s="115">
        <f t="shared" si="41"/>
        <v>5000</v>
      </c>
      <c r="AH189" s="115">
        <f t="shared" si="42"/>
        <v>0</v>
      </c>
      <c r="AJ189" s="11" t="e">
        <f t="shared" si="43"/>
        <v>#REF!</v>
      </c>
    </row>
    <row r="190" spans="1:36">
      <c r="A190" s="129"/>
      <c r="B190" s="129" t="s">
        <v>46</v>
      </c>
      <c r="C190" s="96"/>
      <c r="D190" s="120" t="s">
        <v>296</v>
      </c>
      <c r="E190" s="98"/>
      <c r="F190" s="99" t="e">
        <f>VLOOKUP(D190,#REF!,17,FALSE)</f>
        <v>#REF!</v>
      </c>
      <c r="G190" s="100"/>
      <c r="H190" s="100"/>
      <c r="I190" s="101"/>
      <c r="J190" s="102" t="e">
        <f t="shared" si="31"/>
        <v>#REF!</v>
      </c>
      <c r="K190" s="103"/>
      <c r="L190" s="104"/>
      <c r="M190" s="105"/>
      <c r="N190" s="103">
        <v>0</v>
      </c>
      <c r="O190" s="106"/>
      <c r="P190" s="103">
        <v>0</v>
      </c>
      <c r="Q190" s="107">
        <f t="shared" si="32"/>
        <v>0</v>
      </c>
      <c r="R190" s="108">
        <v>0</v>
      </c>
      <c r="S190" s="119"/>
      <c r="T190" s="110">
        <f t="shared" si="44"/>
        <v>0</v>
      </c>
      <c r="U190" s="103"/>
      <c r="V190" s="112">
        <f t="shared" si="33"/>
        <v>0</v>
      </c>
      <c r="W190" s="112">
        <f t="shared" si="34"/>
        <v>0</v>
      </c>
      <c r="X190" s="113">
        <f t="shared" si="35"/>
        <v>0</v>
      </c>
      <c r="Y190" s="113">
        <v>0</v>
      </c>
      <c r="Z190" s="114">
        <v>0</v>
      </c>
      <c r="AA190" s="11">
        <f t="shared" si="36"/>
        <v>0</v>
      </c>
      <c r="AB190" s="115">
        <f t="shared" si="37"/>
        <v>0</v>
      </c>
      <c r="AC190" s="115" t="e">
        <f t="shared" si="38"/>
        <v>#REF!</v>
      </c>
      <c r="AD190" s="115">
        <f t="shared" si="39"/>
        <v>0</v>
      </c>
      <c r="AE190" s="11"/>
      <c r="AF190" s="115">
        <f t="shared" si="40"/>
        <v>0</v>
      </c>
      <c r="AG190" s="115">
        <f t="shared" si="41"/>
        <v>0</v>
      </c>
      <c r="AH190" s="115">
        <f t="shared" si="42"/>
        <v>0</v>
      </c>
      <c r="AJ190" s="11" t="e">
        <f t="shared" si="43"/>
        <v>#REF!</v>
      </c>
    </row>
    <row r="191" spans="1:36">
      <c r="A191" s="129"/>
      <c r="B191" s="129" t="s">
        <v>46</v>
      </c>
      <c r="C191" s="96" t="s">
        <v>298</v>
      </c>
      <c r="D191" s="120" t="s">
        <v>299</v>
      </c>
      <c r="E191" s="98">
        <v>146.77000000000001</v>
      </c>
      <c r="F191" s="99" t="e">
        <f>VLOOKUP(D191,#REF!,17,FALSE)</f>
        <v>#REF!</v>
      </c>
      <c r="G191" s="100"/>
      <c r="H191" s="100"/>
      <c r="I191" s="101"/>
      <c r="J191" s="102" t="e">
        <f t="shared" si="31"/>
        <v>#REF!</v>
      </c>
      <c r="K191" s="103"/>
      <c r="L191" s="104"/>
      <c r="M191" s="105"/>
      <c r="N191" s="103">
        <v>0</v>
      </c>
      <c r="O191" s="106"/>
      <c r="P191" s="103">
        <v>0</v>
      </c>
      <c r="Q191" s="107">
        <f t="shared" si="32"/>
        <v>0</v>
      </c>
      <c r="R191" s="108">
        <v>0</v>
      </c>
      <c r="S191" s="119"/>
      <c r="T191" s="110">
        <f t="shared" si="44"/>
        <v>0</v>
      </c>
      <c r="U191" s="103"/>
      <c r="V191" s="112">
        <f t="shared" si="33"/>
        <v>0</v>
      </c>
      <c r="W191" s="112">
        <f t="shared" si="34"/>
        <v>0</v>
      </c>
      <c r="X191" s="113">
        <f t="shared" si="35"/>
        <v>0</v>
      </c>
      <c r="Y191" s="113">
        <v>0</v>
      </c>
      <c r="Z191" s="114">
        <v>0</v>
      </c>
      <c r="AA191" s="11">
        <f t="shared" si="36"/>
        <v>0</v>
      </c>
      <c r="AB191" s="115">
        <f t="shared" si="37"/>
        <v>0</v>
      </c>
      <c r="AC191" s="115" t="e">
        <f t="shared" si="38"/>
        <v>#REF!</v>
      </c>
      <c r="AD191" s="115">
        <f t="shared" si="39"/>
        <v>0</v>
      </c>
      <c r="AE191" s="11"/>
      <c r="AF191" s="115">
        <f t="shared" si="40"/>
        <v>0</v>
      </c>
      <c r="AG191" s="115">
        <f t="shared" si="41"/>
        <v>0</v>
      </c>
      <c r="AH191" s="115">
        <f t="shared" si="42"/>
        <v>0</v>
      </c>
      <c r="AJ191" s="11" t="e">
        <f t="shared" si="43"/>
        <v>#REF!</v>
      </c>
    </row>
    <row r="192" spans="1:36">
      <c r="A192" s="116"/>
      <c r="B192" s="116" t="s">
        <v>49</v>
      </c>
      <c r="C192" s="122" t="s">
        <v>300</v>
      </c>
      <c r="D192" s="120" t="s">
        <v>301</v>
      </c>
      <c r="E192" s="98"/>
      <c r="F192" s="99" t="e">
        <f>VLOOKUP(D192,#REF!,17,FALSE)</f>
        <v>#REF!</v>
      </c>
      <c r="G192" s="100"/>
      <c r="H192" s="100"/>
      <c r="I192" s="101"/>
      <c r="J192" s="102" t="e">
        <f t="shared" si="31"/>
        <v>#REF!</v>
      </c>
      <c r="K192" s="103"/>
      <c r="L192" s="104"/>
      <c r="M192" s="105"/>
      <c r="N192" s="103">
        <v>0</v>
      </c>
      <c r="O192" s="106"/>
      <c r="P192" s="103">
        <v>0</v>
      </c>
      <c r="Q192" s="107">
        <f t="shared" si="32"/>
        <v>0</v>
      </c>
      <c r="R192" s="108">
        <v>0</v>
      </c>
      <c r="S192" s="119"/>
      <c r="T192" s="110">
        <f t="shared" si="44"/>
        <v>0</v>
      </c>
      <c r="U192" s="103"/>
      <c r="V192" s="112">
        <f t="shared" si="33"/>
        <v>0</v>
      </c>
      <c r="W192" s="112">
        <f t="shared" si="34"/>
        <v>0</v>
      </c>
      <c r="X192" s="113">
        <f t="shared" si="35"/>
        <v>0</v>
      </c>
      <c r="Y192" s="113">
        <v>0</v>
      </c>
      <c r="Z192" s="114">
        <v>0</v>
      </c>
      <c r="AA192" s="11">
        <f t="shared" si="36"/>
        <v>0</v>
      </c>
      <c r="AB192" s="115" t="e">
        <f t="shared" si="37"/>
        <v>#REF!</v>
      </c>
      <c r="AC192" s="115">
        <f t="shared" si="38"/>
        <v>0</v>
      </c>
      <c r="AD192" s="115">
        <f t="shared" si="39"/>
        <v>0</v>
      </c>
      <c r="AE192" s="11"/>
      <c r="AF192" s="115">
        <f t="shared" si="40"/>
        <v>0</v>
      </c>
      <c r="AG192" s="115">
        <f t="shared" si="41"/>
        <v>0</v>
      </c>
      <c r="AH192" s="115">
        <f t="shared" si="42"/>
        <v>0</v>
      </c>
      <c r="AJ192" s="11" t="e">
        <f t="shared" si="43"/>
        <v>#REF!</v>
      </c>
    </row>
    <row r="193" spans="1:36">
      <c r="A193" s="116"/>
      <c r="B193" s="116" t="s">
        <v>49</v>
      </c>
      <c r="C193" s="122"/>
      <c r="D193" s="120" t="s">
        <v>302</v>
      </c>
      <c r="E193" s="98"/>
      <c r="F193" s="99" t="e">
        <f>VLOOKUP(D193,#REF!,17,FALSE)</f>
        <v>#REF!</v>
      </c>
      <c r="G193" s="100"/>
      <c r="H193" s="100"/>
      <c r="I193" s="125">
        <v>496.09</v>
      </c>
      <c r="J193" s="102" t="e">
        <f t="shared" si="31"/>
        <v>#REF!</v>
      </c>
      <c r="K193" s="103"/>
      <c r="L193" s="104"/>
      <c r="M193" s="105"/>
      <c r="N193" s="103">
        <v>0</v>
      </c>
      <c r="O193" s="106"/>
      <c r="P193" s="103">
        <v>0</v>
      </c>
      <c r="Q193" s="107">
        <f t="shared" si="32"/>
        <v>0</v>
      </c>
      <c r="R193" s="108">
        <v>0</v>
      </c>
      <c r="S193" s="119"/>
      <c r="T193" s="110">
        <f t="shared" si="44"/>
        <v>0</v>
      </c>
      <c r="U193" s="103"/>
      <c r="V193" s="112">
        <f t="shared" si="33"/>
        <v>0</v>
      </c>
      <c r="W193" s="112">
        <f t="shared" si="34"/>
        <v>0</v>
      </c>
      <c r="X193" s="113">
        <f t="shared" si="35"/>
        <v>0</v>
      </c>
      <c r="Y193" s="113">
        <v>0</v>
      </c>
      <c r="Z193" s="114">
        <v>0</v>
      </c>
      <c r="AA193" s="11">
        <f t="shared" si="36"/>
        <v>0</v>
      </c>
      <c r="AB193" s="115" t="e">
        <f t="shared" si="37"/>
        <v>#REF!</v>
      </c>
      <c r="AC193" s="115">
        <f t="shared" si="38"/>
        <v>0</v>
      </c>
      <c r="AD193" s="115">
        <f t="shared" si="39"/>
        <v>0</v>
      </c>
      <c r="AE193" s="11"/>
      <c r="AF193" s="115">
        <f t="shared" si="40"/>
        <v>0</v>
      </c>
      <c r="AG193" s="115">
        <f t="shared" si="41"/>
        <v>0</v>
      </c>
      <c r="AH193" s="115">
        <f t="shared" si="42"/>
        <v>0</v>
      </c>
      <c r="AJ193" s="11" t="e">
        <f t="shared" si="43"/>
        <v>#REF!</v>
      </c>
    </row>
    <row r="194" spans="1:36">
      <c r="A194" s="116"/>
      <c r="B194" s="116" t="s">
        <v>49</v>
      </c>
      <c r="C194" s="126" t="s">
        <v>304</v>
      </c>
      <c r="D194" s="120" t="s">
        <v>305</v>
      </c>
      <c r="E194" s="98"/>
      <c r="F194" s="99" t="e">
        <f>VLOOKUP(D194,#REF!,17,FALSE)</f>
        <v>#REF!</v>
      </c>
      <c r="G194" s="100"/>
      <c r="H194" s="100"/>
      <c r="I194" s="101"/>
      <c r="J194" s="102" t="e">
        <f t="shared" si="31"/>
        <v>#REF!</v>
      </c>
      <c r="K194" s="103"/>
      <c r="L194" s="104"/>
      <c r="M194" s="105"/>
      <c r="N194" s="103">
        <v>0</v>
      </c>
      <c r="O194" s="106"/>
      <c r="P194" s="103">
        <v>0</v>
      </c>
      <c r="Q194" s="107">
        <f t="shared" si="32"/>
        <v>0</v>
      </c>
      <c r="R194" s="108">
        <v>580.98</v>
      </c>
      <c r="S194" s="119"/>
      <c r="T194" s="110">
        <f t="shared" si="44"/>
        <v>580.98</v>
      </c>
      <c r="U194" s="103"/>
      <c r="V194" s="112">
        <f t="shared" si="33"/>
        <v>0</v>
      </c>
      <c r="W194" s="112">
        <f t="shared" si="34"/>
        <v>0</v>
      </c>
      <c r="X194" s="113">
        <f t="shared" si="35"/>
        <v>0</v>
      </c>
      <c r="Y194" s="113">
        <v>0</v>
      </c>
      <c r="Z194" s="114">
        <v>0</v>
      </c>
      <c r="AA194" s="11">
        <f t="shared" si="36"/>
        <v>0</v>
      </c>
      <c r="AB194" s="115" t="e">
        <f t="shared" si="37"/>
        <v>#REF!</v>
      </c>
      <c r="AC194" s="115">
        <f t="shared" si="38"/>
        <v>0</v>
      </c>
      <c r="AD194" s="115">
        <f t="shared" si="39"/>
        <v>0</v>
      </c>
      <c r="AE194" s="11"/>
      <c r="AF194" s="115">
        <f t="shared" si="40"/>
        <v>0</v>
      </c>
      <c r="AG194" s="115">
        <f t="shared" si="41"/>
        <v>0</v>
      </c>
      <c r="AH194" s="115">
        <f t="shared" si="42"/>
        <v>0</v>
      </c>
      <c r="AJ194" s="11" t="e">
        <f t="shared" si="43"/>
        <v>#REF!</v>
      </c>
    </row>
    <row r="195" spans="1:36">
      <c r="A195" s="116"/>
      <c r="B195" s="116" t="s">
        <v>46</v>
      </c>
      <c r="C195" s="122" t="s">
        <v>307</v>
      </c>
      <c r="D195" s="120" t="s">
        <v>308</v>
      </c>
      <c r="E195" s="98"/>
      <c r="F195" s="99" t="e">
        <f>VLOOKUP(D195,#REF!,17,FALSE)</f>
        <v>#REF!</v>
      </c>
      <c r="G195" s="100"/>
      <c r="H195" s="100"/>
      <c r="I195" s="125">
        <v>19149.72</v>
      </c>
      <c r="J195" s="102" t="e">
        <f t="shared" si="31"/>
        <v>#REF!</v>
      </c>
      <c r="K195" s="103"/>
      <c r="L195" s="104"/>
      <c r="M195" s="105"/>
      <c r="N195" s="103">
        <v>0</v>
      </c>
      <c r="O195" s="106"/>
      <c r="P195" s="103">
        <v>0</v>
      </c>
      <c r="Q195" s="107">
        <f t="shared" si="32"/>
        <v>0</v>
      </c>
      <c r="R195" s="108">
        <v>0</v>
      </c>
      <c r="S195" s="119"/>
      <c r="T195" s="110">
        <f t="shared" ref="T195:T225" si="45">IF(R195="","",R195-Q195)</f>
        <v>0</v>
      </c>
      <c r="U195" s="103"/>
      <c r="V195" s="112">
        <f t="shared" si="33"/>
        <v>0</v>
      </c>
      <c r="W195" s="112">
        <f t="shared" si="34"/>
        <v>0</v>
      </c>
      <c r="X195" s="113">
        <f t="shared" si="35"/>
        <v>0</v>
      </c>
      <c r="Y195" s="113">
        <v>0</v>
      </c>
      <c r="Z195" s="114">
        <v>0</v>
      </c>
      <c r="AA195" s="11">
        <f t="shared" si="36"/>
        <v>0</v>
      </c>
      <c r="AB195" s="115">
        <f t="shared" si="37"/>
        <v>0</v>
      </c>
      <c r="AC195" s="115" t="e">
        <f t="shared" si="38"/>
        <v>#REF!</v>
      </c>
      <c r="AD195" s="115">
        <f t="shared" si="39"/>
        <v>0</v>
      </c>
      <c r="AE195" s="11"/>
      <c r="AF195" s="115">
        <f t="shared" si="40"/>
        <v>0</v>
      </c>
      <c r="AG195" s="115">
        <f t="shared" si="41"/>
        <v>0</v>
      </c>
      <c r="AH195" s="115">
        <f t="shared" si="42"/>
        <v>0</v>
      </c>
      <c r="AJ195" s="11" t="e">
        <f t="shared" si="43"/>
        <v>#REF!</v>
      </c>
    </row>
    <row r="196" spans="1:36">
      <c r="A196" s="116"/>
      <c r="B196" s="116" t="s">
        <v>46</v>
      </c>
      <c r="C196" s="122" t="s">
        <v>307</v>
      </c>
      <c r="D196" s="120" t="s">
        <v>309</v>
      </c>
      <c r="E196" s="98"/>
      <c r="F196" s="99" t="e">
        <f>VLOOKUP(D196,#REF!,17,FALSE)</f>
        <v>#REF!</v>
      </c>
      <c r="G196" s="100"/>
      <c r="H196" s="100"/>
      <c r="I196" s="125">
        <v>12327.62</v>
      </c>
      <c r="J196" s="102" t="e">
        <f t="shared" si="31"/>
        <v>#REF!</v>
      </c>
      <c r="K196" s="103"/>
      <c r="L196" s="104"/>
      <c r="M196" s="105"/>
      <c r="N196" s="103">
        <v>0</v>
      </c>
      <c r="O196" s="106"/>
      <c r="P196" s="103">
        <v>0</v>
      </c>
      <c r="Q196" s="107">
        <f t="shared" si="32"/>
        <v>0</v>
      </c>
      <c r="R196" s="108">
        <v>0</v>
      </c>
      <c r="S196" s="119"/>
      <c r="T196" s="110">
        <f t="shared" si="45"/>
        <v>0</v>
      </c>
      <c r="U196" s="103"/>
      <c r="V196" s="112">
        <f t="shared" si="33"/>
        <v>0</v>
      </c>
      <c r="W196" s="112">
        <f t="shared" si="34"/>
        <v>0</v>
      </c>
      <c r="X196" s="113">
        <f t="shared" si="35"/>
        <v>0</v>
      </c>
      <c r="Y196" s="113">
        <v>0</v>
      </c>
      <c r="Z196" s="114">
        <v>0</v>
      </c>
      <c r="AA196" s="11">
        <f t="shared" si="36"/>
        <v>0</v>
      </c>
      <c r="AB196" s="115">
        <f t="shared" si="37"/>
        <v>0</v>
      </c>
      <c r="AC196" s="115" t="e">
        <f t="shared" si="38"/>
        <v>#REF!</v>
      </c>
      <c r="AD196" s="115">
        <f t="shared" si="39"/>
        <v>0</v>
      </c>
      <c r="AE196" s="11"/>
      <c r="AF196" s="115">
        <f t="shared" si="40"/>
        <v>0</v>
      </c>
      <c r="AG196" s="115">
        <f t="shared" si="41"/>
        <v>0</v>
      </c>
      <c r="AH196" s="115">
        <f t="shared" si="42"/>
        <v>0</v>
      </c>
      <c r="AJ196" s="11" t="e">
        <f t="shared" si="43"/>
        <v>#REF!</v>
      </c>
    </row>
    <row r="197" spans="1:36">
      <c r="A197" s="129"/>
      <c r="B197" s="129" t="s">
        <v>46</v>
      </c>
      <c r="C197" s="122" t="s">
        <v>307</v>
      </c>
      <c r="D197" s="120" t="s">
        <v>310</v>
      </c>
      <c r="E197" s="98"/>
      <c r="F197" s="99" t="e">
        <f>VLOOKUP(D197,#REF!,17,FALSE)</f>
        <v>#REF!</v>
      </c>
      <c r="G197" s="100"/>
      <c r="H197" s="100"/>
      <c r="I197" s="101"/>
      <c r="J197" s="102" t="e">
        <f t="shared" si="31"/>
        <v>#REF!</v>
      </c>
      <c r="K197" s="103"/>
      <c r="L197" s="104"/>
      <c r="M197" s="105"/>
      <c r="N197" s="103">
        <v>0</v>
      </c>
      <c r="O197" s="106"/>
      <c r="P197" s="103">
        <v>0</v>
      </c>
      <c r="Q197" s="107">
        <f t="shared" si="32"/>
        <v>0</v>
      </c>
      <c r="R197" s="108">
        <v>0</v>
      </c>
      <c r="S197" s="119"/>
      <c r="T197" s="110">
        <f t="shared" si="45"/>
        <v>0</v>
      </c>
      <c r="U197" s="103"/>
      <c r="V197" s="112">
        <f t="shared" si="33"/>
        <v>0</v>
      </c>
      <c r="W197" s="112">
        <f t="shared" si="34"/>
        <v>0</v>
      </c>
      <c r="X197" s="113">
        <f t="shared" si="35"/>
        <v>0</v>
      </c>
      <c r="Y197" s="113">
        <v>0</v>
      </c>
      <c r="Z197" s="114">
        <v>0</v>
      </c>
      <c r="AA197" s="11">
        <f t="shared" si="36"/>
        <v>0</v>
      </c>
      <c r="AB197" s="115">
        <f t="shared" si="37"/>
        <v>0</v>
      </c>
      <c r="AC197" s="115" t="e">
        <f t="shared" si="38"/>
        <v>#REF!</v>
      </c>
      <c r="AD197" s="115">
        <f t="shared" si="39"/>
        <v>0</v>
      </c>
      <c r="AE197" s="11"/>
      <c r="AF197" s="115">
        <f t="shared" si="40"/>
        <v>0</v>
      </c>
      <c r="AG197" s="115">
        <f t="shared" si="41"/>
        <v>0</v>
      </c>
      <c r="AH197" s="115">
        <f t="shared" si="42"/>
        <v>0</v>
      </c>
      <c r="AJ197" s="11" t="e">
        <f t="shared" si="43"/>
        <v>#REF!</v>
      </c>
    </row>
    <row r="198" spans="1:36">
      <c r="A198" s="129"/>
      <c r="B198" s="129" t="s">
        <v>46</v>
      </c>
      <c r="C198" s="122" t="s">
        <v>307</v>
      </c>
      <c r="D198" s="120" t="s">
        <v>311</v>
      </c>
      <c r="E198" s="98"/>
      <c r="F198" s="99" t="e">
        <f>VLOOKUP(D198,#REF!,17,FALSE)</f>
        <v>#REF!</v>
      </c>
      <c r="G198" s="100"/>
      <c r="H198" s="100"/>
      <c r="I198" s="101"/>
      <c r="J198" s="102" t="e">
        <f t="shared" si="31"/>
        <v>#REF!</v>
      </c>
      <c r="K198" s="103"/>
      <c r="L198" s="104"/>
      <c r="M198" s="105"/>
      <c r="N198" s="103">
        <v>0</v>
      </c>
      <c r="O198" s="106"/>
      <c r="P198" s="103">
        <v>0</v>
      </c>
      <c r="Q198" s="107">
        <f t="shared" si="32"/>
        <v>0</v>
      </c>
      <c r="R198" s="108">
        <v>0</v>
      </c>
      <c r="S198" s="119"/>
      <c r="T198" s="110">
        <f t="shared" si="45"/>
        <v>0</v>
      </c>
      <c r="U198" s="103"/>
      <c r="V198" s="112">
        <f t="shared" si="33"/>
        <v>0</v>
      </c>
      <c r="W198" s="112">
        <f t="shared" si="34"/>
        <v>0</v>
      </c>
      <c r="X198" s="113">
        <f t="shared" si="35"/>
        <v>0</v>
      </c>
      <c r="Y198" s="113">
        <v>0</v>
      </c>
      <c r="Z198" s="114">
        <v>0</v>
      </c>
      <c r="AA198" s="11">
        <f t="shared" si="36"/>
        <v>0</v>
      </c>
      <c r="AB198" s="115">
        <f t="shared" si="37"/>
        <v>0</v>
      </c>
      <c r="AC198" s="115" t="e">
        <f t="shared" si="38"/>
        <v>#REF!</v>
      </c>
      <c r="AD198" s="115">
        <f t="shared" si="39"/>
        <v>0</v>
      </c>
      <c r="AE198" s="11"/>
      <c r="AF198" s="115">
        <f t="shared" si="40"/>
        <v>0</v>
      </c>
      <c r="AG198" s="115">
        <f t="shared" si="41"/>
        <v>0</v>
      </c>
      <c r="AH198" s="115">
        <f t="shared" si="42"/>
        <v>0</v>
      </c>
      <c r="AJ198" s="11" t="e">
        <f t="shared" si="43"/>
        <v>#REF!</v>
      </c>
    </row>
    <row r="199" spans="1:36">
      <c r="A199" s="129"/>
      <c r="B199" s="129" t="s">
        <v>46</v>
      </c>
      <c r="C199" s="96"/>
      <c r="D199" s="120" t="s">
        <v>312</v>
      </c>
      <c r="E199" s="98"/>
      <c r="F199" s="99" t="e">
        <f>VLOOKUP(D199,#REF!,17,FALSE)</f>
        <v>#REF!</v>
      </c>
      <c r="G199" s="100"/>
      <c r="H199" s="100"/>
      <c r="I199" s="125">
        <v>5709.21</v>
      </c>
      <c r="J199" s="102" t="e">
        <f t="shared" si="31"/>
        <v>#REF!</v>
      </c>
      <c r="K199" s="103"/>
      <c r="L199" s="104"/>
      <c r="M199" s="105"/>
      <c r="N199" s="103">
        <v>0</v>
      </c>
      <c r="O199" s="106"/>
      <c r="P199" s="103">
        <v>0</v>
      </c>
      <c r="Q199" s="107">
        <f t="shared" si="32"/>
        <v>0</v>
      </c>
      <c r="R199" s="108">
        <v>0</v>
      </c>
      <c r="S199" s="119"/>
      <c r="T199" s="110">
        <f t="shared" si="45"/>
        <v>0</v>
      </c>
      <c r="U199" s="133"/>
      <c r="V199" s="112">
        <f t="shared" si="33"/>
        <v>0</v>
      </c>
      <c r="W199" s="112">
        <f t="shared" si="34"/>
        <v>0</v>
      </c>
      <c r="X199" s="113">
        <f t="shared" si="35"/>
        <v>0</v>
      </c>
      <c r="Y199" s="113">
        <v>0</v>
      </c>
      <c r="Z199" s="114">
        <v>0</v>
      </c>
      <c r="AA199" s="11">
        <f t="shared" si="36"/>
        <v>0</v>
      </c>
      <c r="AB199" s="115">
        <f t="shared" si="37"/>
        <v>0</v>
      </c>
      <c r="AC199" s="115" t="e">
        <f t="shared" si="38"/>
        <v>#REF!</v>
      </c>
      <c r="AD199" s="115">
        <f t="shared" si="39"/>
        <v>0</v>
      </c>
      <c r="AE199" s="11"/>
      <c r="AF199" s="115">
        <f t="shared" si="40"/>
        <v>0</v>
      </c>
      <c r="AG199" s="115">
        <f t="shared" si="41"/>
        <v>0</v>
      </c>
      <c r="AH199" s="115">
        <f t="shared" si="42"/>
        <v>0</v>
      </c>
      <c r="AJ199" s="11" t="e">
        <f t="shared" si="43"/>
        <v>#REF!</v>
      </c>
    </row>
    <row r="200" spans="1:36">
      <c r="A200" s="129"/>
      <c r="B200" s="129" t="s">
        <v>46</v>
      </c>
      <c r="C200" s="96"/>
      <c r="D200" s="148" t="s">
        <v>313</v>
      </c>
      <c r="E200" s="98"/>
      <c r="F200" s="99" t="e">
        <f>VLOOKUP(D200,#REF!,17,FALSE)</f>
        <v>#REF!</v>
      </c>
      <c r="G200" s="100"/>
      <c r="H200" s="100"/>
      <c r="I200" s="125">
        <v>85.97</v>
      </c>
      <c r="J200" s="102" t="e">
        <f t="shared" si="31"/>
        <v>#REF!</v>
      </c>
      <c r="K200" s="103"/>
      <c r="L200" s="104"/>
      <c r="M200" s="105"/>
      <c r="N200" s="103">
        <v>0</v>
      </c>
      <c r="O200" s="106"/>
      <c r="P200" s="103">
        <v>0</v>
      </c>
      <c r="Q200" s="107">
        <f t="shared" si="32"/>
        <v>0</v>
      </c>
      <c r="R200" s="108">
        <v>0</v>
      </c>
      <c r="S200" s="119"/>
      <c r="T200" s="110">
        <f t="shared" si="45"/>
        <v>0</v>
      </c>
      <c r="U200" s="133"/>
      <c r="V200" s="112">
        <f t="shared" si="33"/>
        <v>0</v>
      </c>
      <c r="W200" s="112">
        <f t="shared" si="34"/>
        <v>0</v>
      </c>
      <c r="X200" s="113">
        <f t="shared" si="35"/>
        <v>0</v>
      </c>
      <c r="Y200" s="113">
        <v>0</v>
      </c>
      <c r="Z200" s="114">
        <v>0</v>
      </c>
      <c r="AA200" s="11">
        <f t="shared" si="36"/>
        <v>0</v>
      </c>
      <c r="AB200" s="115">
        <f t="shared" si="37"/>
        <v>0</v>
      </c>
      <c r="AC200" s="115" t="e">
        <f t="shared" si="38"/>
        <v>#REF!</v>
      </c>
      <c r="AD200" s="115">
        <f t="shared" si="39"/>
        <v>0</v>
      </c>
      <c r="AE200" s="11"/>
      <c r="AF200" s="115">
        <f t="shared" si="40"/>
        <v>0</v>
      </c>
      <c r="AG200" s="115">
        <f t="shared" si="41"/>
        <v>0</v>
      </c>
      <c r="AH200" s="115">
        <f t="shared" si="42"/>
        <v>0</v>
      </c>
      <c r="AJ200" s="11" t="e">
        <f t="shared" si="43"/>
        <v>#REF!</v>
      </c>
    </row>
    <row r="201" spans="1:36">
      <c r="A201" s="129" t="s">
        <v>46</v>
      </c>
      <c r="B201" s="129" t="s">
        <v>81</v>
      </c>
      <c r="C201" s="96" t="s">
        <v>314</v>
      </c>
      <c r="D201" s="148" t="s">
        <v>315</v>
      </c>
      <c r="E201" s="98">
        <v>28565</v>
      </c>
      <c r="F201" s="99" t="e">
        <f>VLOOKUP(D201,#REF!,17,FALSE)</f>
        <v>#REF!</v>
      </c>
      <c r="G201" s="100"/>
      <c r="H201" s="100"/>
      <c r="I201" s="101"/>
      <c r="J201" s="102" t="e">
        <f t="shared" si="31"/>
        <v>#REF!</v>
      </c>
      <c r="K201" s="103"/>
      <c r="L201" s="104"/>
      <c r="M201" s="105">
        <v>28000</v>
      </c>
      <c r="N201" s="103">
        <v>0</v>
      </c>
      <c r="O201" s="106"/>
      <c r="P201" s="103">
        <v>0</v>
      </c>
      <c r="Q201" s="107">
        <f t="shared" si="32"/>
        <v>28000</v>
      </c>
      <c r="R201" s="108">
        <v>0</v>
      </c>
      <c r="S201" s="119"/>
      <c r="T201" s="110">
        <f t="shared" si="45"/>
        <v>-28000</v>
      </c>
      <c r="U201" s="103"/>
      <c r="V201" s="112">
        <f t="shared" si="33"/>
        <v>0</v>
      </c>
      <c r="W201" s="112">
        <f t="shared" si="34"/>
        <v>0</v>
      </c>
      <c r="X201" s="113">
        <f t="shared" si="35"/>
        <v>28000</v>
      </c>
      <c r="Y201" s="113">
        <v>0</v>
      </c>
      <c r="Z201" s="114">
        <v>0</v>
      </c>
      <c r="AA201" s="11">
        <f t="shared" si="36"/>
        <v>0</v>
      </c>
      <c r="AB201" s="115">
        <f t="shared" si="37"/>
        <v>0</v>
      </c>
      <c r="AC201" s="115">
        <f t="shared" si="38"/>
        <v>0</v>
      </c>
      <c r="AD201" s="115" t="e">
        <f t="shared" si="39"/>
        <v>#REF!</v>
      </c>
      <c r="AE201" s="11"/>
      <c r="AF201" s="115">
        <f t="shared" si="40"/>
        <v>0</v>
      </c>
      <c r="AG201" s="115">
        <f t="shared" si="41"/>
        <v>0</v>
      </c>
      <c r="AH201" s="115">
        <f t="shared" si="42"/>
        <v>28000</v>
      </c>
      <c r="AJ201" s="11" t="e">
        <f t="shared" si="43"/>
        <v>#REF!</v>
      </c>
    </row>
    <row r="202" spans="1:36">
      <c r="A202" s="116" t="s">
        <v>60</v>
      </c>
      <c r="B202" s="116" t="s">
        <v>46</v>
      </c>
      <c r="C202" s="122"/>
      <c r="D202" s="120" t="s">
        <v>316</v>
      </c>
      <c r="E202" s="98"/>
      <c r="F202" s="99" t="e">
        <f>VLOOKUP(D202,#REF!,17,FALSE)</f>
        <v>#REF!</v>
      </c>
      <c r="G202" s="100"/>
      <c r="H202" s="100"/>
      <c r="I202" s="101"/>
      <c r="J202" s="102" t="e">
        <f t="shared" si="31"/>
        <v>#REF!</v>
      </c>
      <c r="K202" s="103"/>
      <c r="L202" s="104"/>
      <c r="M202" s="105"/>
      <c r="N202" s="103">
        <v>0</v>
      </c>
      <c r="O202" s="106"/>
      <c r="P202" s="103">
        <v>0</v>
      </c>
      <c r="Q202" s="107">
        <f t="shared" si="32"/>
        <v>0</v>
      </c>
      <c r="R202" s="108">
        <v>0</v>
      </c>
      <c r="S202" s="119"/>
      <c r="T202" s="110">
        <f t="shared" si="45"/>
        <v>0</v>
      </c>
      <c r="U202" s="103"/>
      <c r="V202" s="112">
        <f t="shared" si="33"/>
        <v>0</v>
      </c>
      <c r="W202" s="112">
        <f t="shared" si="34"/>
        <v>0</v>
      </c>
      <c r="X202" s="113">
        <f t="shared" si="35"/>
        <v>0</v>
      </c>
      <c r="Y202" s="113">
        <v>0</v>
      </c>
      <c r="Z202" s="114">
        <v>0</v>
      </c>
      <c r="AA202" s="11">
        <f t="shared" si="36"/>
        <v>0</v>
      </c>
      <c r="AB202" s="115">
        <f t="shared" si="37"/>
        <v>0</v>
      </c>
      <c r="AC202" s="115" t="e">
        <f t="shared" si="38"/>
        <v>#REF!</v>
      </c>
      <c r="AD202" s="115">
        <f t="shared" si="39"/>
        <v>0</v>
      </c>
      <c r="AE202" s="11"/>
      <c r="AF202" s="115">
        <f t="shared" si="40"/>
        <v>0</v>
      </c>
      <c r="AG202" s="115">
        <f t="shared" si="41"/>
        <v>0</v>
      </c>
      <c r="AH202" s="115">
        <f t="shared" si="42"/>
        <v>0</v>
      </c>
      <c r="AJ202" s="11" t="e">
        <f t="shared" si="43"/>
        <v>#REF!</v>
      </c>
    </row>
    <row r="203" spans="1:36">
      <c r="A203" s="116"/>
      <c r="B203" s="116" t="s">
        <v>81</v>
      </c>
      <c r="C203" s="126" t="s">
        <v>318</v>
      </c>
      <c r="D203" s="120" t="s">
        <v>319</v>
      </c>
      <c r="E203" s="98">
        <f>605.45+646.5</f>
        <v>1251.95</v>
      </c>
      <c r="F203" s="99" t="e">
        <f>VLOOKUP(D203,#REF!,17,FALSE)</f>
        <v>#REF!</v>
      </c>
      <c r="G203" s="100"/>
      <c r="H203" s="100"/>
      <c r="I203" s="101"/>
      <c r="J203" s="102" t="e">
        <f t="shared" si="31"/>
        <v>#REF!</v>
      </c>
      <c r="K203" s="103"/>
      <c r="L203" s="104"/>
      <c r="M203" s="105"/>
      <c r="N203" s="103">
        <v>0</v>
      </c>
      <c r="O203" s="106"/>
      <c r="P203" s="103">
        <v>0</v>
      </c>
      <c r="Q203" s="107">
        <f t="shared" si="32"/>
        <v>0</v>
      </c>
      <c r="R203" s="108">
        <v>0</v>
      </c>
      <c r="S203" s="119"/>
      <c r="T203" s="110">
        <f t="shared" si="45"/>
        <v>0</v>
      </c>
      <c r="U203" s="103"/>
      <c r="V203" s="112">
        <f t="shared" si="33"/>
        <v>0</v>
      </c>
      <c r="W203" s="112">
        <f t="shared" si="34"/>
        <v>0</v>
      </c>
      <c r="X203" s="113">
        <f t="shared" si="35"/>
        <v>0</v>
      </c>
      <c r="Y203" s="113">
        <v>0</v>
      </c>
      <c r="Z203" s="114">
        <v>0</v>
      </c>
      <c r="AA203" s="11">
        <f t="shared" si="36"/>
        <v>0</v>
      </c>
      <c r="AB203" s="115">
        <f t="shared" si="37"/>
        <v>0</v>
      </c>
      <c r="AC203" s="115">
        <f t="shared" si="38"/>
        <v>0</v>
      </c>
      <c r="AD203" s="115" t="e">
        <f t="shared" si="39"/>
        <v>#REF!</v>
      </c>
      <c r="AE203" s="11"/>
      <c r="AF203" s="115">
        <f t="shared" si="40"/>
        <v>0</v>
      </c>
      <c r="AG203" s="115">
        <f t="shared" si="41"/>
        <v>0</v>
      </c>
      <c r="AH203" s="115">
        <f t="shared" si="42"/>
        <v>0</v>
      </c>
      <c r="AJ203" s="11" t="e">
        <f t="shared" si="43"/>
        <v>#REF!</v>
      </c>
    </row>
    <row r="204" spans="1:36">
      <c r="A204" s="116"/>
      <c r="B204" s="116" t="s">
        <v>49</v>
      </c>
      <c r="C204" s="122"/>
      <c r="D204" s="120" t="s">
        <v>320</v>
      </c>
      <c r="E204" s="98"/>
      <c r="F204" s="99" t="e">
        <f>VLOOKUP(D204,#REF!,17,FALSE)</f>
        <v>#REF!</v>
      </c>
      <c r="G204" s="100"/>
      <c r="H204" s="100"/>
      <c r="I204" s="101"/>
      <c r="J204" s="102" t="e">
        <f t="shared" si="31"/>
        <v>#REF!</v>
      </c>
      <c r="K204" s="103"/>
      <c r="L204" s="104"/>
      <c r="M204" s="105"/>
      <c r="N204" s="103">
        <v>0</v>
      </c>
      <c r="O204" s="106"/>
      <c r="P204" s="103">
        <v>0</v>
      </c>
      <c r="Q204" s="107">
        <f t="shared" si="32"/>
        <v>0</v>
      </c>
      <c r="R204" s="108">
        <v>0</v>
      </c>
      <c r="S204" s="119"/>
      <c r="T204" s="110">
        <f t="shared" si="45"/>
        <v>0</v>
      </c>
      <c r="U204" s="103"/>
      <c r="V204" s="112">
        <f t="shared" si="33"/>
        <v>0</v>
      </c>
      <c r="W204" s="112">
        <f t="shared" si="34"/>
        <v>0</v>
      </c>
      <c r="X204" s="113">
        <f t="shared" si="35"/>
        <v>0</v>
      </c>
      <c r="Y204" s="113">
        <v>0</v>
      </c>
      <c r="Z204" s="114">
        <v>0</v>
      </c>
      <c r="AA204" s="11">
        <f t="shared" si="36"/>
        <v>0</v>
      </c>
      <c r="AB204" s="115" t="e">
        <f t="shared" si="37"/>
        <v>#REF!</v>
      </c>
      <c r="AC204" s="115">
        <f t="shared" si="38"/>
        <v>0</v>
      </c>
      <c r="AD204" s="115">
        <f t="shared" si="39"/>
        <v>0</v>
      </c>
      <c r="AE204" s="11"/>
      <c r="AF204" s="115">
        <f t="shared" si="40"/>
        <v>0</v>
      </c>
      <c r="AG204" s="115">
        <f t="shared" si="41"/>
        <v>0</v>
      </c>
      <c r="AH204" s="115">
        <f t="shared" si="42"/>
        <v>0</v>
      </c>
      <c r="AJ204" s="11" t="e">
        <f t="shared" si="43"/>
        <v>#REF!</v>
      </c>
    </row>
    <row r="205" spans="1:36">
      <c r="A205" s="116"/>
      <c r="B205" s="116" t="s">
        <v>49</v>
      </c>
      <c r="C205" s="122"/>
      <c r="D205" s="120" t="s">
        <v>321</v>
      </c>
      <c r="E205" s="98"/>
      <c r="F205" s="99" t="e">
        <f>VLOOKUP(D205,#REF!,17,FALSE)</f>
        <v>#REF!</v>
      </c>
      <c r="G205" s="100"/>
      <c r="H205" s="100"/>
      <c r="I205" s="101"/>
      <c r="J205" s="102" t="e">
        <f t="shared" si="31"/>
        <v>#REF!</v>
      </c>
      <c r="K205" s="103"/>
      <c r="L205" s="104"/>
      <c r="M205" s="105">
        <v>12000</v>
      </c>
      <c r="N205" s="103"/>
      <c r="O205" s="106"/>
      <c r="P205" s="103"/>
      <c r="Q205" s="107">
        <f t="shared" si="32"/>
        <v>12000</v>
      </c>
      <c r="R205" s="108">
        <v>13350.33</v>
      </c>
      <c r="S205" s="119"/>
      <c r="T205" s="110">
        <f t="shared" si="45"/>
        <v>1350.33</v>
      </c>
      <c r="U205" s="103"/>
      <c r="V205" s="112">
        <f t="shared" si="33"/>
        <v>12000</v>
      </c>
      <c r="W205" s="112">
        <f t="shared" si="34"/>
        <v>0</v>
      </c>
      <c r="X205" s="113">
        <f t="shared" si="35"/>
        <v>0</v>
      </c>
      <c r="Y205" s="113">
        <v>0</v>
      </c>
      <c r="Z205" s="114">
        <v>0</v>
      </c>
      <c r="AA205" s="11">
        <f t="shared" si="36"/>
        <v>0</v>
      </c>
      <c r="AB205" s="115" t="e">
        <f t="shared" si="37"/>
        <v>#REF!</v>
      </c>
      <c r="AC205" s="115">
        <f t="shared" si="38"/>
        <v>0</v>
      </c>
      <c r="AD205" s="115">
        <f t="shared" si="39"/>
        <v>0</v>
      </c>
      <c r="AE205" s="11"/>
      <c r="AF205" s="115">
        <f t="shared" si="40"/>
        <v>12000</v>
      </c>
      <c r="AG205" s="115">
        <f t="shared" si="41"/>
        <v>0</v>
      </c>
      <c r="AH205" s="115">
        <f t="shared" si="42"/>
        <v>0</v>
      </c>
      <c r="AJ205" s="11" t="e">
        <f t="shared" si="43"/>
        <v>#REF!</v>
      </c>
    </row>
    <row r="206" spans="1:36" s="124" customFormat="1">
      <c r="A206" s="123"/>
      <c r="B206" s="123" t="s">
        <v>49</v>
      </c>
      <c r="C206" s="122" t="s">
        <v>322</v>
      </c>
      <c r="D206" s="149" t="s">
        <v>323</v>
      </c>
      <c r="E206" s="98"/>
      <c r="F206" s="99" t="e">
        <f>VLOOKUP(D206,#REF!,17,FALSE)</f>
        <v>#REF!</v>
      </c>
      <c r="G206" s="100"/>
      <c r="H206" s="100"/>
      <c r="I206" s="101"/>
      <c r="J206" s="102" t="e">
        <f t="shared" si="31"/>
        <v>#REF!</v>
      </c>
      <c r="K206" s="103"/>
      <c r="L206" s="104"/>
      <c r="M206" s="105"/>
      <c r="N206" s="103">
        <v>0</v>
      </c>
      <c r="O206" s="106"/>
      <c r="P206" s="103">
        <v>0</v>
      </c>
      <c r="Q206" s="107">
        <f t="shared" si="32"/>
        <v>0</v>
      </c>
      <c r="R206" s="108">
        <v>0</v>
      </c>
      <c r="S206" s="119"/>
      <c r="T206" s="110">
        <f t="shared" si="45"/>
        <v>0</v>
      </c>
      <c r="U206" s="103"/>
      <c r="V206" s="112">
        <f t="shared" si="33"/>
        <v>0</v>
      </c>
      <c r="W206" s="112">
        <f t="shared" si="34"/>
        <v>0</v>
      </c>
      <c r="X206" s="113">
        <f t="shared" si="35"/>
        <v>0</v>
      </c>
      <c r="Y206" s="113">
        <v>0</v>
      </c>
      <c r="Z206" s="114">
        <v>0</v>
      </c>
      <c r="AA206" s="11">
        <f t="shared" si="36"/>
        <v>0</v>
      </c>
      <c r="AB206" s="115" t="e">
        <f t="shared" si="37"/>
        <v>#REF!</v>
      </c>
      <c r="AC206" s="115">
        <f t="shared" si="38"/>
        <v>0</v>
      </c>
      <c r="AD206" s="115">
        <f t="shared" si="39"/>
        <v>0</v>
      </c>
      <c r="AE206" s="11"/>
      <c r="AF206" s="115">
        <f t="shared" si="40"/>
        <v>0</v>
      </c>
      <c r="AG206" s="115">
        <f t="shared" si="41"/>
        <v>0</v>
      </c>
      <c r="AH206" s="115">
        <f t="shared" si="42"/>
        <v>0</v>
      </c>
      <c r="AJ206" s="11" t="e">
        <f t="shared" si="43"/>
        <v>#REF!</v>
      </c>
    </row>
    <row r="207" spans="1:36" s="124" customFormat="1">
      <c r="A207" s="123"/>
      <c r="B207" s="123" t="s">
        <v>81</v>
      </c>
      <c r="C207" s="122" t="s">
        <v>322</v>
      </c>
      <c r="D207" s="118" t="s">
        <v>324</v>
      </c>
      <c r="E207" s="98"/>
      <c r="F207" s="99" t="e">
        <f>VLOOKUP(D207,#REF!,17,FALSE)</f>
        <v>#REF!</v>
      </c>
      <c r="G207" s="100"/>
      <c r="H207" s="100"/>
      <c r="I207" s="101"/>
      <c r="J207" s="102" t="e">
        <f t="shared" si="31"/>
        <v>#REF!</v>
      </c>
      <c r="K207" s="103"/>
      <c r="L207" s="104">
        <v>4760</v>
      </c>
      <c r="M207" s="105"/>
      <c r="N207" s="103">
        <v>0</v>
      </c>
      <c r="O207" s="106"/>
      <c r="P207" s="103">
        <v>0</v>
      </c>
      <c r="Q207" s="107">
        <f t="shared" si="32"/>
        <v>4760</v>
      </c>
      <c r="R207" s="108">
        <f>632.45+4762.23</f>
        <v>5394.6799999999994</v>
      </c>
      <c r="S207" s="119"/>
      <c r="T207" s="110">
        <f t="shared" si="45"/>
        <v>634.67999999999938</v>
      </c>
      <c r="U207" s="103"/>
      <c r="V207" s="112">
        <f t="shared" si="33"/>
        <v>0</v>
      </c>
      <c r="W207" s="112">
        <f t="shared" si="34"/>
        <v>0</v>
      </c>
      <c r="X207" s="113">
        <f t="shared" si="35"/>
        <v>4760</v>
      </c>
      <c r="Y207" s="113">
        <v>0</v>
      </c>
      <c r="Z207" s="114">
        <v>0</v>
      </c>
      <c r="AA207" s="11">
        <f t="shared" si="36"/>
        <v>0</v>
      </c>
      <c r="AB207" s="115">
        <f t="shared" si="37"/>
        <v>0</v>
      </c>
      <c r="AC207" s="115">
        <f t="shared" si="38"/>
        <v>0</v>
      </c>
      <c r="AD207" s="115" t="e">
        <f t="shared" si="39"/>
        <v>#REF!</v>
      </c>
      <c r="AE207" s="11"/>
      <c r="AF207" s="115">
        <f t="shared" si="40"/>
        <v>0</v>
      </c>
      <c r="AG207" s="115">
        <f t="shared" si="41"/>
        <v>0</v>
      </c>
      <c r="AH207" s="115">
        <f t="shared" si="42"/>
        <v>4760</v>
      </c>
      <c r="AJ207" s="11" t="e">
        <f t="shared" si="43"/>
        <v>#REF!</v>
      </c>
    </row>
    <row r="208" spans="1:36" s="124" customFormat="1">
      <c r="A208" s="123"/>
      <c r="B208" s="123" t="s">
        <v>49</v>
      </c>
      <c r="C208" s="122" t="s">
        <v>322</v>
      </c>
      <c r="D208" s="118" t="s">
        <v>325</v>
      </c>
      <c r="E208" s="98"/>
      <c r="F208" s="99" t="e">
        <f>VLOOKUP(D208,#REF!,17,FALSE)</f>
        <v>#REF!</v>
      </c>
      <c r="G208" s="100"/>
      <c r="H208" s="100"/>
      <c r="I208" s="101"/>
      <c r="J208" s="102" t="e">
        <f t="shared" ref="J208:J271" si="46">SUM(E208:I208)</f>
        <v>#REF!</v>
      </c>
      <c r="K208" s="103"/>
      <c r="L208" s="104">
        <v>444075</v>
      </c>
      <c r="M208" s="105"/>
      <c r="N208" s="103">
        <v>0</v>
      </c>
      <c r="O208" s="106"/>
      <c r="P208" s="103">
        <v>0</v>
      </c>
      <c r="Q208" s="107">
        <f t="shared" ref="Q208:Q225" si="47">L208+M208</f>
        <v>444075</v>
      </c>
      <c r="R208" s="108">
        <v>444075.95</v>
      </c>
      <c r="S208" s="119"/>
      <c r="T208" s="110">
        <f t="shared" si="45"/>
        <v>0.95000000001164153</v>
      </c>
      <c r="U208" s="103"/>
      <c r="V208" s="112">
        <f t="shared" ref="V208:V225" si="48">IF(B208="D",Q208,0)</f>
        <v>444075</v>
      </c>
      <c r="W208" s="112">
        <f t="shared" ref="W208:W225" si="49">IF(B208="M",Q208,0)</f>
        <v>0</v>
      </c>
      <c r="X208" s="113">
        <f t="shared" ref="X208:X225" si="50">IF(B208="V",Q208,0)</f>
        <v>0</v>
      </c>
      <c r="Y208" s="113">
        <v>0</v>
      </c>
      <c r="Z208" s="114">
        <v>0</v>
      </c>
      <c r="AA208" s="11">
        <f t="shared" ref="AA208:AA271" si="51">(L208+M208)-(V208+W208+X208+Y208+Z208)</f>
        <v>0</v>
      </c>
      <c r="AB208" s="115" t="e">
        <f t="shared" ref="AB208:AB225" si="52">IF(B208="D",J208,0)</f>
        <v>#REF!</v>
      </c>
      <c r="AC208" s="115">
        <f t="shared" ref="AC208:AC225" si="53">IF(B208="M",J208,0)</f>
        <v>0</v>
      </c>
      <c r="AD208" s="115">
        <f t="shared" ref="AD208:AD225" si="54">IF(B208="V",J208,0)</f>
        <v>0</v>
      </c>
      <c r="AE208" s="11"/>
      <c r="AF208" s="115">
        <f t="shared" ref="AF208:AF225" si="55">IF(B208="D",Q208,0)</f>
        <v>444075</v>
      </c>
      <c r="AG208" s="115">
        <f t="shared" ref="AG208:AG225" si="56">IF(B208="M",Q208,0)</f>
        <v>0</v>
      </c>
      <c r="AH208" s="115">
        <f t="shared" ref="AH208:AH225" si="57">IF(B208="V",Q208,0)</f>
        <v>0</v>
      </c>
      <c r="AJ208" s="11" t="e">
        <f t="shared" si="43"/>
        <v>#REF!</v>
      </c>
    </row>
    <row r="209" spans="1:36" s="124" customFormat="1">
      <c r="A209" s="123"/>
      <c r="B209" s="123" t="s">
        <v>81</v>
      </c>
      <c r="C209" s="122" t="s">
        <v>322</v>
      </c>
      <c r="D209" s="118" t="s">
        <v>326</v>
      </c>
      <c r="E209" s="98"/>
      <c r="F209" s="99" t="e">
        <f>VLOOKUP(D209,#REF!,17,FALSE)</f>
        <v>#REF!</v>
      </c>
      <c r="G209" s="100"/>
      <c r="H209" s="100"/>
      <c r="I209" s="101"/>
      <c r="J209" s="102" t="e">
        <f t="shared" si="46"/>
        <v>#REF!</v>
      </c>
      <c r="K209" s="103"/>
      <c r="L209" s="104"/>
      <c r="M209" s="105"/>
      <c r="N209" s="103">
        <v>0</v>
      </c>
      <c r="O209" s="106"/>
      <c r="P209" s="103">
        <v>0</v>
      </c>
      <c r="Q209" s="107">
        <f t="shared" si="47"/>
        <v>0</v>
      </c>
      <c r="R209" s="108">
        <v>0</v>
      </c>
      <c r="S209" s="119"/>
      <c r="T209" s="110">
        <f t="shared" si="45"/>
        <v>0</v>
      </c>
      <c r="U209" s="103"/>
      <c r="V209" s="112">
        <f t="shared" si="48"/>
        <v>0</v>
      </c>
      <c r="W209" s="112">
        <f t="shared" si="49"/>
        <v>0</v>
      </c>
      <c r="X209" s="113">
        <f t="shared" si="50"/>
        <v>0</v>
      </c>
      <c r="Y209" s="113">
        <v>0</v>
      </c>
      <c r="Z209" s="114">
        <v>0</v>
      </c>
      <c r="AA209" s="11">
        <f t="shared" si="51"/>
        <v>0</v>
      </c>
      <c r="AB209" s="115">
        <f t="shared" si="52"/>
        <v>0</v>
      </c>
      <c r="AC209" s="115">
        <f t="shared" si="53"/>
        <v>0</v>
      </c>
      <c r="AD209" s="115" t="e">
        <f t="shared" si="54"/>
        <v>#REF!</v>
      </c>
      <c r="AE209" s="11"/>
      <c r="AF209" s="115">
        <f t="shared" si="55"/>
        <v>0</v>
      </c>
      <c r="AG209" s="115">
        <f t="shared" si="56"/>
        <v>0</v>
      </c>
      <c r="AH209" s="115">
        <f t="shared" si="57"/>
        <v>0</v>
      </c>
      <c r="AJ209" s="11" t="e">
        <f t="shared" ref="AJ209:AJ225" si="58">SUM(AB209:AH209)</f>
        <v>#REF!</v>
      </c>
    </row>
    <row r="210" spans="1:36" hidden="1">
      <c r="A210" s="129" t="s">
        <v>154</v>
      </c>
      <c r="B210" s="129" t="s">
        <v>46</v>
      </c>
      <c r="C210" s="96"/>
      <c r="D210" s="120" t="s">
        <v>327</v>
      </c>
      <c r="E210" s="98"/>
      <c r="F210" s="99" t="e">
        <f>VLOOKUP(D210,#REF!,17,FALSE)</f>
        <v>#REF!</v>
      </c>
      <c r="G210" s="100"/>
      <c r="H210" s="100"/>
      <c r="I210" s="101"/>
      <c r="J210" s="102" t="e">
        <f t="shared" si="46"/>
        <v>#REF!</v>
      </c>
      <c r="K210" s="103"/>
      <c r="L210" s="104"/>
      <c r="M210" s="105"/>
      <c r="N210" s="103">
        <v>0</v>
      </c>
      <c r="O210" s="106"/>
      <c r="P210" s="103">
        <v>0</v>
      </c>
      <c r="Q210" s="107">
        <f t="shared" si="47"/>
        <v>0</v>
      </c>
      <c r="R210" s="108">
        <v>0</v>
      </c>
      <c r="S210" s="119"/>
      <c r="T210" s="110">
        <f t="shared" si="45"/>
        <v>0</v>
      </c>
      <c r="U210" s="103"/>
      <c r="V210" s="112">
        <f t="shared" si="48"/>
        <v>0</v>
      </c>
      <c r="W210" s="112">
        <f t="shared" si="49"/>
        <v>0</v>
      </c>
      <c r="X210" s="113">
        <f t="shared" si="50"/>
        <v>0</v>
      </c>
      <c r="Y210" s="113">
        <v>0</v>
      </c>
      <c r="Z210" s="114">
        <v>0</v>
      </c>
      <c r="AA210" s="11">
        <f t="shared" si="51"/>
        <v>0</v>
      </c>
      <c r="AB210" s="115">
        <f t="shared" si="52"/>
        <v>0</v>
      </c>
      <c r="AC210" s="115" t="e">
        <f t="shared" si="53"/>
        <v>#REF!</v>
      </c>
      <c r="AD210" s="115">
        <f t="shared" si="54"/>
        <v>0</v>
      </c>
      <c r="AE210" s="11"/>
      <c r="AF210" s="115">
        <f t="shared" si="55"/>
        <v>0</v>
      </c>
      <c r="AG210" s="115">
        <f t="shared" si="56"/>
        <v>0</v>
      </c>
      <c r="AH210" s="115">
        <f t="shared" si="57"/>
        <v>0</v>
      </c>
      <c r="AJ210" s="11" t="e">
        <f t="shared" si="58"/>
        <v>#REF!</v>
      </c>
    </row>
    <row r="211" spans="1:36" hidden="1">
      <c r="A211" s="129" t="s">
        <v>154</v>
      </c>
      <c r="B211" s="129" t="s">
        <v>81</v>
      </c>
      <c r="C211" s="96"/>
      <c r="D211" s="120" t="s">
        <v>328</v>
      </c>
      <c r="E211" s="98"/>
      <c r="F211" s="99" t="e">
        <f>VLOOKUP(D211,#REF!,17,FALSE)</f>
        <v>#REF!</v>
      </c>
      <c r="G211" s="100"/>
      <c r="H211" s="100"/>
      <c r="I211" s="101"/>
      <c r="J211" s="102" t="e">
        <f t="shared" si="46"/>
        <v>#REF!</v>
      </c>
      <c r="K211" s="103"/>
      <c r="L211" s="104"/>
      <c r="M211" s="105"/>
      <c r="N211" s="103">
        <v>0</v>
      </c>
      <c r="O211" s="106"/>
      <c r="P211" s="103">
        <v>0</v>
      </c>
      <c r="Q211" s="107">
        <f t="shared" si="47"/>
        <v>0</v>
      </c>
      <c r="R211" s="108">
        <v>0</v>
      </c>
      <c r="S211" s="119"/>
      <c r="T211" s="110">
        <f t="shared" si="45"/>
        <v>0</v>
      </c>
      <c r="U211" s="103"/>
      <c r="V211" s="112">
        <f t="shared" si="48"/>
        <v>0</v>
      </c>
      <c r="W211" s="112">
        <f t="shared" si="49"/>
        <v>0</v>
      </c>
      <c r="X211" s="113">
        <f t="shared" si="50"/>
        <v>0</v>
      </c>
      <c r="Y211" s="113">
        <v>0</v>
      </c>
      <c r="Z211" s="114">
        <v>0</v>
      </c>
      <c r="AA211" s="11">
        <f t="shared" si="51"/>
        <v>0</v>
      </c>
      <c r="AB211" s="115">
        <f t="shared" si="52"/>
        <v>0</v>
      </c>
      <c r="AC211" s="115">
        <f t="shared" si="53"/>
        <v>0</v>
      </c>
      <c r="AD211" s="115" t="e">
        <f t="shared" si="54"/>
        <v>#REF!</v>
      </c>
      <c r="AE211" s="11"/>
      <c r="AF211" s="115">
        <f t="shared" si="55"/>
        <v>0</v>
      </c>
      <c r="AG211" s="115">
        <f t="shared" si="56"/>
        <v>0</v>
      </c>
      <c r="AH211" s="115">
        <f t="shared" si="57"/>
        <v>0</v>
      </c>
      <c r="AJ211" s="11" t="e">
        <f t="shared" si="58"/>
        <v>#REF!</v>
      </c>
    </row>
    <row r="212" spans="1:36" hidden="1">
      <c r="A212" s="116"/>
      <c r="B212" s="116" t="s">
        <v>49</v>
      </c>
      <c r="C212" s="122"/>
      <c r="D212" s="120" t="s">
        <v>330</v>
      </c>
      <c r="E212" s="98"/>
      <c r="F212" s="99" t="e">
        <f>VLOOKUP(D212,#REF!,17,FALSE)</f>
        <v>#REF!</v>
      </c>
      <c r="G212" s="100"/>
      <c r="H212" s="100"/>
      <c r="I212" s="101"/>
      <c r="J212" s="102" t="e">
        <f t="shared" si="46"/>
        <v>#REF!</v>
      </c>
      <c r="K212" s="103"/>
      <c r="L212" s="104"/>
      <c r="M212" s="105"/>
      <c r="N212" s="103">
        <v>0</v>
      </c>
      <c r="O212" s="106"/>
      <c r="P212" s="103">
        <v>0</v>
      </c>
      <c r="Q212" s="107">
        <f t="shared" si="47"/>
        <v>0</v>
      </c>
      <c r="R212" s="108">
        <v>0</v>
      </c>
      <c r="S212" s="119"/>
      <c r="T212" s="110">
        <f t="shared" si="45"/>
        <v>0</v>
      </c>
      <c r="U212" s="103"/>
      <c r="V212" s="112">
        <f t="shared" si="48"/>
        <v>0</v>
      </c>
      <c r="W212" s="112">
        <f t="shared" si="49"/>
        <v>0</v>
      </c>
      <c r="X212" s="113">
        <f t="shared" si="50"/>
        <v>0</v>
      </c>
      <c r="Y212" s="113">
        <v>0</v>
      </c>
      <c r="Z212" s="114">
        <v>0</v>
      </c>
      <c r="AA212" s="11">
        <f t="shared" si="51"/>
        <v>0</v>
      </c>
      <c r="AB212" s="115" t="e">
        <f t="shared" si="52"/>
        <v>#REF!</v>
      </c>
      <c r="AC212" s="115">
        <f t="shared" si="53"/>
        <v>0</v>
      </c>
      <c r="AD212" s="115">
        <f t="shared" si="54"/>
        <v>0</v>
      </c>
      <c r="AE212" s="11"/>
      <c r="AF212" s="115">
        <f t="shared" si="55"/>
        <v>0</v>
      </c>
      <c r="AG212" s="115">
        <f t="shared" si="56"/>
        <v>0</v>
      </c>
      <c r="AH212" s="115">
        <f t="shared" si="57"/>
        <v>0</v>
      </c>
      <c r="AJ212" s="11" t="e">
        <f t="shared" si="58"/>
        <v>#REF!</v>
      </c>
    </row>
    <row r="213" spans="1:36">
      <c r="A213" s="116"/>
      <c r="B213" s="116" t="s">
        <v>49</v>
      </c>
      <c r="C213" s="122" t="s">
        <v>331</v>
      </c>
      <c r="D213" s="118" t="s">
        <v>332</v>
      </c>
      <c r="E213" s="98"/>
      <c r="F213" s="99" t="e">
        <f>VLOOKUP(D213,#REF!,17,FALSE)</f>
        <v>#REF!</v>
      </c>
      <c r="G213" s="100"/>
      <c r="H213" s="100"/>
      <c r="I213" s="101"/>
      <c r="J213" s="102" t="e">
        <f t="shared" si="46"/>
        <v>#REF!</v>
      </c>
      <c r="K213" s="103"/>
      <c r="L213" s="104"/>
      <c r="M213" s="105"/>
      <c r="N213" s="103">
        <v>0</v>
      </c>
      <c r="O213" s="106"/>
      <c r="P213" s="103">
        <v>0</v>
      </c>
      <c r="Q213" s="107">
        <f t="shared" si="47"/>
        <v>0</v>
      </c>
      <c r="R213" s="108">
        <v>0</v>
      </c>
      <c r="S213" s="119"/>
      <c r="T213" s="110">
        <f t="shared" si="45"/>
        <v>0</v>
      </c>
      <c r="U213" s="103"/>
      <c r="V213" s="112">
        <f t="shared" si="48"/>
        <v>0</v>
      </c>
      <c r="W213" s="112">
        <f t="shared" si="49"/>
        <v>0</v>
      </c>
      <c r="X213" s="113">
        <f t="shared" si="50"/>
        <v>0</v>
      </c>
      <c r="Y213" s="113">
        <v>0</v>
      </c>
      <c r="Z213" s="114">
        <v>0</v>
      </c>
      <c r="AA213" s="11">
        <f t="shared" si="51"/>
        <v>0</v>
      </c>
      <c r="AB213" s="115" t="e">
        <f t="shared" si="52"/>
        <v>#REF!</v>
      </c>
      <c r="AC213" s="115">
        <f t="shared" si="53"/>
        <v>0</v>
      </c>
      <c r="AD213" s="115">
        <f t="shared" si="54"/>
        <v>0</v>
      </c>
      <c r="AE213" s="11"/>
      <c r="AF213" s="115">
        <f t="shared" si="55"/>
        <v>0</v>
      </c>
      <c r="AG213" s="115">
        <f t="shared" si="56"/>
        <v>0</v>
      </c>
      <c r="AH213" s="115">
        <f t="shared" si="57"/>
        <v>0</v>
      </c>
      <c r="AJ213" s="11" t="e">
        <f t="shared" si="58"/>
        <v>#REF!</v>
      </c>
    </row>
    <row r="214" spans="1:36">
      <c r="A214" s="116"/>
      <c r="B214" s="116" t="s">
        <v>46</v>
      </c>
      <c r="C214" s="122" t="s">
        <v>331</v>
      </c>
      <c r="D214" s="118" t="s">
        <v>333</v>
      </c>
      <c r="E214" s="98"/>
      <c r="F214" s="99" t="e">
        <f>VLOOKUP(D214,#REF!,17,FALSE)</f>
        <v>#REF!</v>
      </c>
      <c r="G214" s="100"/>
      <c r="H214" s="100"/>
      <c r="I214" s="101"/>
      <c r="J214" s="102" t="e">
        <f t="shared" si="46"/>
        <v>#REF!</v>
      </c>
      <c r="K214" s="103"/>
      <c r="L214" s="104"/>
      <c r="M214" s="105"/>
      <c r="N214" s="103">
        <v>0</v>
      </c>
      <c r="O214" s="106"/>
      <c r="P214" s="103">
        <v>0</v>
      </c>
      <c r="Q214" s="107">
        <f t="shared" si="47"/>
        <v>0</v>
      </c>
      <c r="R214" s="108">
        <v>0</v>
      </c>
      <c r="S214" s="119"/>
      <c r="T214" s="110">
        <f t="shared" si="45"/>
        <v>0</v>
      </c>
      <c r="U214" s="103"/>
      <c r="V214" s="112">
        <f t="shared" si="48"/>
        <v>0</v>
      </c>
      <c r="W214" s="112">
        <f t="shared" si="49"/>
        <v>0</v>
      </c>
      <c r="X214" s="113">
        <f t="shared" si="50"/>
        <v>0</v>
      </c>
      <c r="Y214" s="113">
        <v>0</v>
      </c>
      <c r="Z214" s="114">
        <v>0</v>
      </c>
      <c r="AA214" s="11">
        <f t="shared" si="51"/>
        <v>0</v>
      </c>
      <c r="AB214" s="115">
        <f t="shared" si="52"/>
        <v>0</v>
      </c>
      <c r="AC214" s="115" t="e">
        <f t="shared" si="53"/>
        <v>#REF!</v>
      </c>
      <c r="AD214" s="115">
        <f t="shared" si="54"/>
        <v>0</v>
      </c>
      <c r="AE214" s="11"/>
      <c r="AF214" s="115">
        <f t="shared" si="55"/>
        <v>0</v>
      </c>
      <c r="AG214" s="115">
        <f t="shared" si="56"/>
        <v>0</v>
      </c>
      <c r="AH214" s="115">
        <f t="shared" si="57"/>
        <v>0</v>
      </c>
      <c r="AJ214" s="11" t="e">
        <f t="shared" si="58"/>
        <v>#REF!</v>
      </c>
    </row>
    <row r="215" spans="1:36">
      <c r="A215" s="116"/>
      <c r="B215" s="116" t="s">
        <v>46</v>
      </c>
      <c r="C215" s="122"/>
      <c r="D215" s="118" t="s">
        <v>334</v>
      </c>
      <c r="E215" s="98"/>
      <c r="F215" s="99" t="e">
        <f>VLOOKUP(D215,#REF!,17,FALSE)</f>
        <v>#REF!</v>
      </c>
      <c r="G215" s="100"/>
      <c r="H215" s="100"/>
      <c r="I215" s="101"/>
      <c r="J215" s="102" t="e">
        <f t="shared" si="46"/>
        <v>#REF!</v>
      </c>
      <c r="K215" s="103"/>
      <c r="L215" s="104"/>
      <c r="M215" s="105"/>
      <c r="N215" s="103">
        <v>0</v>
      </c>
      <c r="O215" s="106"/>
      <c r="P215" s="103">
        <v>0</v>
      </c>
      <c r="Q215" s="107">
        <f t="shared" si="47"/>
        <v>0</v>
      </c>
      <c r="R215" s="108">
        <v>0</v>
      </c>
      <c r="S215" s="119"/>
      <c r="T215" s="110">
        <f t="shared" si="45"/>
        <v>0</v>
      </c>
      <c r="U215" s="103"/>
      <c r="V215" s="112">
        <f t="shared" si="48"/>
        <v>0</v>
      </c>
      <c r="W215" s="112">
        <f t="shared" si="49"/>
        <v>0</v>
      </c>
      <c r="X215" s="113">
        <f t="shared" si="50"/>
        <v>0</v>
      </c>
      <c r="Y215" s="113">
        <v>0</v>
      </c>
      <c r="Z215" s="114">
        <v>0</v>
      </c>
      <c r="AA215" s="11">
        <f t="shared" si="51"/>
        <v>0</v>
      </c>
      <c r="AB215" s="115">
        <f t="shared" si="52"/>
        <v>0</v>
      </c>
      <c r="AC215" s="115" t="e">
        <f t="shared" si="53"/>
        <v>#REF!</v>
      </c>
      <c r="AD215" s="115">
        <f t="shared" si="54"/>
        <v>0</v>
      </c>
      <c r="AE215" s="11"/>
      <c r="AF215" s="115">
        <f t="shared" si="55"/>
        <v>0</v>
      </c>
      <c r="AG215" s="115">
        <f t="shared" si="56"/>
        <v>0</v>
      </c>
      <c r="AH215" s="115">
        <f t="shared" si="57"/>
        <v>0</v>
      </c>
      <c r="AJ215" s="11" t="e">
        <f t="shared" si="58"/>
        <v>#REF!</v>
      </c>
    </row>
    <row r="216" spans="1:36">
      <c r="A216" s="116"/>
      <c r="B216" s="116" t="s">
        <v>46</v>
      </c>
      <c r="C216" s="122"/>
      <c r="D216" s="118" t="s">
        <v>335</v>
      </c>
      <c r="E216" s="98"/>
      <c r="F216" s="99" t="e">
        <f>VLOOKUP(D216,#REF!,17,FALSE)</f>
        <v>#REF!</v>
      </c>
      <c r="G216" s="100"/>
      <c r="H216" s="100"/>
      <c r="I216" s="101"/>
      <c r="J216" s="102" t="e">
        <f t="shared" si="46"/>
        <v>#REF!</v>
      </c>
      <c r="K216" s="103"/>
      <c r="L216" s="104"/>
      <c r="M216" s="105"/>
      <c r="N216" s="103">
        <v>0</v>
      </c>
      <c r="O216" s="106"/>
      <c r="P216" s="103">
        <v>0</v>
      </c>
      <c r="Q216" s="107">
        <f t="shared" si="47"/>
        <v>0</v>
      </c>
      <c r="R216" s="108">
        <v>0</v>
      </c>
      <c r="S216" s="119"/>
      <c r="T216" s="110">
        <f t="shared" si="45"/>
        <v>0</v>
      </c>
      <c r="U216" s="103"/>
      <c r="V216" s="112">
        <f t="shared" si="48"/>
        <v>0</v>
      </c>
      <c r="W216" s="112">
        <f t="shared" si="49"/>
        <v>0</v>
      </c>
      <c r="X216" s="113">
        <f t="shared" si="50"/>
        <v>0</v>
      </c>
      <c r="Y216" s="113">
        <v>0</v>
      </c>
      <c r="Z216" s="114">
        <v>0</v>
      </c>
      <c r="AA216" s="11">
        <f t="shared" si="51"/>
        <v>0</v>
      </c>
      <c r="AB216" s="115">
        <f t="shared" si="52"/>
        <v>0</v>
      </c>
      <c r="AC216" s="115" t="e">
        <f t="shared" si="53"/>
        <v>#REF!</v>
      </c>
      <c r="AD216" s="115">
        <f t="shared" si="54"/>
        <v>0</v>
      </c>
      <c r="AE216" s="11"/>
      <c r="AF216" s="115">
        <f t="shared" si="55"/>
        <v>0</v>
      </c>
      <c r="AG216" s="115">
        <f t="shared" si="56"/>
        <v>0</v>
      </c>
      <c r="AH216" s="115">
        <f t="shared" si="57"/>
        <v>0</v>
      </c>
      <c r="AJ216" s="11" t="e">
        <f t="shared" si="58"/>
        <v>#REF!</v>
      </c>
    </row>
    <row r="217" spans="1:36">
      <c r="A217" s="116"/>
      <c r="B217" s="116" t="s">
        <v>46</v>
      </c>
      <c r="C217" s="122"/>
      <c r="D217" s="120" t="s">
        <v>336</v>
      </c>
      <c r="E217" s="98"/>
      <c r="F217" s="99" t="e">
        <f>VLOOKUP(D217,#REF!,17,FALSE)</f>
        <v>#REF!</v>
      </c>
      <c r="G217" s="100"/>
      <c r="H217" s="100"/>
      <c r="I217" s="101"/>
      <c r="J217" s="102" t="e">
        <f t="shared" si="46"/>
        <v>#REF!</v>
      </c>
      <c r="K217" s="103"/>
      <c r="L217" s="104"/>
      <c r="M217" s="105"/>
      <c r="N217" s="103">
        <v>0</v>
      </c>
      <c r="O217" s="106"/>
      <c r="P217" s="103">
        <v>0</v>
      </c>
      <c r="Q217" s="107">
        <f t="shared" si="47"/>
        <v>0</v>
      </c>
      <c r="R217" s="108">
        <v>0</v>
      </c>
      <c r="S217" s="119"/>
      <c r="T217" s="110">
        <f t="shared" si="45"/>
        <v>0</v>
      </c>
      <c r="U217" s="103"/>
      <c r="V217" s="112">
        <f t="shared" si="48"/>
        <v>0</v>
      </c>
      <c r="W217" s="112">
        <f t="shared" si="49"/>
        <v>0</v>
      </c>
      <c r="X217" s="113">
        <f t="shared" si="50"/>
        <v>0</v>
      </c>
      <c r="Y217" s="113">
        <v>0</v>
      </c>
      <c r="Z217" s="114">
        <v>0</v>
      </c>
      <c r="AA217" s="11">
        <f t="shared" si="51"/>
        <v>0</v>
      </c>
      <c r="AB217" s="115">
        <f t="shared" si="52"/>
        <v>0</v>
      </c>
      <c r="AC217" s="115" t="e">
        <f t="shared" si="53"/>
        <v>#REF!</v>
      </c>
      <c r="AD217" s="115">
        <f t="shared" si="54"/>
        <v>0</v>
      </c>
      <c r="AE217" s="11"/>
      <c r="AF217" s="115">
        <f t="shared" si="55"/>
        <v>0</v>
      </c>
      <c r="AG217" s="115">
        <f t="shared" si="56"/>
        <v>0</v>
      </c>
      <c r="AH217" s="115">
        <f t="shared" si="57"/>
        <v>0</v>
      </c>
      <c r="AJ217" s="11" t="e">
        <f t="shared" si="58"/>
        <v>#REF!</v>
      </c>
    </row>
    <row r="218" spans="1:36">
      <c r="A218" s="116"/>
      <c r="B218" s="116" t="s">
        <v>49</v>
      </c>
      <c r="C218" s="122"/>
      <c r="D218" s="120" t="s">
        <v>337</v>
      </c>
      <c r="E218" s="98"/>
      <c r="F218" s="99" t="e">
        <f>VLOOKUP(D218,#REF!,17,FALSE)</f>
        <v>#REF!</v>
      </c>
      <c r="G218" s="100"/>
      <c r="H218" s="100"/>
      <c r="I218" s="101"/>
      <c r="J218" s="102" t="e">
        <f t="shared" si="46"/>
        <v>#REF!</v>
      </c>
      <c r="K218" s="103"/>
      <c r="L218" s="104"/>
      <c r="M218" s="105"/>
      <c r="N218" s="103">
        <v>0</v>
      </c>
      <c r="O218" s="106"/>
      <c r="P218" s="103">
        <v>0</v>
      </c>
      <c r="Q218" s="107">
        <f t="shared" si="47"/>
        <v>0</v>
      </c>
      <c r="R218" s="108">
        <v>0</v>
      </c>
      <c r="S218" s="119"/>
      <c r="T218" s="110">
        <f t="shared" si="45"/>
        <v>0</v>
      </c>
      <c r="U218" s="103"/>
      <c r="V218" s="112">
        <f t="shared" si="48"/>
        <v>0</v>
      </c>
      <c r="W218" s="112">
        <f t="shared" si="49"/>
        <v>0</v>
      </c>
      <c r="X218" s="113">
        <f t="shared" si="50"/>
        <v>0</v>
      </c>
      <c r="Y218" s="113">
        <v>0</v>
      </c>
      <c r="Z218" s="114">
        <v>0</v>
      </c>
      <c r="AA218" s="11">
        <f t="shared" si="51"/>
        <v>0</v>
      </c>
      <c r="AB218" s="115" t="e">
        <f t="shared" si="52"/>
        <v>#REF!</v>
      </c>
      <c r="AC218" s="115">
        <f t="shared" si="53"/>
        <v>0</v>
      </c>
      <c r="AD218" s="115">
        <f t="shared" si="54"/>
        <v>0</v>
      </c>
      <c r="AE218" s="11"/>
      <c r="AF218" s="115">
        <f t="shared" si="55"/>
        <v>0</v>
      </c>
      <c r="AG218" s="115">
        <f t="shared" si="56"/>
        <v>0</v>
      </c>
      <c r="AH218" s="115">
        <f t="shared" si="57"/>
        <v>0</v>
      </c>
      <c r="AJ218" s="11" t="e">
        <f t="shared" si="58"/>
        <v>#REF!</v>
      </c>
    </row>
    <row r="219" spans="1:36">
      <c r="A219" s="116"/>
      <c r="B219" s="116" t="s">
        <v>46</v>
      </c>
      <c r="C219" s="122" t="s">
        <v>338</v>
      </c>
      <c r="D219" s="120" t="s">
        <v>339</v>
      </c>
      <c r="E219" s="98"/>
      <c r="F219" s="99" t="e">
        <f>VLOOKUP(D219,#REF!,17,FALSE)</f>
        <v>#REF!</v>
      </c>
      <c r="G219" s="100"/>
      <c r="H219" s="100"/>
      <c r="I219" s="101"/>
      <c r="J219" s="102" t="e">
        <f t="shared" si="46"/>
        <v>#REF!</v>
      </c>
      <c r="K219" s="103"/>
      <c r="L219" s="104"/>
      <c r="M219" s="105"/>
      <c r="N219" s="103">
        <v>0</v>
      </c>
      <c r="O219" s="106"/>
      <c r="P219" s="103">
        <v>0</v>
      </c>
      <c r="Q219" s="107">
        <f t="shared" si="47"/>
        <v>0</v>
      </c>
      <c r="R219" s="108">
        <v>0</v>
      </c>
      <c r="S219" s="119"/>
      <c r="T219" s="110">
        <f t="shared" si="45"/>
        <v>0</v>
      </c>
      <c r="U219" s="103"/>
      <c r="V219" s="112">
        <f t="shared" si="48"/>
        <v>0</v>
      </c>
      <c r="W219" s="112">
        <f t="shared" si="49"/>
        <v>0</v>
      </c>
      <c r="X219" s="113">
        <f t="shared" si="50"/>
        <v>0</v>
      </c>
      <c r="Y219" s="113">
        <v>0</v>
      </c>
      <c r="Z219" s="114">
        <v>0</v>
      </c>
      <c r="AA219" s="11">
        <f t="shared" si="51"/>
        <v>0</v>
      </c>
      <c r="AB219" s="115">
        <f t="shared" si="52"/>
        <v>0</v>
      </c>
      <c r="AC219" s="115" t="e">
        <f t="shared" si="53"/>
        <v>#REF!</v>
      </c>
      <c r="AD219" s="115">
        <f t="shared" si="54"/>
        <v>0</v>
      </c>
      <c r="AE219" s="11"/>
      <c r="AF219" s="115">
        <f t="shared" si="55"/>
        <v>0</v>
      </c>
      <c r="AG219" s="115">
        <f t="shared" si="56"/>
        <v>0</v>
      </c>
      <c r="AH219" s="115">
        <f t="shared" si="57"/>
        <v>0</v>
      </c>
      <c r="AJ219" s="11" t="e">
        <f t="shared" si="58"/>
        <v>#REF!</v>
      </c>
    </row>
    <row r="220" spans="1:36">
      <c r="A220" s="116" t="s">
        <v>340</v>
      </c>
      <c r="B220" s="116" t="s">
        <v>49</v>
      </c>
      <c r="C220" s="122"/>
      <c r="D220" s="120" t="s">
        <v>341</v>
      </c>
      <c r="E220" s="98"/>
      <c r="F220" s="99" t="e">
        <f>VLOOKUP(D220,#REF!,17,FALSE)</f>
        <v>#REF!</v>
      </c>
      <c r="G220" s="100"/>
      <c r="H220" s="100"/>
      <c r="I220" s="101"/>
      <c r="J220" s="102" t="e">
        <f t="shared" si="46"/>
        <v>#REF!</v>
      </c>
      <c r="K220" s="103"/>
      <c r="L220" s="104"/>
      <c r="M220" s="105">
        <v>8000</v>
      </c>
      <c r="N220" s="103">
        <v>0</v>
      </c>
      <c r="O220" s="106"/>
      <c r="P220" s="103">
        <v>0</v>
      </c>
      <c r="Q220" s="107">
        <f t="shared" si="47"/>
        <v>8000</v>
      </c>
      <c r="R220" s="108">
        <v>0</v>
      </c>
      <c r="S220" s="119"/>
      <c r="T220" s="110">
        <f t="shared" si="45"/>
        <v>-8000</v>
      </c>
      <c r="U220" s="103"/>
      <c r="V220" s="112">
        <f t="shared" si="48"/>
        <v>8000</v>
      </c>
      <c r="W220" s="112">
        <f t="shared" si="49"/>
        <v>0</v>
      </c>
      <c r="X220" s="113">
        <f t="shared" si="50"/>
        <v>0</v>
      </c>
      <c r="Y220" s="113">
        <v>0</v>
      </c>
      <c r="Z220" s="114">
        <v>0</v>
      </c>
      <c r="AA220" s="11">
        <f t="shared" si="51"/>
        <v>0</v>
      </c>
      <c r="AB220" s="115" t="e">
        <f t="shared" si="52"/>
        <v>#REF!</v>
      </c>
      <c r="AC220" s="115">
        <f t="shared" si="53"/>
        <v>0</v>
      </c>
      <c r="AD220" s="115">
        <f t="shared" si="54"/>
        <v>0</v>
      </c>
      <c r="AE220" s="11"/>
      <c r="AF220" s="115">
        <f t="shared" si="55"/>
        <v>8000</v>
      </c>
      <c r="AG220" s="115">
        <f t="shared" si="56"/>
        <v>0</v>
      </c>
      <c r="AH220" s="115">
        <f t="shared" si="57"/>
        <v>0</v>
      </c>
      <c r="AJ220" s="11" t="e">
        <f t="shared" si="58"/>
        <v>#REF!</v>
      </c>
    </row>
    <row r="221" spans="1:36">
      <c r="A221" s="116"/>
      <c r="B221" s="116" t="s">
        <v>49</v>
      </c>
      <c r="C221" s="122" t="s">
        <v>342</v>
      </c>
      <c r="D221" s="120" t="s">
        <v>343</v>
      </c>
      <c r="E221" s="98"/>
      <c r="F221" s="99" t="e">
        <f>VLOOKUP(D221,#REF!,17,FALSE)</f>
        <v>#REF!</v>
      </c>
      <c r="G221" s="100"/>
      <c r="H221" s="100"/>
      <c r="I221" s="125">
        <v>216.4</v>
      </c>
      <c r="J221" s="102" t="e">
        <f t="shared" si="46"/>
        <v>#REF!</v>
      </c>
      <c r="K221" s="103"/>
      <c r="L221" s="104"/>
      <c r="M221" s="105"/>
      <c r="N221" s="103">
        <v>0</v>
      </c>
      <c r="O221" s="106"/>
      <c r="P221" s="103">
        <v>0</v>
      </c>
      <c r="Q221" s="107">
        <f t="shared" si="47"/>
        <v>0</v>
      </c>
      <c r="R221" s="108">
        <v>0</v>
      </c>
      <c r="S221" s="119"/>
      <c r="T221" s="110">
        <f t="shared" si="45"/>
        <v>0</v>
      </c>
      <c r="U221" s="103"/>
      <c r="V221" s="112">
        <f t="shared" si="48"/>
        <v>0</v>
      </c>
      <c r="W221" s="112">
        <f t="shared" si="49"/>
        <v>0</v>
      </c>
      <c r="X221" s="113">
        <f t="shared" si="50"/>
        <v>0</v>
      </c>
      <c r="Y221" s="113">
        <v>0</v>
      </c>
      <c r="Z221" s="114">
        <v>0</v>
      </c>
      <c r="AA221" s="11">
        <f t="shared" si="51"/>
        <v>0</v>
      </c>
      <c r="AB221" s="115" t="e">
        <f t="shared" si="52"/>
        <v>#REF!</v>
      </c>
      <c r="AC221" s="115">
        <f t="shared" si="53"/>
        <v>0</v>
      </c>
      <c r="AD221" s="115">
        <f t="shared" si="54"/>
        <v>0</v>
      </c>
      <c r="AE221" s="11"/>
      <c r="AF221" s="115">
        <f t="shared" si="55"/>
        <v>0</v>
      </c>
      <c r="AG221" s="115">
        <f t="shared" si="56"/>
        <v>0</v>
      </c>
      <c r="AH221" s="115">
        <f t="shared" si="57"/>
        <v>0</v>
      </c>
      <c r="AJ221" s="11" t="e">
        <f t="shared" si="58"/>
        <v>#REF!</v>
      </c>
    </row>
    <row r="222" spans="1:36">
      <c r="A222" s="129"/>
      <c r="B222" s="129" t="s">
        <v>49</v>
      </c>
      <c r="C222" s="96"/>
      <c r="D222" s="120" t="s">
        <v>434</v>
      </c>
      <c r="E222" s="98"/>
      <c r="F222" s="99" t="e">
        <f>VLOOKUP(D222,#REF!,17,FALSE)</f>
        <v>#REF!</v>
      </c>
      <c r="G222" s="100"/>
      <c r="H222" s="100"/>
      <c r="I222" s="101"/>
      <c r="J222" s="102" t="e">
        <f t="shared" si="46"/>
        <v>#REF!</v>
      </c>
      <c r="K222" s="103"/>
      <c r="L222" s="104"/>
      <c r="M222" s="105"/>
      <c r="N222" s="103">
        <v>0</v>
      </c>
      <c r="O222" s="106"/>
      <c r="P222" s="103">
        <v>0</v>
      </c>
      <c r="Q222" s="107">
        <f t="shared" si="47"/>
        <v>0</v>
      </c>
      <c r="R222" s="108">
        <v>0</v>
      </c>
      <c r="S222" s="119"/>
      <c r="T222" s="110">
        <f t="shared" si="45"/>
        <v>0</v>
      </c>
      <c r="U222" s="103"/>
      <c r="V222" s="112">
        <f t="shared" si="48"/>
        <v>0</v>
      </c>
      <c r="W222" s="112">
        <f t="shared" si="49"/>
        <v>0</v>
      </c>
      <c r="X222" s="113">
        <f t="shared" si="50"/>
        <v>0</v>
      </c>
      <c r="Y222" s="113">
        <v>0</v>
      </c>
      <c r="Z222" s="114">
        <v>0</v>
      </c>
      <c r="AA222" s="11">
        <f t="shared" si="51"/>
        <v>0</v>
      </c>
      <c r="AB222" s="115" t="e">
        <f t="shared" si="52"/>
        <v>#REF!</v>
      </c>
      <c r="AC222" s="115">
        <f t="shared" si="53"/>
        <v>0</v>
      </c>
      <c r="AD222" s="115">
        <f t="shared" si="54"/>
        <v>0</v>
      </c>
      <c r="AE222" s="11"/>
      <c r="AF222" s="115">
        <f t="shared" si="55"/>
        <v>0</v>
      </c>
      <c r="AG222" s="115">
        <f t="shared" si="56"/>
        <v>0</v>
      </c>
      <c r="AH222" s="115">
        <f t="shared" si="57"/>
        <v>0</v>
      </c>
      <c r="AJ222" s="11" t="e">
        <f t="shared" si="58"/>
        <v>#REF!</v>
      </c>
    </row>
    <row r="223" spans="1:36">
      <c r="A223" s="129"/>
      <c r="B223" s="129" t="s">
        <v>81</v>
      </c>
      <c r="C223" s="96"/>
      <c r="D223" s="120" t="s">
        <v>345</v>
      </c>
      <c r="E223" s="98">
        <v>562.66</v>
      </c>
      <c r="F223" s="99" t="e">
        <f>VLOOKUP(D223,#REF!,17,FALSE)</f>
        <v>#REF!</v>
      </c>
      <c r="G223" s="100"/>
      <c r="H223" s="100"/>
      <c r="I223" s="101"/>
      <c r="J223" s="102" t="e">
        <f t="shared" si="46"/>
        <v>#REF!</v>
      </c>
      <c r="K223" s="103"/>
      <c r="L223" s="104"/>
      <c r="M223" s="105"/>
      <c r="N223" s="103">
        <v>0</v>
      </c>
      <c r="O223" s="106"/>
      <c r="P223" s="103">
        <v>0</v>
      </c>
      <c r="Q223" s="107">
        <f t="shared" si="47"/>
        <v>0</v>
      </c>
      <c r="R223" s="108">
        <f>1475.63+463.34+548.5+331.53</f>
        <v>2819</v>
      </c>
      <c r="S223" s="119"/>
      <c r="T223" s="110">
        <f t="shared" si="45"/>
        <v>2819</v>
      </c>
      <c r="U223" s="103"/>
      <c r="V223" s="112">
        <f t="shared" si="48"/>
        <v>0</v>
      </c>
      <c r="W223" s="112">
        <f t="shared" si="49"/>
        <v>0</v>
      </c>
      <c r="X223" s="113">
        <f t="shared" si="50"/>
        <v>0</v>
      </c>
      <c r="Y223" s="113">
        <v>0</v>
      </c>
      <c r="Z223" s="114">
        <v>0</v>
      </c>
      <c r="AA223" s="11">
        <f t="shared" si="51"/>
        <v>0</v>
      </c>
      <c r="AB223" s="115">
        <f t="shared" si="52"/>
        <v>0</v>
      </c>
      <c r="AC223" s="115">
        <f t="shared" si="53"/>
        <v>0</v>
      </c>
      <c r="AD223" s="115" t="e">
        <f t="shared" si="54"/>
        <v>#REF!</v>
      </c>
      <c r="AE223" s="11"/>
      <c r="AF223" s="115">
        <f t="shared" si="55"/>
        <v>0</v>
      </c>
      <c r="AG223" s="115">
        <f t="shared" si="56"/>
        <v>0</v>
      </c>
      <c r="AH223" s="115">
        <f t="shared" si="57"/>
        <v>0</v>
      </c>
      <c r="AJ223" s="11" t="e">
        <f t="shared" si="58"/>
        <v>#REF!</v>
      </c>
    </row>
    <row r="224" spans="1:36">
      <c r="A224" s="129"/>
      <c r="B224" s="129" t="s">
        <v>81</v>
      </c>
      <c r="C224" s="151"/>
      <c r="D224" s="152" t="s">
        <v>346</v>
      </c>
      <c r="E224" s="98"/>
      <c r="F224" s="99" t="e">
        <f>VLOOKUP(D224,#REF!,17,FALSE)</f>
        <v>#REF!</v>
      </c>
      <c r="G224" s="100"/>
      <c r="H224" s="100"/>
      <c r="I224" s="101"/>
      <c r="J224" s="102" t="e">
        <f t="shared" si="46"/>
        <v>#REF!</v>
      </c>
      <c r="K224" s="103"/>
      <c r="L224" s="104"/>
      <c r="M224" s="105"/>
      <c r="N224" s="103">
        <v>0</v>
      </c>
      <c r="O224" s="106"/>
      <c r="P224" s="103">
        <v>0</v>
      </c>
      <c r="Q224" s="107">
        <f t="shared" si="47"/>
        <v>0</v>
      </c>
      <c r="R224" s="108">
        <v>0</v>
      </c>
      <c r="S224" s="119"/>
      <c r="T224" s="110">
        <f t="shared" si="45"/>
        <v>0</v>
      </c>
      <c r="U224" s="103"/>
      <c r="V224" s="112">
        <f t="shared" si="48"/>
        <v>0</v>
      </c>
      <c r="W224" s="112">
        <f t="shared" si="49"/>
        <v>0</v>
      </c>
      <c r="X224" s="113">
        <f t="shared" si="50"/>
        <v>0</v>
      </c>
      <c r="Y224" s="113">
        <v>0</v>
      </c>
      <c r="Z224" s="114">
        <v>0</v>
      </c>
      <c r="AA224" s="11">
        <f t="shared" si="51"/>
        <v>0</v>
      </c>
      <c r="AB224" s="115">
        <f t="shared" si="52"/>
        <v>0</v>
      </c>
      <c r="AC224" s="115">
        <f t="shared" si="53"/>
        <v>0</v>
      </c>
      <c r="AD224" s="115" t="e">
        <f t="shared" si="54"/>
        <v>#REF!</v>
      </c>
      <c r="AE224" s="11"/>
      <c r="AF224" s="115">
        <f t="shared" si="55"/>
        <v>0</v>
      </c>
      <c r="AG224" s="115">
        <f t="shared" si="56"/>
        <v>0</v>
      </c>
      <c r="AH224" s="115">
        <f t="shared" si="57"/>
        <v>0</v>
      </c>
      <c r="AJ224" s="11" t="e">
        <f t="shared" si="58"/>
        <v>#REF!</v>
      </c>
    </row>
    <row r="225" spans="1:36" s="9" customFormat="1" ht="13" thickBot="1">
      <c r="A225" s="129"/>
      <c r="B225" s="129" t="s">
        <v>49</v>
      </c>
      <c r="C225" s="96"/>
      <c r="D225" s="120" t="s">
        <v>348</v>
      </c>
      <c r="E225" s="98"/>
      <c r="F225" s="99" t="e">
        <f>VLOOKUP(D225,#REF!,17,FALSE)</f>
        <v>#REF!</v>
      </c>
      <c r="G225" s="100"/>
      <c r="H225" s="100"/>
      <c r="I225" s="101"/>
      <c r="J225" s="102" t="e">
        <f t="shared" si="46"/>
        <v>#REF!</v>
      </c>
      <c r="K225" s="103"/>
      <c r="L225" s="104"/>
      <c r="M225" s="105"/>
      <c r="N225" s="103">
        <v>0</v>
      </c>
      <c r="O225" s="106"/>
      <c r="P225" s="103">
        <v>0</v>
      </c>
      <c r="Q225" s="107">
        <f t="shared" si="47"/>
        <v>0</v>
      </c>
      <c r="R225" s="108">
        <v>0</v>
      </c>
      <c r="S225" s="119"/>
      <c r="T225" s="110">
        <f t="shared" si="45"/>
        <v>0</v>
      </c>
      <c r="U225" s="103"/>
      <c r="V225" s="112">
        <f t="shared" si="48"/>
        <v>0</v>
      </c>
      <c r="W225" s="112">
        <f t="shared" si="49"/>
        <v>0</v>
      </c>
      <c r="X225" s="113">
        <f t="shared" si="50"/>
        <v>0</v>
      </c>
      <c r="Y225" s="113">
        <v>0</v>
      </c>
      <c r="Z225" s="114">
        <v>0</v>
      </c>
      <c r="AA225" s="11">
        <f t="shared" si="51"/>
        <v>0</v>
      </c>
      <c r="AB225" s="115" t="e">
        <f t="shared" si="52"/>
        <v>#REF!</v>
      </c>
      <c r="AC225" s="115">
        <f t="shared" si="53"/>
        <v>0</v>
      </c>
      <c r="AD225" s="115">
        <f t="shared" si="54"/>
        <v>0</v>
      </c>
      <c r="AE225" s="11"/>
      <c r="AF225" s="115">
        <f t="shared" si="55"/>
        <v>0</v>
      </c>
      <c r="AG225" s="115">
        <f t="shared" si="56"/>
        <v>0</v>
      </c>
      <c r="AH225" s="115">
        <f t="shared" si="57"/>
        <v>0</v>
      </c>
      <c r="AJ225" s="11" t="e">
        <f t="shared" si="58"/>
        <v>#REF!</v>
      </c>
    </row>
    <row r="226" spans="1:36" ht="13" thickBot="1">
      <c r="A226" s="153"/>
      <c r="B226" s="154"/>
      <c r="C226" s="155"/>
      <c r="D226" s="156" t="s">
        <v>349</v>
      </c>
      <c r="E226" s="157" t="e">
        <f t="shared" ref="E226:J226" si="59">SUM(E16:E225)</f>
        <v>#REF!</v>
      </c>
      <c r="F226" s="157" t="e">
        <f t="shared" si="59"/>
        <v>#REF!</v>
      </c>
      <c r="G226" s="157">
        <f t="shared" si="59"/>
        <v>0</v>
      </c>
      <c r="H226" s="157">
        <f t="shared" si="59"/>
        <v>0</v>
      </c>
      <c r="I226" s="157">
        <f t="shared" si="59"/>
        <v>6219624.7700000014</v>
      </c>
      <c r="J226" s="157" t="e">
        <f t="shared" si="59"/>
        <v>#REF!</v>
      </c>
      <c r="K226" s="157"/>
      <c r="L226" s="157">
        <f>SUM(L16:L225)</f>
        <v>448835</v>
      </c>
      <c r="M226" s="157">
        <f>SUM(M16:M225)</f>
        <v>2547000</v>
      </c>
      <c r="N226" s="157">
        <f>SUM(N16:N225)</f>
        <v>0</v>
      </c>
      <c r="O226" s="158">
        <f>SUM(O16:O225)</f>
        <v>0</v>
      </c>
      <c r="P226" s="159">
        <f>SUM(P17:P225)</f>
        <v>0</v>
      </c>
      <c r="Q226" s="158">
        <f>SUM(Q16:Q225)</f>
        <v>2995835</v>
      </c>
      <c r="R226" s="158">
        <f>SUM(R16:R225)</f>
        <v>2754631.1400000006</v>
      </c>
      <c r="S226" s="160"/>
      <c r="T226" s="158">
        <f>SUM(T16:T225)</f>
        <v>-241203.86000000004</v>
      </c>
      <c r="U226" s="103"/>
      <c r="V226" s="161">
        <f>SUM(V16:V225)</f>
        <v>2698075</v>
      </c>
      <c r="W226" s="161">
        <f>SUM(W16:W225)</f>
        <v>245000</v>
      </c>
      <c r="X226" s="161">
        <f>SUM(X16:X225)</f>
        <v>52760</v>
      </c>
      <c r="Y226" s="161">
        <f>SUM(Y16:Y225)</f>
        <v>0</v>
      </c>
      <c r="Z226" s="161">
        <f>SUM(Z16:Z225)</f>
        <v>0</v>
      </c>
      <c r="AA226" s="11"/>
      <c r="AB226" s="161" t="e">
        <f>SUM(AB16:AB225)</f>
        <v>#REF!</v>
      </c>
      <c r="AC226" s="161" t="e">
        <f>SUM(AC16:AC225)</f>
        <v>#REF!</v>
      </c>
      <c r="AD226" s="161" t="e">
        <f>SUM(AD16:AD225)</f>
        <v>#REF!</v>
      </c>
      <c r="AE226" s="11"/>
      <c r="AF226" s="161">
        <f>SUM(AF16:AF225)</f>
        <v>2698075</v>
      </c>
      <c r="AG226" s="161">
        <f>SUM(AG16:AG225)</f>
        <v>245000</v>
      </c>
      <c r="AH226" s="161">
        <f>SUM(AH16:AH225)</f>
        <v>52760</v>
      </c>
    </row>
    <row r="227" spans="1:36" ht="13" thickBot="1">
      <c r="A227" s="162"/>
      <c r="B227" s="162"/>
      <c r="C227" s="163"/>
      <c r="D227" s="164"/>
      <c r="E227" s="165" t="s">
        <v>350</v>
      </c>
      <c r="F227" s="166" t="e">
        <f>F226-E226</f>
        <v>#REF!</v>
      </c>
      <c r="G227" s="167"/>
      <c r="H227" s="167" t="s">
        <v>351</v>
      </c>
      <c r="I227" s="167">
        <f>I226+H226+G226</f>
        <v>6219624.7700000014</v>
      </c>
      <c r="J227" s="168"/>
      <c r="K227" s="167"/>
      <c r="L227" s="167" t="s">
        <v>352</v>
      </c>
      <c r="M227" s="158">
        <f>M226+L226</f>
        <v>2995835</v>
      </c>
      <c r="N227" s="167"/>
      <c r="O227" s="169"/>
      <c r="P227" s="167"/>
      <c r="Q227" s="167"/>
      <c r="R227" s="167"/>
      <c r="S227" s="167"/>
      <c r="T227" s="167"/>
      <c r="U227" s="167"/>
      <c r="V227" s="170"/>
      <c r="W227" s="170"/>
      <c r="X227" s="170"/>
      <c r="Y227" s="170"/>
      <c r="Z227" s="171"/>
      <c r="AA227" s="11"/>
      <c r="AB227" s="172"/>
      <c r="AC227" s="172"/>
      <c r="AD227" s="172"/>
      <c r="AE227" s="11"/>
      <c r="AF227" s="11"/>
      <c r="AG227" s="11"/>
      <c r="AH227" s="11"/>
    </row>
    <row r="228" spans="1:36" ht="13" thickBot="1">
      <c r="A228" s="162"/>
      <c r="B228" s="162"/>
      <c r="C228" s="163"/>
      <c r="E228" s="173"/>
      <c r="F228" s="167"/>
      <c r="G228" s="167"/>
      <c r="H228" s="167"/>
      <c r="I228" s="167"/>
      <c r="J228" s="167"/>
      <c r="K228" s="167"/>
      <c r="L228" s="167"/>
      <c r="M228" s="174"/>
      <c r="N228" s="167"/>
      <c r="O228" s="167"/>
      <c r="P228" s="167"/>
      <c r="Q228" s="167"/>
      <c r="R228" s="167"/>
      <c r="S228" s="167"/>
      <c r="T228" s="167"/>
      <c r="U228" s="167"/>
      <c r="V228" s="175" t="s">
        <v>353</v>
      </c>
      <c r="W228" s="170"/>
      <c r="X228" s="170"/>
      <c r="Y228" s="170"/>
      <c r="Z228" s="171"/>
      <c r="AA228" s="17" t="s">
        <v>354</v>
      </c>
      <c r="AB228" s="176">
        <v>-37028.89</v>
      </c>
      <c r="AC228" s="176"/>
      <c r="AD228" s="176">
        <f>-SUM(AB228)</f>
        <v>37028.89</v>
      </c>
      <c r="AE228" s="11"/>
      <c r="AF228" s="172"/>
      <c r="AG228" s="172"/>
      <c r="AH228" s="172"/>
    </row>
    <row r="229" spans="1:36" ht="17" thickTop="1" thickBot="1">
      <c r="E229" s="177"/>
      <c r="F229" s="178"/>
      <c r="G229" s="179"/>
      <c r="H229" s="180"/>
      <c r="I229" s="180"/>
      <c r="J229" s="17"/>
      <c r="K229" s="8"/>
      <c r="L229" s="181"/>
      <c r="M229" s="181"/>
      <c r="N229" s="11"/>
      <c r="O229" s="182"/>
      <c r="P229" s="170"/>
      <c r="Q229" s="170"/>
      <c r="R229" s="62"/>
      <c r="S229" s="62"/>
      <c r="T229" s="62"/>
      <c r="U229" s="8"/>
      <c r="V229" s="183"/>
      <c r="W229" s="184"/>
      <c r="X229" s="185"/>
      <c r="Y229" s="185"/>
      <c r="Z229" s="186"/>
      <c r="AA229" s="17" t="s">
        <v>355</v>
      </c>
      <c r="AB229" s="176">
        <v>-182506.558769464</v>
      </c>
      <c r="AC229" s="176"/>
      <c r="AD229" s="176">
        <f>-SUM(AB229)</f>
        <v>182506.558769464</v>
      </c>
      <c r="AE229" s="11"/>
      <c r="AF229" s="11"/>
      <c r="AG229" s="11"/>
      <c r="AH229" s="11"/>
    </row>
    <row r="230" spans="1:36" ht="17" thickBot="1">
      <c r="E230" s="177"/>
      <c r="F230" s="178"/>
      <c r="G230" s="179"/>
      <c r="H230" s="180"/>
      <c r="J230" s="41" t="e">
        <f>J226</f>
        <v>#REF!</v>
      </c>
      <c r="K230" s="180" t="s">
        <v>440</v>
      </c>
      <c r="L230" s="8"/>
      <c r="M230" s="188"/>
      <c r="N230" s="11"/>
      <c r="O230" s="45"/>
      <c r="P230" s="171"/>
      <c r="Q230" s="170"/>
      <c r="R230" s="62"/>
      <c r="S230" s="62"/>
      <c r="T230" s="62"/>
      <c r="U230" s="8"/>
      <c r="V230" s="189"/>
      <c r="W230" s="190"/>
      <c r="X230" s="191" t="s">
        <v>357</v>
      </c>
      <c r="Y230" s="191" t="s">
        <v>358</v>
      </c>
      <c r="Z230" s="190"/>
      <c r="AA230" s="192" t="s">
        <v>359</v>
      </c>
      <c r="AB230" s="193" t="e">
        <f>SUM(AB226:AB229)</f>
        <v>#REF!</v>
      </c>
      <c r="AC230" s="193" t="e">
        <f>AC226</f>
        <v>#REF!</v>
      </c>
      <c r="AD230" s="193" t="e">
        <f>SUM(AD226:AD229)</f>
        <v>#REF!</v>
      </c>
      <c r="AE230" s="193"/>
      <c r="AF230" s="193">
        <f>AF226</f>
        <v>2698075</v>
      </c>
      <c r="AG230" s="193">
        <f>AG226</f>
        <v>245000</v>
      </c>
      <c r="AH230" s="194">
        <f>AH226</f>
        <v>52760</v>
      </c>
      <c r="AJ230" s="11" t="e">
        <f>SUM(AJ17:AJ229)</f>
        <v>#REF!</v>
      </c>
    </row>
    <row r="231" spans="1:36" ht="15" thickBot="1">
      <c r="D231" s="195"/>
      <c r="E231" s="196"/>
      <c r="F231" s="178"/>
      <c r="G231" s="179"/>
      <c r="H231" s="197"/>
      <c r="J231" s="198" t="e">
        <f>SUM(#REF!)</f>
        <v>#REF!</v>
      </c>
      <c r="K231" s="199" t="s">
        <v>360</v>
      </c>
      <c r="L231" s="200"/>
      <c r="M231" s="182"/>
      <c r="N231" s="62"/>
      <c r="O231" s="45"/>
      <c r="P231" s="171"/>
      <c r="Q231" s="170"/>
      <c r="R231" s="62"/>
      <c r="S231" s="62"/>
      <c r="T231" s="62"/>
      <c r="U231" s="8"/>
      <c r="V231" s="201" t="s">
        <v>361</v>
      </c>
      <c r="W231" s="171" t="s">
        <v>362</v>
      </c>
      <c r="X231" s="171">
        <f>V226+W226+X226</f>
        <v>2995835</v>
      </c>
      <c r="Y231" s="171"/>
      <c r="Z231" s="202"/>
      <c r="AA231" s="203"/>
      <c r="AB231" s="11"/>
      <c r="AC231" s="11"/>
      <c r="AD231" s="11"/>
      <c r="AE231" s="11"/>
      <c r="AF231" s="11"/>
      <c r="AG231" s="11"/>
      <c r="AH231" s="11"/>
    </row>
    <row r="232" spans="1:36" ht="15" thickTop="1">
      <c r="D232" s="195"/>
      <c r="E232" s="177"/>
      <c r="F232" s="178"/>
      <c r="G232" s="179"/>
      <c r="H232" s="179" t="s">
        <v>363</v>
      </c>
      <c r="J232" s="49" t="e">
        <f>J231+J230</f>
        <v>#REF!</v>
      </c>
      <c r="K232" s="179" t="s">
        <v>364</v>
      </c>
      <c r="L232" s="200"/>
      <c r="M232" s="45"/>
      <c r="N232" s="171"/>
      <c r="O232" s="49"/>
      <c r="P232" s="171"/>
      <c r="Q232" s="170"/>
      <c r="R232" s="170"/>
      <c r="S232" s="170"/>
      <c r="T232" s="170"/>
      <c r="U232" s="8"/>
      <c r="V232" s="201"/>
      <c r="W232" s="171"/>
      <c r="X232" s="171"/>
      <c r="Y232" s="171"/>
      <c r="Z232" s="202"/>
      <c r="AA232" s="203"/>
      <c r="AB232" s="11"/>
      <c r="AC232" s="11"/>
      <c r="AD232" s="11" t="s">
        <v>349</v>
      </c>
      <c r="AE232" s="11"/>
      <c r="AF232" s="181" t="e">
        <f>SUM(AB230+AF230)</f>
        <v>#REF!</v>
      </c>
      <c r="AG232" s="181" t="e">
        <f>SUM(AC230+AG230)</f>
        <v>#REF!</v>
      </c>
      <c r="AH232" s="181" t="e">
        <f>SUM(AD230+AH230)</f>
        <v>#REF!</v>
      </c>
    </row>
    <row r="233" spans="1:36" ht="14">
      <c r="D233" s="195"/>
      <c r="E233" s="177"/>
      <c r="F233" s="178" t="e">
        <f>#REF!+F227</f>
        <v>#REF!</v>
      </c>
      <c r="G233" s="179"/>
      <c r="H233" s="179"/>
      <c r="J233" s="45"/>
      <c r="K233" s="179"/>
      <c r="L233" s="200"/>
      <c r="M233" s="171"/>
      <c r="N233" s="11"/>
      <c r="O233" s="170"/>
      <c r="P233" s="171"/>
      <c r="Q233" s="170"/>
      <c r="R233" s="170"/>
      <c r="S233" s="170"/>
      <c r="T233" s="170"/>
      <c r="U233" s="8"/>
      <c r="V233" s="201" t="s">
        <v>365</v>
      </c>
      <c r="W233" s="171" t="s">
        <v>366</v>
      </c>
      <c r="X233" s="171"/>
      <c r="Y233" s="171">
        <f>V226</f>
        <v>2698075</v>
      </c>
      <c r="Z233" s="202"/>
      <c r="AA233" s="11"/>
      <c r="AB233" s="206" t="s">
        <v>367</v>
      </c>
      <c r="AC233" s="11"/>
      <c r="AD233" s="11"/>
      <c r="AE233" s="11"/>
      <c r="AF233" s="181"/>
      <c r="AG233" s="181"/>
      <c r="AH233" s="181"/>
    </row>
    <row r="234" spans="1:36" ht="15" thickBot="1">
      <c r="D234" s="195" t="s">
        <v>368</v>
      </c>
      <c r="E234" s="177"/>
      <c r="F234" s="178"/>
      <c r="G234" s="179"/>
      <c r="H234" s="179"/>
      <c r="J234" s="207">
        <f>M227</f>
        <v>2995835</v>
      </c>
      <c r="K234" s="179" t="s">
        <v>439</v>
      </c>
      <c r="L234" s="208"/>
      <c r="M234" s="49"/>
      <c r="N234" s="11"/>
      <c r="O234" s="170"/>
      <c r="P234" s="171"/>
      <c r="Q234" s="170"/>
      <c r="R234" s="209"/>
      <c r="S234" s="170"/>
      <c r="T234" s="210"/>
      <c r="U234" s="8"/>
      <c r="V234" s="201"/>
      <c r="W234" s="171" t="s">
        <v>370</v>
      </c>
      <c r="X234" s="171"/>
      <c r="Y234" s="171">
        <f>Y226</f>
        <v>0</v>
      </c>
      <c r="Z234" s="202"/>
      <c r="AA234" s="11"/>
      <c r="AB234" s="11"/>
      <c r="AC234" s="11"/>
      <c r="AD234" s="11"/>
      <c r="AE234" s="11"/>
      <c r="AF234" s="211" t="s">
        <v>371</v>
      </c>
      <c r="AG234" s="212" t="e">
        <f>SUM(AF232:AH232)</f>
        <v>#REF!</v>
      </c>
      <c r="AH234" s="213"/>
    </row>
    <row r="235" spans="1:36" ht="16" thickTop="1" thickBot="1">
      <c r="D235" s="195"/>
      <c r="E235" s="177"/>
      <c r="F235" s="178"/>
      <c r="G235" s="179"/>
      <c r="H235" s="179"/>
      <c r="J235" s="49">
        <v>0</v>
      </c>
      <c r="K235" s="179"/>
      <c r="L235" s="200"/>
      <c r="M235" s="49"/>
      <c r="N235" s="11"/>
      <c r="O235" s="62"/>
      <c r="P235" s="11"/>
      <c r="Q235" s="170"/>
      <c r="R235" s="170"/>
      <c r="S235" s="170"/>
      <c r="T235" s="170"/>
      <c r="U235" s="8"/>
      <c r="V235" s="201"/>
      <c r="W235" s="171"/>
      <c r="X235" s="171"/>
      <c r="Y235" s="171"/>
      <c r="Z235" s="202"/>
      <c r="AA235" s="11"/>
      <c r="AB235" s="11"/>
      <c r="AC235" s="11"/>
      <c r="AD235" s="11"/>
      <c r="AE235" s="11"/>
    </row>
    <row r="236" spans="1:36" ht="15" thickBot="1">
      <c r="E236" s="177"/>
      <c r="F236" s="178"/>
      <c r="G236" s="179"/>
      <c r="H236" s="179"/>
      <c r="J236" s="214" t="e">
        <f>J230+J234</f>
        <v>#REF!</v>
      </c>
      <c r="K236" s="179" t="s">
        <v>438</v>
      </c>
      <c r="L236" s="200"/>
      <c r="M236" s="49"/>
      <c r="N236" s="11"/>
      <c r="O236" s="62"/>
      <c r="P236" s="11"/>
      <c r="Q236" s="170"/>
      <c r="R236" s="170"/>
      <c r="S236" s="170"/>
      <c r="T236" s="170"/>
      <c r="U236" s="8"/>
      <c r="V236" s="201" t="s">
        <v>373</v>
      </c>
      <c r="W236" s="171" t="s">
        <v>374</v>
      </c>
      <c r="X236" s="171"/>
      <c r="Y236" s="171">
        <f>W226</f>
        <v>245000</v>
      </c>
      <c r="Z236" s="202"/>
      <c r="AA236" s="11"/>
      <c r="AB236" s="11"/>
      <c r="AC236" s="11"/>
      <c r="AD236" s="11"/>
      <c r="AE236" s="11"/>
      <c r="AF236" s="215" t="s">
        <v>375</v>
      </c>
      <c r="AG236" s="11" t="e">
        <f>AG234-AH232</f>
        <v>#REF!</v>
      </c>
      <c r="AH236" s="11"/>
    </row>
    <row r="237" spans="1:36">
      <c r="E237" s="177"/>
      <c r="F237" s="178"/>
      <c r="G237" s="179"/>
      <c r="H237" s="179"/>
      <c r="J237" s="216"/>
      <c r="K237" s="179"/>
      <c r="L237" s="49"/>
      <c r="M237" s="217"/>
      <c r="N237" s="11"/>
      <c r="O237" s="62"/>
      <c r="P237" s="11"/>
      <c r="Q237" s="170"/>
      <c r="R237" s="170"/>
      <c r="S237" s="170"/>
      <c r="T237" s="170"/>
      <c r="U237" s="8"/>
      <c r="V237" s="218"/>
      <c r="W237" s="171" t="s">
        <v>376</v>
      </c>
      <c r="X237" s="171"/>
      <c r="Y237" s="171">
        <f>Z226</f>
        <v>0</v>
      </c>
      <c r="Z237" s="202"/>
      <c r="AA237" s="11"/>
      <c r="AB237" s="11"/>
      <c r="AC237" s="11"/>
      <c r="AD237" s="11"/>
      <c r="AE237" s="11"/>
      <c r="AF237" s="11"/>
      <c r="AG237" s="11"/>
      <c r="AH237" s="11"/>
    </row>
    <row r="238" spans="1:36">
      <c r="E238" s="177"/>
      <c r="F238" s="178"/>
      <c r="G238" s="179"/>
      <c r="H238" s="179"/>
      <c r="J238" s="219" t="e">
        <f>SUM(AB230:AH230)</f>
        <v>#REF!</v>
      </c>
      <c r="K238" s="179" t="s">
        <v>377</v>
      </c>
      <c r="L238" s="220"/>
      <c r="M238" s="216"/>
      <c r="N238" s="11"/>
      <c r="O238" s="62"/>
      <c r="P238" s="11"/>
      <c r="Q238" s="170"/>
      <c r="R238" s="170"/>
      <c r="S238" s="170"/>
      <c r="T238" s="170"/>
      <c r="U238" s="8"/>
      <c r="V238" s="218"/>
      <c r="W238" s="171"/>
      <c r="X238" s="171"/>
      <c r="Y238" s="171"/>
      <c r="Z238" s="202"/>
      <c r="AA238" s="11"/>
      <c r="AB238" s="11"/>
      <c r="AC238" s="11"/>
      <c r="AD238" s="11"/>
      <c r="AE238" s="11"/>
      <c r="AF238" s="11"/>
      <c r="AG238" s="11"/>
      <c r="AH238" s="11"/>
    </row>
    <row r="239" spans="1:36" ht="13" thickBot="1">
      <c r="E239" s="177"/>
      <c r="F239" s="178"/>
      <c r="G239" s="179"/>
      <c r="H239" s="179"/>
      <c r="J239" s="8"/>
      <c r="K239" s="179" t="s">
        <v>364</v>
      </c>
      <c r="L239" s="221"/>
      <c r="M239" s="222"/>
      <c r="N239" s="11"/>
      <c r="O239" s="62"/>
      <c r="P239" s="11"/>
      <c r="Q239" s="170"/>
      <c r="R239" s="170"/>
      <c r="S239" s="170"/>
      <c r="T239" s="170"/>
      <c r="U239" s="8"/>
      <c r="V239" s="201" t="s">
        <v>378</v>
      </c>
      <c r="W239" s="190" t="s">
        <v>379</v>
      </c>
      <c r="X239" s="190"/>
      <c r="Y239" s="190">
        <f>X226</f>
        <v>52760</v>
      </c>
      <c r="Z239" s="223"/>
      <c r="AA239" s="11"/>
      <c r="AB239" s="11"/>
      <c r="AC239" s="11"/>
      <c r="AD239" s="11"/>
      <c r="AE239" s="11"/>
      <c r="AF239" s="11"/>
      <c r="AG239" s="11"/>
      <c r="AH239" s="11"/>
    </row>
    <row r="240" spans="1:36" ht="15" thickBot="1">
      <c r="E240" s="177"/>
      <c r="F240" s="178"/>
      <c r="G240" s="179"/>
      <c r="H240" s="179"/>
      <c r="J240" s="224"/>
      <c r="K240" s="179" t="s">
        <v>380</v>
      </c>
      <c r="L240" s="8"/>
      <c r="M240" s="8"/>
      <c r="N240" s="11"/>
      <c r="O240" s="62"/>
      <c r="P240" s="11"/>
      <c r="Q240" s="62"/>
      <c r="R240" s="62"/>
      <c r="S240" s="62"/>
      <c r="T240" s="62"/>
      <c r="U240" s="8"/>
      <c r="V240" s="225"/>
      <c r="W240" s="171"/>
      <c r="X240" s="45">
        <f>SUM(X231:X239)</f>
        <v>2995835</v>
      </c>
      <c r="Y240" s="45">
        <f>SUM(Y231:Y239)</f>
        <v>2995835</v>
      </c>
      <c r="Z240" s="202"/>
      <c r="AA240" s="11"/>
      <c r="AB240" s="11"/>
      <c r="AC240" s="11"/>
      <c r="AD240" s="11"/>
      <c r="AE240" s="11"/>
      <c r="AF240" s="11"/>
      <c r="AG240" s="11"/>
      <c r="AH240" s="11"/>
    </row>
    <row r="241" spans="5:34">
      <c r="E241" s="177"/>
      <c r="F241" s="178"/>
      <c r="G241" s="179"/>
      <c r="H241" s="179"/>
      <c r="I241" s="179"/>
      <c r="J241" s="8"/>
      <c r="K241" s="8"/>
      <c r="L241" s="8"/>
      <c r="M241" s="8"/>
      <c r="N241" s="11"/>
      <c r="O241" s="62"/>
      <c r="P241" s="11"/>
      <c r="Q241" s="62"/>
      <c r="R241" s="62"/>
      <c r="S241" s="62"/>
      <c r="T241" s="62"/>
      <c r="U241" s="8"/>
      <c r="V241" s="225"/>
      <c r="W241" s="171"/>
      <c r="X241" s="171"/>
      <c r="Y241" s="171"/>
      <c r="Z241" s="202"/>
      <c r="AA241" s="11"/>
      <c r="AB241" s="11"/>
      <c r="AC241" s="11"/>
      <c r="AD241" s="11"/>
      <c r="AE241" s="11"/>
      <c r="AF241" s="11"/>
      <c r="AG241" s="11"/>
      <c r="AH241" s="11"/>
    </row>
    <row r="242" spans="5:34" ht="13" thickBot="1">
      <c r="E242" s="177"/>
      <c r="F242" s="178"/>
      <c r="G242" s="179"/>
      <c r="H242" s="179"/>
      <c r="I242" s="179"/>
      <c r="J242" s="8"/>
      <c r="K242" s="8"/>
      <c r="L242" s="8"/>
      <c r="M242" s="8"/>
      <c r="N242" s="11"/>
      <c r="O242" s="62"/>
      <c r="P242" s="11"/>
      <c r="Q242" s="62"/>
      <c r="R242" s="62"/>
      <c r="S242" s="62"/>
      <c r="T242" s="62"/>
      <c r="U242" s="8"/>
      <c r="V242" s="227"/>
      <c r="W242" s="228"/>
      <c r="X242" s="228"/>
      <c r="Y242" s="228"/>
      <c r="Z242" s="229"/>
      <c r="AA242" s="11"/>
      <c r="AB242" s="11"/>
      <c r="AC242" s="11"/>
      <c r="AD242" s="11"/>
      <c r="AE242" s="11"/>
      <c r="AF242" s="11"/>
      <c r="AG242" s="11"/>
      <c r="AH242" s="11"/>
    </row>
    <row r="243" spans="5:34">
      <c r="E243" s="177"/>
      <c r="F243" s="178"/>
      <c r="G243" s="179"/>
      <c r="H243" s="179"/>
      <c r="I243" s="179"/>
      <c r="J243" s="8"/>
      <c r="K243" s="8"/>
      <c r="L243" s="8"/>
      <c r="M243" s="8"/>
      <c r="N243" s="11"/>
      <c r="O243" s="62"/>
      <c r="P243" s="11"/>
      <c r="Q243" s="62"/>
      <c r="R243" s="62"/>
      <c r="S243" s="62"/>
      <c r="T243" s="62"/>
      <c r="U243" s="8"/>
      <c r="V243" s="171"/>
      <c r="W243" s="171"/>
      <c r="X243" s="171"/>
      <c r="Y243" s="171"/>
      <c r="Z243" s="171"/>
      <c r="AA243" s="11"/>
      <c r="AB243" s="11"/>
      <c r="AC243" s="11"/>
      <c r="AD243" s="11"/>
      <c r="AE243" s="11"/>
      <c r="AF243" s="11"/>
      <c r="AG243" s="11"/>
      <c r="AH243" s="11"/>
    </row>
    <row r="244" spans="5:34">
      <c r="E244" s="177"/>
      <c r="F244" s="178"/>
      <c r="G244" s="179"/>
      <c r="H244" s="179"/>
      <c r="I244" s="179"/>
      <c r="J244" s="8"/>
      <c r="K244" s="8"/>
      <c r="L244" s="8"/>
      <c r="M244" s="8"/>
      <c r="N244" s="11"/>
      <c r="O244" s="62"/>
      <c r="P244" s="11"/>
      <c r="Q244" s="62"/>
      <c r="R244" s="62"/>
      <c r="S244" s="62"/>
      <c r="T244" s="62"/>
      <c r="U244" s="8"/>
      <c r="AA244" s="11"/>
      <c r="AB244" s="11"/>
      <c r="AC244" s="11"/>
      <c r="AD244" s="11"/>
      <c r="AE244" s="11"/>
      <c r="AF244" s="11"/>
      <c r="AG244" s="11"/>
      <c r="AH244" s="11"/>
    </row>
    <row r="245" spans="5:34">
      <c r="E245" s="177"/>
      <c r="F245" s="178"/>
      <c r="G245" s="179"/>
      <c r="H245" s="179"/>
      <c r="I245" s="179"/>
      <c r="J245" s="8"/>
      <c r="K245" s="8"/>
      <c r="L245" s="8"/>
      <c r="M245" s="8"/>
      <c r="N245" s="11"/>
      <c r="O245" s="62"/>
      <c r="P245" s="11"/>
      <c r="Q245" s="62"/>
      <c r="R245" s="62"/>
      <c r="S245" s="62"/>
      <c r="T245" s="62"/>
      <c r="U245" s="8"/>
      <c r="AA245" s="11"/>
      <c r="AB245" s="11"/>
      <c r="AC245" s="11"/>
      <c r="AD245" s="11"/>
      <c r="AE245" s="11"/>
      <c r="AF245" s="11"/>
      <c r="AG245" s="11"/>
      <c r="AH245" s="11"/>
    </row>
    <row r="246" spans="5:34">
      <c r="E246" s="177"/>
      <c r="F246" s="178"/>
      <c r="G246" s="179"/>
      <c r="H246" s="179"/>
      <c r="I246" s="179"/>
      <c r="J246" s="8"/>
      <c r="K246" s="8"/>
      <c r="L246" s="8"/>
      <c r="M246" s="8"/>
      <c r="N246" s="11"/>
      <c r="O246" s="62"/>
      <c r="P246" s="11"/>
      <c r="Q246" s="62"/>
      <c r="R246" s="62"/>
      <c r="S246" s="62"/>
      <c r="T246" s="62"/>
      <c r="U246" s="8"/>
      <c r="AA246" s="11"/>
      <c r="AB246" s="11"/>
      <c r="AC246" s="11"/>
      <c r="AD246" s="11"/>
      <c r="AE246" s="11"/>
      <c r="AF246" s="11"/>
      <c r="AG246" s="11"/>
      <c r="AH246" s="11"/>
    </row>
    <row r="247" spans="5:34">
      <c r="E247" s="177"/>
      <c r="F247" s="178"/>
      <c r="G247" s="179"/>
      <c r="H247" s="179"/>
      <c r="I247" s="179"/>
      <c r="J247" s="8"/>
      <c r="K247" s="8"/>
      <c r="L247" s="8"/>
      <c r="M247" s="8"/>
      <c r="N247" s="11"/>
      <c r="O247" s="62"/>
      <c r="P247" s="11"/>
      <c r="Q247" s="62"/>
      <c r="R247" s="62"/>
      <c r="S247" s="62"/>
      <c r="T247" s="62"/>
      <c r="U247" s="8"/>
      <c r="AA247" s="11"/>
      <c r="AB247" s="11"/>
      <c r="AC247" s="11"/>
      <c r="AD247" s="11"/>
      <c r="AE247" s="11"/>
      <c r="AF247" s="11"/>
      <c r="AG247" s="11"/>
      <c r="AH247" s="11"/>
    </row>
    <row r="248" spans="5:34">
      <c r="E248" s="177"/>
      <c r="F248" s="178"/>
      <c r="G248" s="179"/>
      <c r="H248" s="179"/>
      <c r="I248" s="179"/>
      <c r="J248" s="8"/>
      <c r="K248" s="8"/>
      <c r="L248" s="8"/>
      <c r="M248" s="8"/>
      <c r="N248" s="11"/>
      <c r="O248" s="62"/>
      <c r="P248" s="11"/>
      <c r="Q248" s="62"/>
      <c r="R248" s="62"/>
      <c r="S248" s="62"/>
      <c r="T248" s="62"/>
      <c r="U248" s="8"/>
      <c r="AA248" s="11"/>
      <c r="AB248" s="11"/>
      <c r="AC248" s="11"/>
      <c r="AD248" s="11"/>
      <c r="AE248" s="11"/>
      <c r="AF248" s="11"/>
      <c r="AG248" s="11"/>
      <c r="AH248" s="11"/>
    </row>
    <row r="249" spans="5:34">
      <c r="E249" s="177"/>
      <c r="F249" s="178"/>
      <c r="G249" s="179"/>
      <c r="H249" s="179"/>
      <c r="I249" s="179"/>
      <c r="J249" s="8"/>
      <c r="K249" s="8"/>
      <c r="L249" s="8"/>
      <c r="M249" s="8"/>
      <c r="N249" s="11"/>
      <c r="O249" s="62"/>
      <c r="P249" s="11"/>
      <c r="Q249" s="62"/>
      <c r="R249" s="62"/>
      <c r="S249" s="62"/>
      <c r="T249" s="62"/>
      <c r="U249" s="8"/>
      <c r="AA249" s="11"/>
      <c r="AB249" s="11"/>
      <c r="AC249" s="11"/>
      <c r="AD249" s="11"/>
      <c r="AE249" s="11"/>
      <c r="AF249" s="11"/>
      <c r="AG249" s="11"/>
      <c r="AH249" s="11"/>
    </row>
  </sheetData>
  <pageMargins left="0.7" right="0.7" top="0.75" bottom="0.75" header="0.3" footer="0.3"/>
  <pageSetup orientation="portrait" horizontalDpi="1200" verticalDpi="120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252"/>
  <sheetViews>
    <sheetView topLeftCell="A64" zoomScale="80" zoomScaleNormal="80" zoomScalePageLayoutView="80" workbookViewId="0">
      <pane xSplit="4" topLeftCell="E1" activePane="topRight" state="frozen"/>
      <selection activeCell="A10" sqref="A10"/>
      <selection pane="topRight" activeCell="T69" sqref="T69"/>
    </sheetView>
  </sheetViews>
  <sheetFormatPr baseColWidth="10" defaultColWidth="9.19921875" defaultRowHeight="12" outlineLevelCol="1" x14ac:dyDescent="0"/>
  <cols>
    <col min="1" max="1" width="9.796875" style="1" customWidth="1" outlineLevel="1"/>
    <col min="2" max="2" width="8.3984375" style="1" bestFit="1" customWidth="1" outlineLevel="1"/>
    <col min="3" max="3" width="11.19921875" style="2" bestFit="1" customWidth="1" outlineLevel="1"/>
    <col min="4" max="4" width="32.19921875" style="3" customWidth="1"/>
    <col min="5" max="5" width="17.19921875" style="4" bestFit="1" customWidth="1"/>
    <col min="6" max="6" width="17" style="16" bestFit="1" customWidth="1"/>
    <col min="7" max="8" width="15.3984375" style="43" hidden="1" customWidth="1"/>
    <col min="9" max="9" width="15.3984375" style="43" customWidth="1"/>
    <col min="10" max="10" width="17" style="14" bestFit="1" customWidth="1"/>
    <col min="11" max="11" width="3" style="14" customWidth="1"/>
    <col min="12" max="12" width="15.19921875" style="14" customWidth="1"/>
    <col min="13" max="13" width="16.3984375" style="14" bestFit="1" customWidth="1"/>
    <col min="14" max="14" width="1.796875" customWidth="1"/>
    <col min="15" max="15" width="7.3984375" style="9" customWidth="1"/>
    <col min="16" max="16" width="1.796875" customWidth="1"/>
    <col min="17" max="19" width="15.19921875" style="9" customWidth="1"/>
    <col min="20" max="20" width="18.19921875" style="9" customWidth="1"/>
    <col min="21" max="21" width="1.796875" style="9" customWidth="1"/>
    <col min="22" max="22" width="15.19921875" style="9" customWidth="1"/>
    <col min="23" max="23" width="1.796875" style="14" customWidth="1"/>
    <col min="24" max="28" width="15.19921875" style="11" customWidth="1"/>
    <col min="29" max="29" width="15.19921875" customWidth="1"/>
    <col min="30" max="31" width="15.19921875" style="12" customWidth="1"/>
    <col min="32" max="32" width="15.796875" style="12" customWidth="1"/>
    <col min="33" max="33" width="2.19921875" style="12" customWidth="1"/>
    <col min="34" max="35" width="16.3984375" style="12" bestFit="1" customWidth="1"/>
    <col min="36" max="36" width="14.19921875" style="12" customWidth="1"/>
    <col min="38" max="38" width="14.796875" bestFit="1" customWidth="1"/>
  </cols>
  <sheetData>
    <row r="1" spans="1:36">
      <c r="D1" s="3" t="s">
        <v>0</v>
      </c>
      <c r="F1" s="5"/>
      <c r="G1" s="6"/>
      <c r="H1" s="7"/>
      <c r="I1" s="7"/>
      <c r="J1" s="8"/>
      <c r="K1" s="8"/>
      <c r="L1" s="8"/>
      <c r="M1" s="8"/>
      <c r="N1" s="8"/>
      <c r="W1" s="10"/>
    </row>
    <row r="2" spans="1:36">
      <c r="D2" s="3" t="s">
        <v>1</v>
      </c>
      <c r="F2" s="5"/>
      <c r="G2" s="6"/>
      <c r="H2" s="7"/>
      <c r="I2" s="7"/>
      <c r="J2" s="8"/>
      <c r="K2" s="8"/>
      <c r="L2" s="8"/>
      <c r="M2" s="8"/>
      <c r="N2" s="8"/>
      <c r="W2" s="10"/>
    </row>
    <row r="3" spans="1:36">
      <c r="D3" s="3" t="s">
        <v>389</v>
      </c>
      <c r="F3" s="5"/>
      <c r="G3" s="1"/>
      <c r="H3" s="13"/>
      <c r="I3" s="13"/>
      <c r="J3" s="8"/>
      <c r="K3" s="8"/>
      <c r="L3" s="8"/>
      <c r="M3" s="8"/>
      <c r="N3" s="8"/>
    </row>
    <row r="4" spans="1:36">
      <c r="D4" s="15"/>
      <c r="G4" s="17"/>
      <c r="H4" s="13"/>
      <c r="I4" s="13"/>
      <c r="J4" s="8"/>
      <c r="K4" s="8"/>
      <c r="L4" s="8"/>
      <c r="M4" s="8"/>
      <c r="N4" s="8"/>
    </row>
    <row r="5" spans="1:36" ht="13" thickBot="1">
      <c r="D5" s="15"/>
      <c r="G5" s="18"/>
      <c r="H5" s="19"/>
      <c r="I5" s="19"/>
      <c r="J5" s="8"/>
      <c r="K5" s="8"/>
      <c r="L5" s="8"/>
      <c r="M5" s="8"/>
      <c r="N5" s="8"/>
    </row>
    <row r="6" spans="1:36">
      <c r="B6" s="20"/>
      <c r="C6" s="21"/>
      <c r="D6" s="22" t="s">
        <v>3</v>
      </c>
      <c r="E6" s="23" t="s">
        <v>4</v>
      </c>
      <c r="G6" s="18"/>
      <c r="H6" s="19"/>
      <c r="I6" s="19"/>
      <c r="J6" s="8"/>
      <c r="K6" s="8"/>
      <c r="L6" s="8"/>
      <c r="M6" s="8"/>
      <c r="N6" s="8"/>
      <c r="O6" s="16"/>
      <c r="P6" s="1"/>
      <c r="Q6" s="16"/>
      <c r="R6" s="16"/>
      <c r="S6" s="16"/>
      <c r="T6" s="16"/>
      <c r="U6" s="16"/>
      <c r="V6" s="16"/>
    </row>
    <row r="7" spans="1:36">
      <c r="B7" s="24"/>
      <c r="C7" s="25"/>
      <c r="D7" s="26" t="s">
        <v>5</v>
      </c>
      <c r="E7" s="27" t="s">
        <v>6</v>
      </c>
      <c r="F7" s="5"/>
      <c r="G7" s="18"/>
      <c r="H7" s="19"/>
      <c r="I7" s="19"/>
      <c r="J7" s="28"/>
      <c r="K7" s="29"/>
      <c r="L7" s="30"/>
      <c r="M7" s="30"/>
      <c r="W7" s="29"/>
    </row>
    <row r="8" spans="1:36">
      <c r="B8" s="24"/>
      <c r="C8" s="31"/>
      <c r="D8" s="32" t="s">
        <v>7</v>
      </c>
      <c r="E8" s="33" t="s">
        <v>8</v>
      </c>
      <c r="F8" s="5"/>
      <c r="G8" s="17"/>
      <c r="H8" s="19"/>
      <c r="I8" s="19"/>
      <c r="J8" s="34"/>
      <c r="K8" s="29"/>
      <c r="L8" s="35"/>
      <c r="M8" s="35"/>
      <c r="N8" s="36"/>
      <c r="O8" s="37"/>
      <c r="P8" s="36"/>
      <c r="Q8" s="37"/>
      <c r="R8" s="37"/>
      <c r="S8" s="37"/>
      <c r="T8" s="37"/>
      <c r="U8" s="37"/>
      <c r="V8" s="37"/>
      <c r="W8" s="29"/>
    </row>
    <row r="9" spans="1:36">
      <c r="B9" s="24"/>
      <c r="C9" s="25"/>
      <c r="D9" s="26" t="s">
        <v>9</v>
      </c>
      <c r="E9" s="38" t="s">
        <v>10</v>
      </c>
      <c r="F9" s="5"/>
      <c r="G9" s="18"/>
      <c r="H9" s="39"/>
      <c r="I9" s="39"/>
      <c r="J9" s="40"/>
      <c r="L9" s="41"/>
      <c r="M9" s="41"/>
      <c r="N9" s="36"/>
      <c r="O9" s="37"/>
      <c r="P9" s="36"/>
      <c r="Q9" s="37"/>
      <c r="R9" s="37"/>
      <c r="S9" s="37"/>
      <c r="T9" s="37"/>
      <c r="U9" s="37"/>
      <c r="V9" s="37"/>
    </row>
    <row r="10" spans="1:36">
      <c r="B10" s="24"/>
      <c r="C10" s="25"/>
      <c r="D10" s="26" t="s">
        <v>11</v>
      </c>
      <c r="E10" s="42" t="s">
        <v>12</v>
      </c>
      <c r="F10" s="5"/>
      <c r="J10" s="44"/>
      <c r="L10" s="45"/>
      <c r="M10" s="44"/>
      <c r="N10" s="36"/>
      <c r="O10" s="37"/>
      <c r="P10" s="36"/>
      <c r="Q10" s="37"/>
      <c r="R10" s="37"/>
      <c r="S10" s="37"/>
      <c r="T10" s="37"/>
      <c r="U10" s="37"/>
      <c r="V10" s="37"/>
    </row>
    <row r="11" spans="1:36">
      <c r="B11" s="24"/>
      <c r="C11" s="25"/>
      <c r="D11" s="26" t="s">
        <v>13</v>
      </c>
      <c r="E11" s="46" t="s">
        <v>14</v>
      </c>
      <c r="F11" s="5"/>
      <c r="G11" s="47"/>
      <c r="H11" s="48"/>
      <c r="I11" s="48"/>
      <c r="J11" s="44"/>
      <c r="L11" s="49"/>
      <c r="M11" s="49"/>
      <c r="N11" s="36"/>
      <c r="O11" s="37"/>
      <c r="P11" s="36"/>
      <c r="Q11" s="37"/>
      <c r="R11" s="37"/>
      <c r="S11" s="37"/>
      <c r="T11" s="37"/>
      <c r="U11" s="37"/>
      <c r="V11" s="37"/>
    </row>
    <row r="12" spans="1:36" ht="13" thickBot="1">
      <c r="B12" s="50"/>
      <c r="C12" s="51"/>
      <c r="D12" s="52" t="s">
        <v>15</v>
      </c>
      <c r="E12" s="53" t="s">
        <v>16</v>
      </c>
      <c r="F12" s="5"/>
      <c r="G12" s="47"/>
      <c r="H12" s="54"/>
      <c r="I12" s="54"/>
      <c r="J12" s="44"/>
    </row>
    <row r="13" spans="1:36" ht="13" thickBot="1">
      <c r="A13" s="16"/>
      <c r="B13" s="16"/>
      <c r="C13" s="55"/>
      <c r="D13" s="56"/>
      <c r="E13" s="57"/>
      <c r="G13" s="58"/>
      <c r="H13" s="59"/>
      <c r="I13" s="59"/>
      <c r="J13" s="60"/>
      <c r="K13" s="60"/>
      <c r="L13" s="60"/>
      <c r="M13" s="61"/>
      <c r="N13" s="9"/>
      <c r="P13" s="9"/>
      <c r="W13" s="60"/>
      <c r="X13" s="62"/>
      <c r="Y13" s="62"/>
      <c r="Z13" s="62"/>
      <c r="AA13" s="62"/>
    </row>
    <row r="14" spans="1:36" ht="13" thickBot="1">
      <c r="D14" s="63"/>
      <c r="E14" s="64" t="s">
        <v>390</v>
      </c>
      <c r="F14" s="65" t="s">
        <v>391</v>
      </c>
      <c r="G14" s="66"/>
      <c r="H14" s="66"/>
      <c r="I14" s="66"/>
      <c r="J14" s="65" t="s">
        <v>392</v>
      </c>
      <c r="K14" s="67"/>
      <c r="L14" s="65" t="s">
        <v>392</v>
      </c>
      <c r="M14" s="65" t="s">
        <v>392</v>
      </c>
      <c r="N14" s="68"/>
      <c r="O14" s="66"/>
      <c r="P14" s="68"/>
      <c r="Q14" s="69"/>
      <c r="R14" s="69"/>
      <c r="S14" s="69"/>
      <c r="T14" s="66"/>
      <c r="U14" s="70"/>
      <c r="V14" s="66"/>
      <c r="W14" s="68"/>
      <c r="X14" s="66"/>
      <c r="Y14" s="66"/>
      <c r="Z14" s="71"/>
      <c r="AA14" s="71"/>
      <c r="AB14" s="71"/>
      <c r="AE14" s="72" t="s">
        <v>20</v>
      </c>
      <c r="AI14" s="73" t="s">
        <v>21</v>
      </c>
    </row>
    <row r="15" spans="1:36" ht="13" thickBot="1">
      <c r="A15" s="74" t="s">
        <v>22</v>
      </c>
      <c r="B15" s="74" t="s">
        <v>23</v>
      </c>
      <c r="C15" s="75" t="s">
        <v>24</v>
      </c>
      <c r="D15" s="75" t="s">
        <v>25</v>
      </c>
      <c r="E15" s="76" t="s">
        <v>26</v>
      </c>
      <c r="F15" s="77" t="s">
        <v>27</v>
      </c>
      <c r="G15" s="78" t="s">
        <v>28</v>
      </c>
      <c r="H15" s="79" t="s">
        <v>29</v>
      </c>
      <c r="I15" s="80" t="s">
        <v>392</v>
      </c>
      <c r="J15" s="81" t="s">
        <v>30</v>
      </c>
      <c r="K15" s="68"/>
      <c r="L15" s="82" t="s">
        <v>31</v>
      </c>
      <c r="M15" s="83" t="s">
        <v>32</v>
      </c>
      <c r="N15" s="84"/>
      <c r="O15" s="85" t="s">
        <v>33</v>
      </c>
      <c r="P15" s="84"/>
      <c r="Q15" s="81" t="s">
        <v>393</v>
      </c>
      <c r="R15" s="81" t="s">
        <v>34</v>
      </c>
      <c r="S15" s="81" t="s">
        <v>35</v>
      </c>
      <c r="T15" s="280" t="s">
        <v>394</v>
      </c>
      <c r="U15" s="87"/>
      <c r="V15" s="88" t="s">
        <v>37</v>
      </c>
      <c r="W15" s="68"/>
      <c r="X15" s="89" t="s">
        <v>38</v>
      </c>
      <c r="Y15" s="90" t="s">
        <v>39</v>
      </c>
      <c r="Z15" s="89" t="s">
        <v>40</v>
      </c>
      <c r="AA15" s="89" t="s">
        <v>41</v>
      </c>
      <c r="AB15" s="91" t="s">
        <v>42</v>
      </c>
      <c r="AD15" s="92" t="s">
        <v>43</v>
      </c>
      <c r="AE15" s="93" t="s">
        <v>44</v>
      </c>
      <c r="AF15" s="93" t="s">
        <v>45</v>
      </c>
      <c r="AH15" s="92" t="s">
        <v>43</v>
      </c>
      <c r="AI15" s="93" t="s">
        <v>44</v>
      </c>
      <c r="AJ15" s="93" t="s">
        <v>45</v>
      </c>
    </row>
    <row r="16" spans="1:36">
      <c r="A16" s="94" t="s">
        <v>46</v>
      </c>
      <c r="B16" s="95" t="s">
        <v>46</v>
      </c>
      <c r="C16" s="96"/>
      <c r="D16" s="97" t="s">
        <v>48</v>
      </c>
      <c r="E16" s="98"/>
      <c r="F16" s="99" t="e">
        <f>VLOOKUP(D16,#REF!,19,FALSE)</f>
        <v>#REF!</v>
      </c>
      <c r="G16" s="100"/>
      <c r="H16" s="100"/>
      <c r="I16" s="101"/>
      <c r="J16" s="102" t="e">
        <f t="shared" ref="J16:J85" si="0">SUM(E16:I16)</f>
        <v>#REF!</v>
      </c>
      <c r="K16" s="103"/>
      <c r="L16" s="104"/>
      <c r="M16" s="105"/>
      <c r="N16" s="103">
        <v>0</v>
      </c>
      <c r="O16" s="106"/>
      <c r="P16" s="103">
        <v>0</v>
      </c>
      <c r="Q16" s="107">
        <f t="shared" ref="Q16:Q145" si="1">L16+M16</f>
        <v>0</v>
      </c>
      <c r="R16" s="107"/>
      <c r="S16" s="107"/>
      <c r="T16" s="108">
        <v>0</v>
      </c>
      <c r="U16" s="109"/>
      <c r="V16" s="110">
        <f t="shared" ref="V16:V80" si="2">IF(T16="","",T16-Q16)</f>
        <v>0</v>
      </c>
      <c r="W16" s="111"/>
      <c r="X16" s="112">
        <f t="shared" ref="X16:X86" si="3">IF(B16="D",Q16,0)</f>
        <v>0</v>
      </c>
      <c r="Y16" s="112">
        <f t="shared" ref="Y16:Y86" si="4">IF(B16="M",Q16,0)</f>
        <v>0</v>
      </c>
      <c r="Z16" s="113">
        <f t="shared" ref="Z16:Z86" si="5">IF(B16="V",Q16,0)</f>
        <v>0</v>
      </c>
      <c r="AA16" s="113">
        <v>0</v>
      </c>
      <c r="AB16" s="114">
        <v>0</v>
      </c>
      <c r="AC16" s="11">
        <f t="shared" ref="AC16:AC86" si="6">(L16+M16)-(X16+Y16+Z16+AA16+AB16)</f>
        <v>0</v>
      </c>
      <c r="AD16" s="115">
        <f t="shared" ref="AD16:AD85" si="7">IF(B16="D",J16,0)</f>
        <v>0</v>
      </c>
      <c r="AE16" s="115" t="e">
        <f t="shared" ref="AE16:AE85" si="8">IF(B16="M",J16,0)</f>
        <v>#REF!</v>
      </c>
      <c r="AF16" s="115">
        <f t="shared" ref="AF16:AF85" si="9">IF(B16="V",J16,0)</f>
        <v>0</v>
      </c>
      <c r="AG16" s="11"/>
      <c r="AH16" s="115">
        <f t="shared" ref="AH16:AH86" si="10">IF(B16="D",Q16,0)</f>
        <v>0</v>
      </c>
      <c r="AI16" s="115">
        <f t="shared" ref="AI16:AI86" si="11">IF(B16="M",Q16,0)</f>
        <v>0</v>
      </c>
      <c r="AJ16" s="115">
        <f t="shared" ref="AJ16:AJ86" si="12">IF(B16="V",Q16,0)</f>
        <v>0</v>
      </c>
    </row>
    <row r="17" spans="1:38">
      <c r="A17" s="116" t="s">
        <v>46</v>
      </c>
      <c r="B17" s="116" t="s">
        <v>49</v>
      </c>
      <c r="C17" s="117" t="s">
        <v>50</v>
      </c>
      <c r="D17" s="118" t="s">
        <v>51</v>
      </c>
      <c r="E17" s="98"/>
      <c r="F17" s="99" t="e">
        <f>VLOOKUP(D17,#REF!,19,FALSE)</f>
        <v>#REF!</v>
      </c>
      <c r="G17" s="100"/>
      <c r="H17" s="100"/>
      <c r="I17" s="101"/>
      <c r="J17" s="102" t="e">
        <f t="shared" si="0"/>
        <v>#REF!</v>
      </c>
      <c r="K17" s="103"/>
      <c r="L17" s="104"/>
      <c r="M17" s="105">
        <v>10000</v>
      </c>
      <c r="N17" s="103">
        <v>0</v>
      </c>
      <c r="O17" s="106"/>
      <c r="P17" s="103">
        <v>0</v>
      </c>
      <c r="Q17" s="107">
        <f t="shared" si="1"/>
        <v>10000</v>
      </c>
      <c r="R17" s="107"/>
      <c r="S17" s="107"/>
      <c r="T17" s="108">
        <v>8871.09</v>
      </c>
      <c r="U17" s="119"/>
      <c r="V17" s="110">
        <f t="shared" si="2"/>
        <v>-1128.9099999999999</v>
      </c>
      <c r="W17" s="103"/>
      <c r="X17" s="112">
        <f t="shared" si="3"/>
        <v>10000</v>
      </c>
      <c r="Y17" s="112">
        <f t="shared" si="4"/>
        <v>0</v>
      </c>
      <c r="Z17" s="113">
        <f t="shared" si="5"/>
        <v>0</v>
      </c>
      <c r="AA17" s="113">
        <v>0</v>
      </c>
      <c r="AB17" s="114">
        <v>0</v>
      </c>
      <c r="AC17" s="11">
        <f t="shared" si="6"/>
        <v>0</v>
      </c>
      <c r="AD17" s="115" t="e">
        <f t="shared" si="7"/>
        <v>#REF!</v>
      </c>
      <c r="AE17" s="115">
        <f t="shared" si="8"/>
        <v>0</v>
      </c>
      <c r="AF17" s="115">
        <f t="shared" si="9"/>
        <v>0</v>
      </c>
      <c r="AG17" s="11"/>
      <c r="AH17" s="115">
        <f t="shared" si="10"/>
        <v>10000</v>
      </c>
      <c r="AI17" s="115">
        <f t="shared" si="11"/>
        <v>0</v>
      </c>
      <c r="AJ17" s="115">
        <f t="shared" si="12"/>
        <v>0</v>
      </c>
      <c r="AL17" s="11" t="e">
        <f>SUM(AD17:AJ17)</f>
        <v>#REF!</v>
      </c>
    </row>
    <row r="18" spans="1:38">
      <c r="A18" s="116" t="s">
        <v>46</v>
      </c>
      <c r="B18" s="116" t="s">
        <v>46</v>
      </c>
      <c r="C18" s="117" t="s">
        <v>50</v>
      </c>
      <c r="D18" s="120" t="s">
        <v>52</v>
      </c>
      <c r="E18" s="98"/>
      <c r="F18" s="99" t="e">
        <f>VLOOKUP(D18,#REF!,19,FALSE)</f>
        <v>#REF!</v>
      </c>
      <c r="G18" s="100"/>
      <c r="H18" s="100"/>
      <c r="I18" s="101"/>
      <c r="J18" s="102" t="e">
        <f t="shared" si="0"/>
        <v>#REF!</v>
      </c>
      <c r="K18" s="103"/>
      <c r="L18" s="104"/>
      <c r="M18" s="105">
        <v>45000</v>
      </c>
      <c r="N18" s="103">
        <v>0</v>
      </c>
      <c r="O18" s="106"/>
      <c r="P18" s="103">
        <v>0</v>
      </c>
      <c r="Q18" s="107">
        <f t="shared" si="1"/>
        <v>45000</v>
      </c>
      <c r="R18" s="107"/>
      <c r="S18" s="107"/>
      <c r="T18" s="108">
        <v>45275.45</v>
      </c>
      <c r="U18" s="119"/>
      <c r="V18" s="110">
        <f t="shared" si="2"/>
        <v>275.44999999999709</v>
      </c>
      <c r="W18" s="103"/>
      <c r="X18" s="112">
        <f t="shared" si="3"/>
        <v>0</v>
      </c>
      <c r="Y18" s="112">
        <f t="shared" si="4"/>
        <v>45000</v>
      </c>
      <c r="Z18" s="113">
        <f t="shared" si="5"/>
        <v>0</v>
      </c>
      <c r="AA18" s="113">
        <v>0</v>
      </c>
      <c r="AB18" s="114">
        <v>0</v>
      </c>
      <c r="AC18" s="11">
        <f t="shared" si="6"/>
        <v>0</v>
      </c>
      <c r="AD18" s="115">
        <f t="shared" si="7"/>
        <v>0</v>
      </c>
      <c r="AE18" s="115" t="e">
        <f t="shared" si="8"/>
        <v>#REF!</v>
      </c>
      <c r="AF18" s="115">
        <f t="shared" si="9"/>
        <v>0</v>
      </c>
      <c r="AG18" s="11"/>
      <c r="AH18" s="115">
        <f t="shared" si="10"/>
        <v>0</v>
      </c>
      <c r="AI18" s="115">
        <f t="shared" si="11"/>
        <v>45000</v>
      </c>
      <c r="AJ18" s="115">
        <f t="shared" si="12"/>
        <v>0</v>
      </c>
      <c r="AL18" s="11" t="e">
        <f t="shared" ref="AL18:AL87" si="13">SUM(AD18:AJ18)</f>
        <v>#REF!</v>
      </c>
    </row>
    <row r="19" spans="1:38">
      <c r="A19" s="116" t="s">
        <v>46</v>
      </c>
      <c r="B19" s="116" t="s">
        <v>46</v>
      </c>
      <c r="C19" s="117" t="s">
        <v>50</v>
      </c>
      <c r="D19" s="120" t="s">
        <v>53</v>
      </c>
      <c r="E19" s="98"/>
      <c r="F19" s="99" t="e">
        <f>VLOOKUP(D19,#REF!,19,FALSE)</f>
        <v>#REF!</v>
      </c>
      <c r="G19" s="100"/>
      <c r="H19" s="100"/>
      <c r="I19" s="101"/>
      <c r="J19" s="102" t="e">
        <f t="shared" si="0"/>
        <v>#REF!</v>
      </c>
      <c r="K19" s="103"/>
      <c r="L19" s="104"/>
      <c r="M19" s="105"/>
      <c r="N19" s="103">
        <v>0</v>
      </c>
      <c r="O19" s="106"/>
      <c r="P19" s="103">
        <v>0</v>
      </c>
      <c r="Q19" s="107">
        <f t="shared" si="1"/>
        <v>0</v>
      </c>
      <c r="R19" s="107"/>
      <c r="S19" s="107"/>
      <c r="T19" s="108">
        <v>0</v>
      </c>
      <c r="U19" s="119"/>
      <c r="V19" s="110">
        <f t="shared" si="2"/>
        <v>0</v>
      </c>
      <c r="W19" s="103"/>
      <c r="X19" s="112">
        <f t="shared" si="3"/>
        <v>0</v>
      </c>
      <c r="Y19" s="112">
        <f t="shared" si="4"/>
        <v>0</v>
      </c>
      <c r="Z19" s="113">
        <f t="shared" si="5"/>
        <v>0</v>
      </c>
      <c r="AA19" s="113">
        <v>0</v>
      </c>
      <c r="AB19" s="114">
        <v>0</v>
      </c>
      <c r="AC19" s="11">
        <f t="shared" si="6"/>
        <v>0</v>
      </c>
      <c r="AD19" s="115">
        <f t="shared" si="7"/>
        <v>0</v>
      </c>
      <c r="AE19" s="115" t="e">
        <f t="shared" si="8"/>
        <v>#REF!</v>
      </c>
      <c r="AF19" s="115">
        <f t="shared" si="9"/>
        <v>0</v>
      </c>
      <c r="AG19" s="11"/>
      <c r="AH19" s="115">
        <f t="shared" si="10"/>
        <v>0</v>
      </c>
      <c r="AI19" s="115">
        <f t="shared" si="11"/>
        <v>0</v>
      </c>
      <c r="AJ19" s="115">
        <f t="shared" si="12"/>
        <v>0</v>
      </c>
      <c r="AL19" s="11" t="e">
        <f t="shared" si="13"/>
        <v>#REF!</v>
      </c>
    </row>
    <row r="20" spans="1:38">
      <c r="A20" s="116" t="s">
        <v>46</v>
      </c>
      <c r="B20" s="116" t="s">
        <v>46</v>
      </c>
      <c r="C20" s="117" t="s">
        <v>50</v>
      </c>
      <c r="D20" s="121" t="s">
        <v>54</v>
      </c>
      <c r="E20" s="98">
        <v>7107.7</v>
      </c>
      <c r="F20" s="99" t="e">
        <f>VLOOKUP(D20,#REF!,19,FALSE)</f>
        <v>#REF!</v>
      </c>
      <c r="G20" s="100"/>
      <c r="H20" s="100"/>
      <c r="I20" s="101"/>
      <c r="J20" s="102" t="e">
        <f t="shared" si="0"/>
        <v>#REF!</v>
      </c>
      <c r="K20" s="103"/>
      <c r="L20" s="104"/>
      <c r="M20" s="105"/>
      <c r="N20" s="103">
        <v>0</v>
      </c>
      <c r="O20" s="106"/>
      <c r="P20" s="103">
        <v>0</v>
      </c>
      <c r="Q20" s="107">
        <f t="shared" si="1"/>
        <v>0</v>
      </c>
      <c r="R20" s="107"/>
      <c r="S20" s="107"/>
      <c r="T20" s="108">
        <v>0</v>
      </c>
      <c r="U20" s="119"/>
      <c r="V20" s="110">
        <f t="shared" si="2"/>
        <v>0</v>
      </c>
      <c r="W20" s="103"/>
      <c r="X20" s="112">
        <f t="shared" si="3"/>
        <v>0</v>
      </c>
      <c r="Y20" s="112">
        <f t="shared" si="4"/>
        <v>0</v>
      </c>
      <c r="Z20" s="113">
        <f t="shared" si="5"/>
        <v>0</v>
      </c>
      <c r="AA20" s="113">
        <v>0</v>
      </c>
      <c r="AB20" s="114">
        <v>0</v>
      </c>
      <c r="AC20" s="11">
        <f t="shared" si="6"/>
        <v>0</v>
      </c>
      <c r="AD20" s="115">
        <f t="shared" si="7"/>
        <v>0</v>
      </c>
      <c r="AE20" s="115" t="e">
        <f t="shared" si="8"/>
        <v>#REF!</v>
      </c>
      <c r="AF20" s="115">
        <f t="shared" si="9"/>
        <v>0</v>
      </c>
      <c r="AG20" s="11"/>
      <c r="AH20" s="115">
        <f t="shared" si="10"/>
        <v>0</v>
      </c>
      <c r="AI20" s="115">
        <f t="shared" si="11"/>
        <v>0</v>
      </c>
      <c r="AJ20" s="115">
        <f t="shared" si="12"/>
        <v>0</v>
      </c>
      <c r="AL20" s="11" t="e">
        <f t="shared" si="13"/>
        <v>#REF!</v>
      </c>
    </row>
    <row r="21" spans="1:38">
      <c r="A21" s="116"/>
      <c r="B21" s="116" t="s">
        <v>49</v>
      </c>
      <c r="C21" s="122" t="s">
        <v>55</v>
      </c>
      <c r="D21" s="118" t="s">
        <v>56</v>
      </c>
      <c r="E21" s="98">
        <f>3094.38+27253.43</f>
        <v>30347.81</v>
      </c>
      <c r="F21" s="99" t="e">
        <f>VLOOKUP(D21,#REF!,19,FALSE)</f>
        <v>#REF!</v>
      </c>
      <c r="G21" s="100"/>
      <c r="H21" s="100"/>
      <c r="I21" s="101"/>
      <c r="J21" s="102" t="e">
        <f t="shared" si="0"/>
        <v>#REF!</v>
      </c>
      <c r="K21" s="103"/>
      <c r="L21" s="104"/>
      <c r="M21" s="105"/>
      <c r="N21" s="103">
        <v>0</v>
      </c>
      <c r="O21" s="106"/>
      <c r="P21" s="103">
        <v>0</v>
      </c>
      <c r="Q21" s="107">
        <f t="shared" si="1"/>
        <v>0</v>
      </c>
      <c r="R21" s="107"/>
      <c r="S21" s="107"/>
      <c r="T21" s="108">
        <v>28573.1</v>
      </c>
      <c r="U21" s="119"/>
      <c r="V21" s="110">
        <f t="shared" si="2"/>
        <v>28573.1</v>
      </c>
      <c r="W21" s="103"/>
      <c r="X21" s="112">
        <f t="shared" si="3"/>
        <v>0</v>
      </c>
      <c r="Y21" s="112">
        <f t="shared" si="4"/>
        <v>0</v>
      </c>
      <c r="Z21" s="113">
        <f t="shared" si="5"/>
        <v>0</v>
      </c>
      <c r="AA21" s="113">
        <v>0</v>
      </c>
      <c r="AB21" s="114">
        <v>0</v>
      </c>
      <c r="AC21" s="11">
        <f t="shared" si="6"/>
        <v>0</v>
      </c>
      <c r="AD21" s="115" t="e">
        <f t="shared" si="7"/>
        <v>#REF!</v>
      </c>
      <c r="AE21" s="115">
        <f t="shared" si="8"/>
        <v>0</v>
      </c>
      <c r="AF21" s="115">
        <f t="shared" si="9"/>
        <v>0</v>
      </c>
      <c r="AG21" s="11"/>
      <c r="AH21" s="115">
        <f t="shared" si="10"/>
        <v>0</v>
      </c>
      <c r="AI21" s="115">
        <f t="shared" si="11"/>
        <v>0</v>
      </c>
      <c r="AJ21" s="115">
        <f t="shared" si="12"/>
        <v>0</v>
      </c>
      <c r="AL21" s="11" t="e">
        <f t="shared" si="13"/>
        <v>#REF!</v>
      </c>
    </row>
    <row r="22" spans="1:38">
      <c r="A22" s="116"/>
      <c r="B22" s="116" t="s">
        <v>49</v>
      </c>
      <c r="C22" s="122" t="s">
        <v>55</v>
      </c>
      <c r="D22" s="118" t="s">
        <v>57</v>
      </c>
      <c r="E22" s="98">
        <f>16242.96+29417.65</f>
        <v>45660.61</v>
      </c>
      <c r="F22" s="99" t="e">
        <f>VLOOKUP(D22,#REF!,19,FALSE)</f>
        <v>#REF!</v>
      </c>
      <c r="G22" s="100"/>
      <c r="H22" s="100"/>
      <c r="I22" s="101"/>
      <c r="J22" s="102" t="e">
        <f t="shared" si="0"/>
        <v>#REF!</v>
      </c>
      <c r="K22" s="103"/>
      <c r="L22" s="104"/>
      <c r="M22" s="105"/>
      <c r="N22" s="103">
        <v>0</v>
      </c>
      <c r="O22" s="106"/>
      <c r="P22" s="103">
        <v>0</v>
      </c>
      <c r="Q22" s="107">
        <f t="shared" si="1"/>
        <v>0</v>
      </c>
      <c r="R22" s="107"/>
      <c r="S22" s="107"/>
      <c r="T22" s="108">
        <v>25246.58</v>
      </c>
      <c r="U22" s="119"/>
      <c r="V22" s="110">
        <f t="shared" si="2"/>
        <v>25246.58</v>
      </c>
      <c r="W22" s="103"/>
      <c r="X22" s="112">
        <f t="shared" si="3"/>
        <v>0</v>
      </c>
      <c r="Y22" s="112">
        <f t="shared" si="4"/>
        <v>0</v>
      </c>
      <c r="Z22" s="113">
        <f t="shared" si="5"/>
        <v>0</v>
      </c>
      <c r="AA22" s="113">
        <v>0</v>
      </c>
      <c r="AB22" s="114">
        <v>0</v>
      </c>
      <c r="AC22" s="11">
        <f t="shared" si="6"/>
        <v>0</v>
      </c>
      <c r="AD22" s="115" t="e">
        <f t="shared" si="7"/>
        <v>#REF!</v>
      </c>
      <c r="AE22" s="115">
        <f t="shared" si="8"/>
        <v>0</v>
      </c>
      <c r="AF22" s="115">
        <f t="shared" si="9"/>
        <v>0</v>
      </c>
      <c r="AG22" s="11"/>
      <c r="AH22" s="115">
        <f t="shared" si="10"/>
        <v>0</v>
      </c>
      <c r="AI22" s="115">
        <f t="shared" si="11"/>
        <v>0</v>
      </c>
      <c r="AJ22" s="115">
        <f t="shared" si="12"/>
        <v>0</v>
      </c>
      <c r="AL22" s="11" t="e">
        <f t="shared" si="13"/>
        <v>#REF!</v>
      </c>
    </row>
    <row r="23" spans="1:38">
      <c r="A23" s="116"/>
      <c r="B23" s="116" t="s">
        <v>49</v>
      </c>
      <c r="C23" s="122" t="s">
        <v>55</v>
      </c>
      <c r="D23" s="118" t="s">
        <v>58</v>
      </c>
      <c r="E23" s="98">
        <f>3.78+81269.26</f>
        <v>81273.039999999994</v>
      </c>
      <c r="F23" s="99" t="e">
        <f>VLOOKUP(D23,#REF!,19,FALSE)</f>
        <v>#REF!</v>
      </c>
      <c r="G23" s="100"/>
      <c r="H23" s="100"/>
      <c r="I23" s="101"/>
      <c r="J23" s="102" t="e">
        <f t="shared" si="0"/>
        <v>#REF!</v>
      </c>
      <c r="K23" s="103"/>
      <c r="L23" s="104"/>
      <c r="M23" s="105">
        <v>120000</v>
      </c>
      <c r="N23" s="103">
        <v>0</v>
      </c>
      <c r="O23" s="106"/>
      <c r="P23" s="103">
        <v>0</v>
      </c>
      <c r="Q23" s="107">
        <f t="shared" si="1"/>
        <v>120000</v>
      </c>
      <c r="R23" s="107"/>
      <c r="S23" s="107"/>
      <c r="T23" s="108">
        <v>66486</v>
      </c>
      <c r="U23" s="119"/>
      <c r="V23" s="110">
        <f t="shared" si="2"/>
        <v>-53514</v>
      </c>
      <c r="W23" s="103"/>
      <c r="X23" s="112">
        <f t="shared" si="3"/>
        <v>120000</v>
      </c>
      <c r="Y23" s="112">
        <f t="shared" si="4"/>
        <v>0</v>
      </c>
      <c r="Z23" s="113">
        <f t="shared" si="5"/>
        <v>0</v>
      </c>
      <c r="AA23" s="113">
        <v>0</v>
      </c>
      <c r="AB23" s="114">
        <v>0</v>
      </c>
      <c r="AC23" s="11">
        <f t="shared" si="6"/>
        <v>0</v>
      </c>
      <c r="AD23" s="115" t="e">
        <f t="shared" si="7"/>
        <v>#REF!</v>
      </c>
      <c r="AE23" s="115">
        <f t="shared" si="8"/>
        <v>0</v>
      </c>
      <c r="AF23" s="115">
        <f t="shared" si="9"/>
        <v>0</v>
      </c>
      <c r="AG23" s="11"/>
      <c r="AH23" s="115">
        <f t="shared" si="10"/>
        <v>120000</v>
      </c>
      <c r="AI23" s="115">
        <f t="shared" si="11"/>
        <v>0</v>
      </c>
      <c r="AJ23" s="115">
        <f t="shared" si="12"/>
        <v>0</v>
      </c>
      <c r="AL23" s="11" t="e">
        <f t="shared" si="13"/>
        <v>#REF!</v>
      </c>
    </row>
    <row r="24" spans="1:38">
      <c r="A24" s="116"/>
      <c r="B24" s="116" t="s">
        <v>49</v>
      </c>
      <c r="C24" s="122"/>
      <c r="D24" s="120" t="s">
        <v>59</v>
      </c>
      <c r="E24" s="98"/>
      <c r="F24" s="99">
        <v>0</v>
      </c>
      <c r="G24" s="100"/>
      <c r="H24" s="100"/>
      <c r="I24" s="101"/>
      <c r="J24" s="102">
        <f t="shared" si="0"/>
        <v>0</v>
      </c>
      <c r="K24" s="103"/>
      <c r="L24" s="104"/>
      <c r="M24" s="105"/>
      <c r="N24" s="103">
        <v>0</v>
      </c>
      <c r="O24" s="106"/>
      <c r="P24" s="103">
        <v>0</v>
      </c>
      <c r="Q24" s="107">
        <f t="shared" si="1"/>
        <v>0</v>
      </c>
      <c r="R24" s="107"/>
      <c r="S24" s="107"/>
      <c r="T24" s="108">
        <v>0</v>
      </c>
      <c r="U24" s="119"/>
      <c r="V24" s="110">
        <f t="shared" si="2"/>
        <v>0</v>
      </c>
      <c r="W24" s="103"/>
      <c r="X24" s="112">
        <f t="shared" si="3"/>
        <v>0</v>
      </c>
      <c r="Y24" s="112">
        <f t="shared" si="4"/>
        <v>0</v>
      </c>
      <c r="Z24" s="113">
        <f t="shared" si="5"/>
        <v>0</v>
      </c>
      <c r="AA24" s="113">
        <v>0</v>
      </c>
      <c r="AB24" s="114">
        <v>0</v>
      </c>
      <c r="AC24" s="11">
        <f t="shared" si="6"/>
        <v>0</v>
      </c>
      <c r="AD24" s="115">
        <f t="shared" si="7"/>
        <v>0</v>
      </c>
      <c r="AE24" s="115">
        <f t="shared" si="8"/>
        <v>0</v>
      </c>
      <c r="AF24" s="115">
        <f t="shared" si="9"/>
        <v>0</v>
      </c>
      <c r="AG24" s="11"/>
      <c r="AH24" s="115">
        <f t="shared" si="10"/>
        <v>0</v>
      </c>
      <c r="AI24" s="115">
        <f t="shared" si="11"/>
        <v>0</v>
      </c>
      <c r="AJ24" s="115">
        <f t="shared" si="12"/>
        <v>0</v>
      </c>
      <c r="AL24" s="11">
        <f t="shared" ref="AL24" si="14">SUM(AD24:AJ24)</f>
        <v>0</v>
      </c>
    </row>
    <row r="25" spans="1:38" s="124" customFormat="1">
      <c r="A25" s="123" t="s">
        <v>60</v>
      </c>
      <c r="B25" s="123" t="s">
        <v>46</v>
      </c>
      <c r="C25" s="122" t="s">
        <v>61</v>
      </c>
      <c r="D25" s="118" t="s">
        <v>62</v>
      </c>
      <c r="E25" s="98">
        <v>33719.64</v>
      </c>
      <c r="F25" s="99" t="e">
        <f>VLOOKUP(D25,#REF!,19,FALSE)</f>
        <v>#REF!</v>
      </c>
      <c r="G25" s="100"/>
      <c r="H25" s="100"/>
      <c r="I25" s="101"/>
      <c r="J25" s="102" t="e">
        <f t="shared" si="0"/>
        <v>#REF!</v>
      </c>
      <c r="K25" s="103"/>
      <c r="L25" s="104"/>
      <c r="M25" s="105">
        <v>20000</v>
      </c>
      <c r="N25" s="103">
        <v>0</v>
      </c>
      <c r="O25" s="106"/>
      <c r="P25" s="103">
        <v>0</v>
      </c>
      <c r="Q25" s="107">
        <f t="shared" si="1"/>
        <v>20000</v>
      </c>
      <c r="R25" s="107"/>
      <c r="S25" s="107"/>
      <c r="T25" s="108">
        <v>0</v>
      </c>
      <c r="U25" s="119"/>
      <c r="V25" s="110">
        <f t="shared" si="2"/>
        <v>-20000</v>
      </c>
      <c r="W25" s="103"/>
      <c r="X25" s="112">
        <f t="shared" si="3"/>
        <v>0</v>
      </c>
      <c r="Y25" s="112">
        <f t="shared" si="4"/>
        <v>20000</v>
      </c>
      <c r="Z25" s="113">
        <f t="shared" si="5"/>
        <v>0</v>
      </c>
      <c r="AA25" s="113">
        <v>0</v>
      </c>
      <c r="AB25" s="114">
        <v>0</v>
      </c>
      <c r="AC25" s="11">
        <f t="shared" si="6"/>
        <v>0</v>
      </c>
      <c r="AD25" s="115">
        <f t="shared" si="7"/>
        <v>0</v>
      </c>
      <c r="AE25" s="115" t="e">
        <f t="shared" si="8"/>
        <v>#REF!</v>
      </c>
      <c r="AF25" s="115">
        <f t="shared" si="9"/>
        <v>0</v>
      </c>
      <c r="AG25" s="11"/>
      <c r="AH25" s="115">
        <f t="shared" si="10"/>
        <v>0</v>
      </c>
      <c r="AI25" s="115">
        <f t="shared" si="11"/>
        <v>20000</v>
      </c>
      <c r="AJ25" s="115">
        <f t="shared" si="12"/>
        <v>0</v>
      </c>
      <c r="AL25" s="11" t="e">
        <f t="shared" si="13"/>
        <v>#REF!</v>
      </c>
    </row>
    <row r="26" spans="1:38">
      <c r="A26" s="116"/>
      <c r="B26" s="116" t="s">
        <v>49</v>
      </c>
      <c r="C26" s="122"/>
      <c r="D26" s="120" t="s">
        <v>63</v>
      </c>
      <c r="E26" s="98">
        <v>659.08</v>
      </c>
      <c r="F26" s="99" t="e">
        <f>VLOOKUP(D26,#REF!,19,FALSE)</f>
        <v>#REF!</v>
      </c>
      <c r="G26" s="100"/>
      <c r="H26" s="100"/>
      <c r="I26" s="125">
        <v>1255.3800000000001</v>
      </c>
      <c r="J26" s="102" t="e">
        <f t="shared" si="0"/>
        <v>#REF!</v>
      </c>
      <c r="K26" s="103"/>
      <c r="L26" s="104"/>
      <c r="M26" s="105"/>
      <c r="N26" s="103">
        <v>0</v>
      </c>
      <c r="O26" s="106"/>
      <c r="P26" s="103">
        <v>0</v>
      </c>
      <c r="Q26" s="107">
        <f t="shared" si="1"/>
        <v>0</v>
      </c>
      <c r="R26" s="107"/>
      <c r="S26" s="107"/>
      <c r="T26" s="108">
        <v>0</v>
      </c>
      <c r="U26" s="119"/>
      <c r="V26" s="110">
        <f t="shared" si="2"/>
        <v>0</v>
      </c>
      <c r="W26" s="103"/>
      <c r="X26" s="112">
        <f t="shared" si="3"/>
        <v>0</v>
      </c>
      <c r="Y26" s="112">
        <f t="shared" si="4"/>
        <v>0</v>
      </c>
      <c r="Z26" s="113">
        <f t="shared" si="5"/>
        <v>0</v>
      </c>
      <c r="AA26" s="113">
        <v>0</v>
      </c>
      <c r="AB26" s="114">
        <v>0</v>
      </c>
      <c r="AC26" s="11">
        <f t="shared" si="6"/>
        <v>0</v>
      </c>
      <c r="AD26" s="115" t="e">
        <f t="shared" si="7"/>
        <v>#REF!</v>
      </c>
      <c r="AE26" s="115">
        <f t="shared" si="8"/>
        <v>0</v>
      </c>
      <c r="AF26" s="115">
        <f t="shared" si="9"/>
        <v>0</v>
      </c>
      <c r="AG26" s="11"/>
      <c r="AH26" s="115">
        <f t="shared" si="10"/>
        <v>0</v>
      </c>
      <c r="AI26" s="115">
        <f t="shared" si="11"/>
        <v>0</v>
      </c>
      <c r="AJ26" s="115">
        <f t="shared" si="12"/>
        <v>0</v>
      </c>
      <c r="AL26" s="11" t="e">
        <f t="shared" si="13"/>
        <v>#REF!</v>
      </c>
    </row>
    <row r="27" spans="1:38">
      <c r="A27" s="116"/>
      <c r="B27" s="116" t="s">
        <v>49</v>
      </c>
      <c r="C27" s="122"/>
      <c r="D27" s="120" t="s">
        <v>64</v>
      </c>
      <c r="E27" s="98"/>
      <c r="F27" s="99" t="e">
        <f>VLOOKUP(D27,#REF!,19,FALSE)</f>
        <v>#REF!</v>
      </c>
      <c r="G27" s="100"/>
      <c r="H27" s="100"/>
      <c r="I27" s="101"/>
      <c r="J27" s="102" t="e">
        <f t="shared" si="0"/>
        <v>#REF!</v>
      </c>
      <c r="K27" s="103"/>
      <c r="L27" s="104"/>
      <c r="M27" s="105">
        <v>21000</v>
      </c>
      <c r="N27" s="103">
        <v>0</v>
      </c>
      <c r="O27" s="106"/>
      <c r="P27" s="103">
        <v>0</v>
      </c>
      <c r="Q27" s="107">
        <f t="shared" si="1"/>
        <v>21000</v>
      </c>
      <c r="R27" s="107"/>
      <c r="S27" s="107"/>
      <c r="T27" s="108">
        <v>29355.35</v>
      </c>
      <c r="U27" s="119"/>
      <c r="V27" s="110">
        <f t="shared" si="2"/>
        <v>8355.3499999999985</v>
      </c>
      <c r="W27" s="103"/>
      <c r="X27" s="112">
        <f t="shared" si="3"/>
        <v>21000</v>
      </c>
      <c r="Y27" s="112">
        <f t="shared" si="4"/>
        <v>0</v>
      </c>
      <c r="Z27" s="113">
        <f t="shared" si="5"/>
        <v>0</v>
      </c>
      <c r="AA27" s="113">
        <v>0</v>
      </c>
      <c r="AB27" s="114">
        <v>0</v>
      </c>
      <c r="AC27" s="11">
        <f t="shared" si="6"/>
        <v>0</v>
      </c>
      <c r="AD27" s="115" t="e">
        <f t="shared" si="7"/>
        <v>#REF!</v>
      </c>
      <c r="AE27" s="115">
        <f t="shared" si="8"/>
        <v>0</v>
      </c>
      <c r="AF27" s="115">
        <f t="shared" si="9"/>
        <v>0</v>
      </c>
      <c r="AG27" s="11"/>
      <c r="AH27" s="115">
        <f t="shared" si="10"/>
        <v>21000</v>
      </c>
      <c r="AI27" s="115">
        <f t="shared" si="11"/>
        <v>0</v>
      </c>
      <c r="AJ27" s="115">
        <f t="shared" si="12"/>
        <v>0</v>
      </c>
      <c r="AL27" s="11" t="e">
        <f t="shared" si="13"/>
        <v>#REF!</v>
      </c>
    </row>
    <row r="28" spans="1:38">
      <c r="A28" s="116"/>
      <c r="B28" s="116" t="s">
        <v>49</v>
      </c>
      <c r="C28" s="122"/>
      <c r="D28" s="120" t="s">
        <v>65</v>
      </c>
      <c r="E28" s="98">
        <v>6523.98</v>
      </c>
      <c r="F28" s="99" t="e">
        <f>VLOOKUP(D28,#REF!,19,FALSE)</f>
        <v>#REF!</v>
      </c>
      <c r="G28" s="100"/>
      <c r="H28" s="100"/>
      <c r="I28" s="101"/>
      <c r="J28" s="102" t="e">
        <f t="shared" si="0"/>
        <v>#REF!</v>
      </c>
      <c r="K28" s="103"/>
      <c r="L28" s="104"/>
      <c r="M28" s="105"/>
      <c r="N28" s="103">
        <v>0</v>
      </c>
      <c r="O28" s="106"/>
      <c r="P28" s="103">
        <v>0</v>
      </c>
      <c r="Q28" s="107">
        <f t="shared" si="1"/>
        <v>0</v>
      </c>
      <c r="R28" s="107"/>
      <c r="S28" s="107"/>
      <c r="T28" s="108">
        <v>0</v>
      </c>
      <c r="U28" s="119"/>
      <c r="V28" s="110">
        <f t="shared" si="2"/>
        <v>0</v>
      </c>
      <c r="W28" s="103"/>
      <c r="X28" s="112">
        <f t="shared" si="3"/>
        <v>0</v>
      </c>
      <c r="Y28" s="112">
        <f t="shared" si="4"/>
        <v>0</v>
      </c>
      <c r="Z28" s="113">
        <f t="shared" si="5"/>
        <v>0</v>
      </c>
      <c r="AA28" s="113">
        <v>0</v>
      </c>
      <c r="AB28" s="114">
        <v>0</v>
      </c>
      <c r="AC28" s="11">
        <f t="shared" si="6"/>
        <v>0</v>
      </c>
      <c r="AD28" s="115" t="e">
        <f t="shared" si="7"/>
        <v>#REF!</v>
      </c>
      <c r="AE28" s="115">
        <f t="shared" si="8"/>
        <v>0</v>
      </c>
      <c r="AF28" s="115">
        <f t="shared" si="9"/>
        <v>0</v>
      </c>
      <c r="AG28" s="11"/>
      <c r="AH28" s="115">
        <f t="shared" si="10"/>
        <v>0</v>
      </c>
      <c r="AI28" s="115">
        <f t="shared" si="11"/>
        <v>0</v>
      </c>
      <c r="AJ28" s="115">
        <f t="shared" si="12"/>
        <v>0</v>
      </c>
      <c r="AL28" s="11" t="e">
        <f t="shared" si="13"/>
        <v>#REF!</v>
      </c>
    </row>
    <row r="29" spans="1:38">
      <c r="A29" s="116"/>
      <c r="B29" s="116" t="s">
        <v>46</v>
      </c>
      <c r="C29" s="122" t="s">
        <v>66</v>
      </c>
      <c r="D29" s="120" t="s">
        <v>67</v>
      </c>
      <c r="E29" s="98">
        <f>845.23+940.5</f>
        <v>1785.73</v>
      </c>
      <c r="F29" s="99" t="e">
        <f>VLOOKUP(D29,#REF!,19,FALSE)</f>
        <v>#REF!</v>
      </c>
      <c r="G29" s="100"/>
      <c r="H29" s="100"/>
      <c r="I29" s="101"/>
      <c r="J29" s="102" t="e">
        <f t="shared" si="0"/>
        <v>#REF!</v>
      </c>
      <c r="K29" s="103"/>
      <c r="L29" s="104"/>
      <c r="M29" s="105"/>
      <c r="N29" s="103">
        <v>0</v>
      </c>
      <c r="O29" s="106"/>
      <c r="P29" s="103">
        <v>0</v>
      </c>
      <c r="Q29" s="107">
        <f t="shared" si="1"/>
        <v>0</v>
      </c>
      <c r="R29" s="107"/>
      <c r="S29" s="107"/>
      <c r="T29" s="108">
        <v>1167.6500000000001</v>
      </c>
      <c r="U29" s="119"/>
      <c r="V29" s="110">
        <f t="shared" si="2"/>
        <v>1167.6500000000001</v>
      </c>
      <c r="W29" s="111"/>
      <c r="X29" s="112">
        <f t="shared" si="3"/>
        <v>0</v>
      </c>
      <c r="Y29" s="112">
        <f t="shared" si="4"/>
        <v>0</v>
      </c>
      <c r="Z29" s="113">
        <f t="shared" si="5"/>
        <v>0</v>
      </c>
      <c r="AA29" s="113">
        <v>0</v>
      </c>
      <c r="AB29" s="114">
        <v>0</v>
      </c>
      <c r="AC29" s="11">
        <f t="shared" si="6"/>
        <v>0</v>
      </c>
      <c r="AD29" s="115">
        <f t="shared" si="7"/>
        <v>0</v>
      </c>
      <c r="AE29" s="115" t="e">
        <f t="shared" si="8"/>
        <v>#REF!</v>
      </c>
      <c r="AF29" s="115">
        <f t="shared" si="9"/>
        <v>0</v>
      </c>
      <c r="AG29" s="11"/>
      <c r="AH29" s="115">
        <f t="shared" si="10"/>
        <v>0</v>
      </c>
      <c r="AI29" s="115">
        <f t="shared" si="11"/>
        <v>0</v>
      </c>
      <c r="AJ29" s="115">
        <f t="shared" si="12"/>
        <v>0</v>
      </c>
      <c r="AL29" s="11" t="e">
        <f t="shared" si="13"/>
        <v>#REF!</v>
      </c>
    </row>
    <row r="30" spans="1:38" s="124" customFormat="1">
      <c r="A30" s="123"/>
      <c r="B30" s="123" t="s">
        <v>49</v>
      </c>
      <c r="C30" s="122" t="s">
        <v>68</v>
      </c>
      <c r="D30" s="118" t="s">
        <v>69</v>
      </c>
      <c r="E30" s="98"/>
      <c r="F30" s="99" t="e">
        <f>VLOOKUP(D30,#REF!,19,FALSE)</f>
        <v>#REF!</v>
      </c>
      <c r="G30" s="100"/>
      <c r="H30" s="100"/>
      <c r="I30" s="101"/>
      <c r="J30" s="102" t="e">
        <f t="shared" si="0"/>
        <v>#REF!</v>
      </c>
      <c r="K30" s="103"/>
      <c r="L30" s="104"/>
      <c r="M30" s="105">
        <v>925000</v>
      </c>
      <c r="N30" s="103">
        <v>0</v>
      </c>
      <c r="O30" s="106"/>
      <c r="P30" s="103">
        <v>0</v>
      </c>
      <c r="Q30" s="107">
        <f t="shared" si="1"/>
        <v>925000</v>
      </c>
      <c r="R30" s="107"/>
      <c r="S30" s="107"/>
      <c r="T30" s="108">
        <v>850978.5</v>
      </c>
      <c r="U30" s="119"/>
      <c r="V30" s="110">
        <f t="shared" si="2"/>
        <v>-74021.5</v>
      </c>
      <c r="W30" s="103"/>
      <c r="X30" s="112">
        <f t="shared" si="3"/>
        <v>925000</v>
      </c>
      <c r="Y30" s="112">
        <f t="shared" si="4"/>
        <v>0</v>
      </c>
      <c r="Z30" s="113">
        <f t="shared" si="5"/>
        <v>0</v>
      </c>
      <c r="AA30" s="113">
        <v>0</v>
      </c>
      <c r="AB30" s="114">
        <v>0</v>
      </c>
      <c r="AC30" s="11">
        <f t="shared" si="6"/>
        <v>0</v>
      </c>
      <c r="AD30" s="115" t="e">
        <f t="shared" si="7"/>
        <v>#REF!</v>
      </c>
      <c r="AE30" s="115">
        <f t="shared" si="8"/>
        <v>0</v>
      </c>
      <c r="AF30" s="115">
        <f t="shared" si="9"/>
        <v>0</v>
      </c>
      <c r="AG30" s="11"/>
      <c r="AH30" s="115">
        <f t="shared" si="10"/>
        <v>925000</v>
      </c>
      <c r="AI30" s="115">
        <f t="shared" si="11"/>
        <v>0</v>
      </c>
      <c r="AJ30" s="115">
        <f t="shared" si="12"/>
        <v>0</v>
      </c>
      <c r="AL30" s="11" t="e">
        <f t="shared" si="13"/>
        <v>#REF!</v>
      </c>
    </row>
    <row r="31" spans="1:38" s="124" customFormat="1">
      <c r="A31" s="123"/>
      <c r="B31" s="123" t="s">
        <v>49</v>
      </c>
      <c r="C31" s="122" t="s">
        <v>70</v>
      </c>
      <c r="D31" s="118" t="s">
        <v>71</v>
      </c>
      <c r="E31" s="98"/>
      <c r="F31" s="99" t="e">
        <f>VLOOKUP(D31,#REF!,19,FALSE)</f>
        <v>#REF!</v>
      </c>
      <c r="G31" s="100"/>
      <c r="H31" s="100"/>
      <c r="I31" s="101"/>
      <c r="J31" s="102" t="e">
        <f t="shared" si="0"/>
        <v>#REF!</v>
      </c>
      <c r="K31" s="103"/>
      <c r="L31" s="104"/>
      <c r="M31" s="105">
        <v>150000</v>
      </c>
      <c r="N31" s="103">
        <v>0</v>
      </c>
      <c r="O31" s="106"/>
      <c r="P31" s="103">
        <v>0</v>
      </c>
      <c r="Q31" s="107">
        <f t="shared" si="1"/>
        <v>150000</v>
      </c>
      <c r="R31" s="107"/>
      <c r="S31" s="107"/>
      <c r="T31" s="108">
        <v>161256.35999999999</v>
      </c>
      <c r="U31" s="119"/>
      <c r="V31" s="110">
        <f t="shared" si="2"/>
        <v>11256.359999999986</v>
      </c>
      <c r="W31" s="103"/>
      <c r="X31" s="112">
        <f t="shared" si="3"/>
        <v>150000</v>
      </c>
      <c r="Y31" s="112">
        <f t="shared" si="4"/>
        <v>0</v>
      </c>
      <c r="Z31" s="113">
        <f t="shared" si="5"/>
        <v>0</v>
      </c>
      <c r="AA31" s="113">
        <v>0</v>
      </c>
      <c r="AB31" s="114">
        <v>0</v>
      </c>
      <c r="AC31" s="11">
        <f t="shared" si="6"/>
        <v>0</v>
      </c>
      <c r="AD31" s="115" t="e">
        <f t="shared" si="7"/>
        <v>#REF!</v>
      </c>
      <c r="AE31" s="115">
        <f t="shared" si="8"/>
        <v>0</v>
      </c>
      <c r="AF31" s="115">
        <f t="shared" si="9"/>
        <v>0</v>
      </c>
      <c r="AG31" s="11"/>
      <c r="AH31" s="115">
        <f t="shared" si="10"/>
        <v>150000</v>
      </c>
      <c r="AI31" s="115">
        <f t="shared" si="11"/>
        <v>0</v>
      </c>
      <c r="AJ31" s="115">
        <f t="shared" si="12"/>
        <v>0</v>
      </c>
      <c r="AL31" s="11" t="e">
        <f t="shared" si="13"/>
        <v>#REF!</v>
      </c>
    </row>
    <row r="32" spans="1:38" s="124" customFormat="1">
      <c r="A32" s="123"/>
      <c r="B32" s="123" t="s">
        <v>49</v>
      </c>
      <c r="C32" s="122" t="s">
        <v>70</v>
      </c>
      <c r="D32" s="118" t="s">
        <v>72</v>
      </c>
      <c r="E32" s="98"/>
      <c r="F32" s="99" t="e">
        <f>VLOOKUP(D32,#REF!,19,FALSE)</f>
        <v>#REF!</v>
      </c>
      <c r="G32" s="100"/>
      <c r="H32" s="100"/>
      <c r="I32" s="101"/>
      <c r="J32" s="102" t="e">
        <f t="shared" si="0"/>
        <v>#REF!</v>
      </c>
      <c r="K32" s="103"/>
      <c r="L32" s="104"/>
      <c r="M32" s="105">
        <v>150000</v>
      </c>
      <c r="N32" s="103">
        <v>0</v>
      </c>
      <c r="O32" s="106"/>
      <c r="P32" s="103">
        <v>0</v>
      </c>
      <c r="Q32" s="107">
        <f t="shared" si="1"/>
        <v>150000</v>
      </c>
      <c r="R32" s="107"/>
      <c r="S32" s="107"/>
      <c r="T32" s="108">
        <v>154448.56</v>
      </c>
      <c r="U32" s="119"/>
      <c r="V32" s="110">
        <f t="shared" si="2"/>
        <v>4448.5599999999977</v>
      </c>
      <c r="W32" s="103"/>
      <c r="X32" s="112">
        <f t="shared" si="3"/>
        <v>150000</v>
      </c>
      <c r="Y32" s="112">
        <f t="shared" si="4"/>
        <v>0</v>
      </c>
      <c r="Z32" s="113">
        <f t="shared" si="5"/>
        <v>0</v>
      </c>
      <c r="AA32" s="113">
        <v>0</v>
      </c>
      <c r="AB32" s="114">
        <v>0</v>
      </c>
      <c r="AC32" s="11">
        <f t="shared" si="6"/>
        <v>0</v>
      </c>
      <c r="AD32" s="115" t="e">
        <f t="shared" si="7"/>
        <v>#REF!</v>
      </c>
      <c r="AE32" s="115">
        <f t="shared" si="8"/>
        <v>0</v>
      </c>
      <c r="AF32" s="115">
        <f t="shared" si="9"/>
        <v>0</v>
      </c>
      <c r="AG32" s="11"/>
      <c r="AH32" s="115">
        <f t="shared" si="10"/>
        <v>150000</v>
      </c>
      <c r="AI32" s="115">
        <f t="shared" si="11"/>
        <v>0</v>
      </c>
      <c r="AJ32" s="115">
        <f t="shared" si="12"/>
        <v>0</v>
      </c>
      <c r="AL32" s="11" t="e">
        <f t="shared" si="13"/>
        <v>#REF!</v>
      </c>
    </row>
    <row r="33" spans="1:38" s="124" customFormat="1">
      <c r="A33" s="123"/>
      <c r="B33" s="123" t="s">
        <v>49</v>
      </c>
      <c r="C33" s="122" t="s">
        <v>70</v>
      </c>
      <c r="D33" s="118" t="s">
        <v>73</v>
      </c>
      <c r="E33" s="98"/>
      <c r="F33" s="99" t="e">
        <f>VLOOKUP(D33,#REF!,19,FALSE)</f>
        <v>#REF!</v>
      </c>
      <c r="G33" s="100"/>
      <c r="H33" s="100"/>
      <c r="I33" s="101"/>
      <c r="J33" s="102" t="e">
        <f t="shared" si="0"/>
        <v>#REF!</v>
      </c>
      <c r="K33" s="103"/>
      <c r="L33" s="104"/>
      <c r="M33" s="105">
        <v>25000</v>
      </c>
      <c r="N33" s="103">
        <v>0</v>
      </c>
      <c r="O33" s="106"/>
      <c r="P33" s="103">
        <v>0</v>
      </c>
      <c r="Q33" s="107">
        <f t="shared" si="1"/>
        <v>25000</v>
      </c>
      <c r="R33" s="107"/>
      <c r="S33" s="107"/>
      <c r="T33" s="108">
        <v>28902.14</v>
      </c>
      <c r="U33" s="119"/>
      <c r="V33" s="110">
        <f t="shared" si="2"/>
        <v>3902.1399999999994</v>
      </c>
      <c r="W33" s="103"/>
      <c r="X33" s="112">
        <f t="shared" si="3"/>
        <v>25000</v>
      </c>
      <c r="Y33" s="112">
        <f t="shared" si="4"/>
        <v>0</v>
      </c>
      <c r="Z33" s="113">
        <f t="shared" si="5"/>
        <v>0</v>
      </c>
      <c r="AA33" s="113">
        <v>0</v>
      </c>
      <c r="AB33" s="114">
        <v>0</v>
      </c>
      <c r="AC33" s="11">
        <f t="shared" si="6"/>
        <v>0</v>
      </c>
      <c r="AD33" s="115" t="e">
        <f t="shared" si="7"/>
        <v>#REF!</v>
      </c>
      <c r="AE33" s="115">
        <f t="shared" si="8"/>
        <v>0</v>
      </c>
      <c r="AF33" s="115">
        <f t="shared" si="9"/>
        <v>0</v>
      </c>
      <c r="AG33" s="11"/>
      <c r="AH33" s="115">
        <f t="shared" si="10"/>
        <v>25000</v>
      </c>
      <c r="AI33" s="115">
        <f t="shared" si="11"/>
        <v>0</v>
      </c>
      <c r="AJ33" s="115">
        <f t="shared" si="12"/>
        <v>0</v>
      </c>
      <c r="AL33" s="11" t="e">
        <f t="shared" si="13"/>
        <v>#REF!</v>
      </c>
    </row>
    <row r="34" spans="1:38" s="124" customFormat="1">
      <c r="A34" s="123"/>
      <c r="B34" s="123" t="s">
        <v>49</v>
      </c>
      <c r="C34" s="122" t="s">
        <v>70</v>
      </c>
      <c r="D34" s="118" t="s">
        <v>74</v>
      </c>
      <c r="E34" s="98"/>
      <c r="F34" s="99" t="e">
        <f>VLOOKUP(D34,#REF!,19,FALSE)</f>
        <v>#REF!</v>
      </c>
      <c r="G34" s="100"/>
      <c r="H34" s="100"/>
      <c r="I34" s="101"/>
      <c r="J34" s="102" t="e">
        <f t="shared" si="0"/>
        <v>#REF!</v>
      </c>
      <c r="K34" s="103"/>
      <c r="L34" s="104"/>
      <c r="M34" s="105">
        <v>12000</v>
      </c>
      <c r="N34" s="103">
        <v>0</v>
      </c>
      <c r="O34" s="106"/>
      <c r="P34" s="103">
        <v>0</v>
      </c>
      <c r="Q34" s="107">
        <f t="shared" si="1"/>
        <v>12000</v>
      </c>
      <c r="R34" s="107"/>
      <c r="S34" s="107"/>
      <c r="T34" s="108">
        <v>12583.46</v>
      </c>
      <c r="U34" s="119"/>
      <c r="V34" s="110">
        <f t="shared" si="2"/>
        <v>583.45999999999913</v>
      </c>
      <c r="W34" s="103"/>
      <c r="X34" s="112">
        <f t="shared" si="3"/>
        <v>12000</v>
      </c>
      <c r="Y34" s="112">
        <f t="shared" si="4"/>
        <v>0</v>
      </c>
      <c r="Z34" s="113">
        <f t="shared" si="5"/>
        <v>0</v>
      </c>
      <c r="AA34" s="113">
        <v>0</v>
      </c>
      <c r="AB34" s="114">
        <v>0</v>
      </c>
      <c r="AC34" s="11">
        <f t="shared" si="6"/>
        <v>0</v>
      </c>
      <c r="AD34" s="115" t="e">
        <f t="shared" si="7"/>
        <v>#REF!</v>
      </c>
      <c r="AE34" s="115">
        <f t="shared" si="8"/>
        <v>0</v>
      </c>
      <c r="AF34" s="115">
        <f t="shared" si="9"/>
        <v>0</v>
      </c>
      <c r="AG34" s="11"/>
      <c r="AH34" s="115">
        <f t="shared" si="10"/>
        <v>12000</v>
      </c>
      <c r="AI34" s="115">
        <f t="shared" si="11"/>
        <v>0</v>
      </c>
      <c r="AJ34" s="115">
        <f t="shared" si="12"/>
        <v>0</v>
      </c>
      <c r="AL34" s="11" t="e">
        <f t="shared" si="13"/>
        <v>#REF!</v>
      </c>
    </row>
    <row r="35" spans="1:38" s="124" customFormat="1">
      <c r="A35" s="123"/>
      <c r="B35" s="123" t="s">
        <v>49</v>
      </c>
      <c r="C35" s="122" t="s">
        <v>70</v>
      </c>
      <c r="D35" s="118" t="s">
        <v>75</v>
      </c>
      <c r="E35" s="98"/>
      <c r="F35" s="99" t="e">
        <f>VLOOKUP(D35,#REF!,19,FALSE)</f>
        <v>#REF!</v>
      </c>
      <c r="G35" s="100"/>
      <c r="H35" s="100"/>
      <c r="I35" s="101"/>
      <c r="J35" s="102" t="e">
        <f t="shared" si="0"/>
        <v>#REF!</v>
      </c>
      <c r="K35" s="103"/>
      <c r="L35" s="104"/>
      <c r="M35" s="105">
        <v>5000</v>
      </c>
      <c r="N35" s="103">
        <v>0</v>
      </c>
      <c r="O35" s="106"/>
      <c r="P35" s="103">
        <v>0</v>
      </c>
      <c r="Q35" s="107">
        <f t="shared" si="1"/>
        <v>5000</v>
      </c>
      <c r="R35" s="107"/>
      <c r="S35" s="107"/>
      <c r="T35" s="108">
        <v>5169.8</v>
      </c>
      <c r="U35" s="119"/>
      <c r="V35" s="110">
        <f t="shared" si="2"/>
        <v>169.80000000000018</v>
      </c>
      <c r="W35" s="103"/>
      <c r="X35" s="112">
        <f t="shared" si="3"/>
        <v>5000</v>
      </c>
      <c r="Y35" s="112">
        <f t="shared" si="4"/>
        <v>0</v>
      </c>
      <c r="Z35" s="113">
        <f t="shared" si="5"/>
        <v>0</v>
      </c>
      <c r="AA35" s="113">
        <v>0</v>
      </c>
      <c r="AB35" s="114">
        <v>0</v>
      </c>
      <c r="AC35" s="11">
        <f t="shared" si="6"/>
        <v>0</v>
      </c>
      <c r="AD35" s="115" t="e">
        <f t="shared" si="7"/>
        <v>#REF!</v>
      </c>
      <c r="AE35" s="115">
        <f t="shared" si="8"/>
        <v>0</v>
      </c>
      <c r="AF35" s="115">
        <f t="shared" si="9"/>
        <v>0</v>
      </c>
      <c r="AG35" s="11"/>
      <c r="AH35" s="115">
        <f t="shared" si="10"/>
        <v>5000</v>
      </c>
      <c r="AI35" s="115">
        <f t="shared" si="11"/>
        <v>0</v>
      </c>
      <c r="AJ35" s="115">
        <f t="shared" si="12"/>
        <v>0</v>
      </c>
      <c r="AL35" s="11" t="e">
        <f t="shared" si="13"/>
        <v>#REF!</v>
      </c>
    </row>
    <row r="36" spans="1:38" s="124" customFormat="1">
      <c r="A36" s="123"/>
      <c r="B36" s="123" t="s">
        <v>49</v>
      </c>
      <c r="C36" s="122" t="s">
        <v>70</v>
      </c>
      <c r="D36" s="118" t="s">
        <v>76</v>
      </c>
      <c r="E36" s="98"/>
      <c r="F36" s="99" t="e">
        <f>VLOOKUP(D36,#REF!,19,FALSE)</f>
        <v>#REF!</v>
      </c>
      <c r="G36" s="100"/>
      <c r="H36" s="100"/>
      <c r="I36" s="101"/>
      <c r="J36" s="102" t="e">
        <f t="shared" si="0"/>
        <v>#REF!</v>
      </c>
      <c r="K36" s="103"/>
      <c r="L36" s="104"/>
      <c r="M36" s="105">
        <v>5000</v>
      </c>
      <c r="N36" s="103">
        <v>0</v>
      </c>
      <c r="O36" s="106"/>
      <c r="P36" s="103">
        <v>0</v>
      </c>
      <c r="Q36" s="107">
        <f t="shared" si="1"/>
        <v>5000</v>
      </c>
      <c r="R36" s="107"/>
      <c r="S36" s="107"/>
      <c r="T36" s="108">
        <v>4854.26</v>
      </c>
      <c r="U36" s="119"/>
      <c r="V36" s="110">
        <f t="shared" si="2"/>
        <v>-145.73999999999978</v>
      </c>
      <c r="W36" s="103"/>
      <c r="X36" s="112">
        <f t="shared" si="3"/>
        <v>5000</v>
      </c>
      <c r="Y36" s="112">
        <f t="shared" si="4"/>
        <v>0</v>
      </c>
      <c r="Z36" s="113">
        <f t="shared" si="5"/>
        <v>0</v>
      </c>
      <c r="AA36" s="113">
        <v>0</v>
      </c>
      <c r="AB36" s="114">
        <v>0</v>
      </c>
      <c r="AC36" s="11">
        <f t="shared" si="6"/>
        <v>0</v>
      </c>
      <c r="AD36" s="115" t="e">
        <f t="shared" si="7"/>
        <v>#REF!</v>
      </c>
      <c r="AE36" s="115">
        <f t="shared" si="8"/>
        <v>0</v>
      </c>
      <c r="AF36" s="115">
        <f t="shared" si="9"/>
        <v>0</v>
      </c>
      <c r="AG36" s="11"/>
      <c r="AH36" s="115">
        <f t="shared" si="10"/>
        <v>5000</v>
      </c>
      <c r="AI36" s="115">
        <f t="shared" si="11"/>
        <v>0</v>
      </c>
      <c r="AJ36" s="115">
        <f t="shared" si="12"/>
        <v>0</v>
      </c>
      <c r="AL36" s="11" t="e">
        <f t="shared" si="13"/>
        <v>#REF!</v>
      </c>
    </row>
    <row r="37" spans="1:38" s="124" customFormat="1">
      <c r="A37" s="123"/>
      <c r="B37" s="123" t="s">
        <v>49</v>
      </c>
      <c r="C37" s="122" t="s">
        <v>70</v>
      </c>
      <c r="D37" s="118" t="s">
        <v>77</v>
      </c>
      <c r="E37" s="98"/>
      <c r="F37" s="99" t="e">
        <f>VLOOKUP(D37,#REF!,19,FALSE)</f>
        <v>#REF!</v>
      </c>
      <c r="G37" s="100"/>
      <c r="H37" s="100"/>
      <c r="I37" s="101"/>
      <c r="J37" s="102" t="e">
        <f t="shared" si="0"/>
        <v>#REF!</v>
      </c>
      <c r="K37" s="103"/>
      <c r="L37" s="104"/>
      <c r="M37" s="105">
        <v>5000</v>
      </c>
      <c r="N37" s="103">
        <v>0</v>
      </c>
      <c r="O37" s="106"/>
      <c r="P37" s="103">
        <v>0</v>
      </c>
      <c r="Q37" s="107">
        <f t="shared" si="1"/>
        <v>5000</v>
      </c>
      <c r="R37" s="107"/>
      <c r="S37" s="107"/>
      <c r="T37" s="108">
        <v>4108.6400000000003</v>
      </c>
      <c r="U37" s="119"/>
      <c r="V37" s="110">
        <f t="shared" si="2"/>
        <v>-891.35999999999967</v>
      </c>
      <c r="W37" s="103"/>
      <c r="X37" s="112">
        <f t="shared" si="3"/>
        <v>5000</v>
      </c>
      <c r="Y37" s="112">
        <f t="shared" si="4"/>
        <v>0</v>
      </c>
      <c r="Z37" s="113">
        <f t="shared" si="5"/>
        <v>0</v>
      </c>
      <c r="AA37" s="113">
        <v>0</v>
      </c>
      <c r="AB37" s="114">
        <v>0</v>
      </c>
      <c r="AC37" s="11">
        <f t="shared" si="6"/>
        <v>0</v>
      </c>
      <c r="AD37" s="115" t="e">
        <f t="shared" si="7"/>
        <v>#REF!</v>
      </c>
      <c r="AE37" s="115">
        <f t="shared" si="8"/>
        <v>0</v>
      </c>
      <c r="AF37" s="115">
        <f t="shared" si="9"/>
        <v>0</v>
      </c>
      <c r="AG37" s="11"/>
      <c r="AH37" s="115">
        <f t="shared" si="10"/>
        <v>5000</v>
      </c>
      <c r="AI37" s="115">
        <f t="shared" si="11"/>
        <v>0</v>
      </c>
      <c r="AJ37" s="115">
        <f t="shared" si="12"/>
        <v>0</v>
      </c>
      <c r="AL37" s="11" t="e">
        <f t="shared" si="13"/>
        <v>#REF!</v>
      </c>
    </row>
    <row r="38" spans="1:38" s="124" customFormat="1">
      <c r="A38" s="123"/>
      <c r="B38" s="123" t="s">
        <v>49</v>
      </c>
      <c r="C38" s="122" t="s">
        <v>70</v>
      </c>
      <c r="D38" s="118" t="s">
        <v>78</v>
      </c>
      <c r="E38" s="98"/>
      <c r="F38" s="99" t="e">
        <f>VLOOKUP(D38,#REF!,19,FALSE)</f>
        <v>#REF!</v>
      </c>
      <c r="G38" s="100"/>
      <c r="H38" s="100"/>
      <c r="I38" s="101"/>
      <c r="J38" s="102" t="e">
        <f t="shared" si="0"/>
        <v>#REF!</v>
      </c>
      <c r="K38" s="103"/>
      <c r="L38" s="104"/>
      <c r="M38" s="105">
        <v>25000</v>
      </c>
      <c r="N38" s="103">
        <v>0</v>
      </c>
      <c r="O38" s="106"/>
      <c r="P38" s="103">
        <v>0</v>
      </c>
      <c r="Q38" s="107">
        <f t="shared" si="1"/>
        <v>25000</v>
      </c>
      <c r="R38" s="107"/>
      <c r="S38" s="107"/>
      <c r="T38" s="108">
        <v>23978.720000000001</v>
      </c>
      <c r="U38" s="119"/>
      <c r="V38" s="110">
        <f t="shared" si="2"/>
        <v>-1021.2799999999988</v>
      </c>
      <c r="W38" s="103"/>
      <c r="X38" s="112">
        <f t="shared" si="3"/>
        <v>25000</v>
      </c>
      <c r="Y38" s="112">
        <f t="shared" si="4"/>
        <v>0</v>
      </c>
      <c r="Z38" s="113">
        <f t="shared" si="5"/>
        <v>0</v>
      </c>
      <c r="AA38" s="113">
        <v>0</v>
      </c>
      <c r="AB38" s="114">
        <v>0</v>
      </c>
      <c r="AC38" s="11">
        <f t="shared" si="6"/>
        <v>0</v>
      </c>
      <c r="AD38" s="115" t="e">
        <f t="shared" si="7"/>
        <v>#REF!</v>
      </c>
      <c r="AE38" s="115">
        <f t="shared" si="8"/>
        <v>0</v>
      </c>
      <c r="AF38" s="115">
        <f t="shared" si="9"/>
        <v>0</v>
      </c>
      <c r="AG38" s="11"/>
      <c r="AH38" s="115">
        <f t="shared" si="10"/>
        <v>25000</v>
      </c>
      <c r="AI38" s="115">
        <f t="shared" si="11"/>
        <v>0</v>
      </c>
      <c r="AJ38" s="115">
        <f t="shared" si="12"/>
        <v>0</v>
      </c>
      <c r="AL38" s="11" t="e">
        <f t="shared" si="13"/>
        <v>#REF!</v>
      </c>
    </row>
    <row r="39" spans="1:38" s="124" customFormat="1">
      <c r="A39" s="123"/>
      <c r="B39" s="123" t="s">
        <v>49</v>
      </c>
      <c r="C39" s="122" t="s">
        <v>68</v>
      </c>
      <c r="D39" s="118" t="s">
        <v>79</v>
      </c>
      <c r="E39" s="98"/>
      <c r="F39" s="99" t="e">
        <f>VLOOKUP(D39,#REF!,19,FALSE)</f>
        <v>#REF!</v>
      </c>
      <c r="G39" s="100"/>
      <c r="H39" s="100"/>
      <c r="I39" s="125">
        <v>40681.56</v>
      </c>
      <c r="J39" s="102" t="e">
        <f t="shared" si="0"/>
        <v>#REF!</v>
      </c>
      <c r="K39" s="103"/>
      <c r="L39" s="104"/>
      <c r="M39" s="105"/>
      <c r="N39" s="103">
        <v>0</v>
      </c>
      <c r="O39" s="106"/>
      <c r="P39" s="103">
        <v>0</v>
      </c>
      <c r="Q39" s="107">
        <f t="shared" si="1"/>
        <v>0</v>
      </c>
      <c r="R39" s="107"/>
      <c r="S39" s="107"/>
      <c r="T39" s="108">
        <v>0</v>
      </c>
      <c r="U39" s="119"/>
      <c r="V39" s="110">
        <f t="shared" si="2"/>
        <v>0</v>
      </c>
      <c r="W39" s="103"/>
      <c r="X39" s="112">
        <f t="shared" si="3"/>
        <v>0</v>
      </c>
      <c r="Y39" s="112">
        <f t="shared" si="4"/>
        <v>0</v>
      </c>
      <c r="Z39" s="113">
        <f t="shared" si="5"/>
        <v>0</v>
      </c>
      <c r="AA39" s="113">
        <v>0</v>
      </c>
      <c r="AB39" s="114">
        <v>0</v>
      </c>
      <c r="AC39" s="11">
        <f t="shared" si="6"/>
        <v>0</v>
      </c>
      <c r="AD39" s="115" t="e">
        <f t="shared" si="7"/>
        <v>#REF!</v>
      </c>
      <c r="AE39" s="115">
        <f t="shared" si="8"/>
        <v>0</v>
      </c>
      <c r="AF39" s="115">
        <f t="shared" si="9"/>
        <v>0</v>
      </c>
      <c r="AG39" s="11"/>
      <c r="AH39" s="115">
        <f t="shared" si="10"/>
        <v>0</v>
      </c>
      <c r="AI39" s="115">
        <f t="shared" si="11"/>
        <v>0</v>
      </c>
      <c r="AJ39" s="115">
        <f t="shared" si="12"/>
        <v>0</v>
      </c>
      <c r="AL39" s="11" t="e">
        <f t="shared" si="13"/>
        <v>#REF!</v>
      </c>
    </row>
    <row r="40" spans="1:38" s="124" customFormat="1">
      <c r="A40" s="123"/>
      <c r="B40" s="123" t="s">
        <v>49</v>
      </c>
      <c r="C40" s="126" t="s">
        <v>70</v>
      </c>
      <c r="D40" s="118" t="s">
        <v>80</v>
      </c>
      <c r="E40" s="98"/>
      <c r="F40" s="99" t="e">
        <f>VLOOKUP(D40,#REF!,19,FALSE)</f>
        <v>#REF!</v>
      </c>
      <c r="G40" s="100"/>
      <c r="H40" s="100"/>
      <c r="I40" s="125">
        <v>9055.41</v>
      </c>
      <c r="J40" s="102" t="e">
        <f t="shared" si="0"/>
        <v>#REF!</v>
      </c>
      <c r="K40" s="103"/>
      <c r="L40" s="104"/>
      <c r="M40" s="105"/>
      <c r="N40" s="103">
        <v>0</v>
      </c>
      <c r="O40" s="106"/>
      <c r="P40" s="103">
        <v>0</v>
      </c>
      <c r="Q40" s="107">
        <f t="shared" si="1"/>
        <v>0</v>
      </c>
      <c r="R40" s="107"/>
      <c r="S40" s="107"/>
      <c r="T40" s="108">
        <v>0</v>
      </c>
      <c r="U40" s="119"/>
      <c r="V40" s="110">
        <f t="shared" si="2"/>
        <v>0</v>
      </c>
      <c r="W40" s="103"/>
      <c r="X40" s="112">
        <f t="shared" si="3"/>
        <v>0</v>
      </c>
      <c r="Y40" s="112">
        <f t="shared" si="4"/>
        <v>0</v>
      </c>
      <c r="Z40" s="113">
        <f t="shared" si="5"/>
        <v>0</v>
      </c>
      <c r="AA40" s="113">
        <v>0</v>
      </c>
      <c r="AB40" s="114">
        <v>0</v>
      </c>
      <c r="AC40" s="11">
        <f t="shared" si="6"/>
        <v>0</v>
      </c>
      <c r="AD40" s="115" t="e">
        <f t="shared" si="7"/>
        <v>#REF!</v>
      </c>
      <c r="AE40" s="115">
        <f t="shared" si="8"/>
        <v>0</v>
      </c>
      <c r="AF40" s="115">
        <f t="shared" si="9"/>
        <v>0</v>
      </c>
      <c r="AG40" s="11"/>
      <c r="AH40" s="115">
        <f t="shared" si="10"/>
        <v>0</v>
      </c>
      <c r="AI40" s="115">
        <f t="shared" si="11"/>
        <v>0</v>
      </c>
      <c r="AJ40" s="115">
        <f t="shared" si="12"/>
        <v>0</v>
      </c>
      <c r="AL40" s="11" t="e">
        <f t="shared" si="13"/>
        <v>#REF!</v>
      </c>
    </row>
    <row r="41" spans="1:38" s="124" customFormat="1">
      <c r="A41" s="127"/>
      <c r="B41" s="127" t="s">
        <v>81</v>
      </c>
      <c r="C41" s="96" t="s">
        <v>84</v>
      </c>
      <c r="D41" s="118" t="s">
        <v>83</v>
      </c>
      <c r="E41" s="98"/>
      <c r="F41" s="99" t="e">
        <f>VLOOKUP(D41,#REF!,19,FALSE)</f>
        <v>#REF!</v>
      </c>
      <c r="G41" s="100"/>
      <c r="H41" s="100"/>
      <c r="I41" s="101"/>
      <c r="J41" s="102" t="e">
        <f t="shared" si="0"/>
        <v>#REF!</v>
      </c>
      <c r="K41" s="103"/>
      <c r="L41" s="104"/>
      <c r="M41" s="105">
        <v>8000</v>
      </c>
      <c r="N41" s="103">
        <v>0</v>
      </c>
      <c r="O41" s="106"/>
      <c r="P41" s="103">
        <v>0</v>
      </c>
      <c r="Q41" s="107">
        <f t="shared" si="1"/>
        <v>8000</v>
      </c>
      <c r="R41" s="107"/>
      <c r="S41" s="107"/>
      <c r="T41" s="108">
        <v>7717.36</v>
      </c>
      <c r="U41" s="119"/>
      <c r="V41" s="110">
        <f t="shared" si="2"/>
        <v>-282.64000000000033</v>
      </c>
      <c r="W41" s="103"/>
      <c r="X41" s="112">
        <f t="shared" si="3"/>
        <v>0</v>
      </c>
      <c r="Y41" s="112">
        <f t="shared" si="4"/>
        <v>0</v>
      </c>
      <c r="Z41" s="113">
        <f t="shared" si="5"/>
        <v>8000</v>
      </c>
      <c r="AA41" s="113">
        <v>0</v>
      </c>
      <c r="AB41" s="114">
        <v>0</v>
      </c>
      <c r="AC41" s="11">
        <f t="shared" si="6"/>
        <v>0</v>
      </c>
      <c r="AD41" s="115">
        <f t="shared" si="7"/>
        <v>0</v>
      </c>
      <c r="AE41" s="115">
        <f t="shared" si="8"/>
        <v>0</v>
      </c>
      <c r="AF41" s="115" t="e">
        <f t="shared" si="9"/>
        <v>#REF!</v>
      </c>
      <c r="AG41" s="11"/>
      <c r="AH41" s="115">
        <f t="shared" si="10"/>
        <v>0</v>
      </c>
      <c r="AI41" s="115">
        <f t="shared" si="11"/>
        <v>0</v>
      </c>
      <c r="AJ41" s="115">
        <f t="shared" si="12"/>
        <v>8000</v>
      </c>
      <c r="AL41" s="11" t="e">
        <f t="shared" si="13"/>
        <v>#REF!</v>
      </c>
    </row>
    <row r="42" spans="1:38" s="124" customFormat="1">
      <c r="A42" s="127"/>
      <c r="B42" s="127" t="s">
        <v>49</v>
      </c>
      <c r="C42" s="96"/>
      <c r="D42" s="118" t="s">
        <v>85</v>
      </c>
      <c r="E42" s="98"/>
      <c r="F42" s="99" t="e">
        <f>VLOOKUP(D42,#REF!,19,FALSE)</f>
        <v>#REF!</v>
      </c>
      <c r="G42" s="100"/>
      <c r="H42" s="100"/>
      <c r="I42" s="125">
        <f>13992.31+13753.49</f>
        <v>27745.8</v>
      </c>
      <c r="J42" s="102" t="e">
        <f t="shared" si="0"/>
        <v>#REF!</v>
      </c>
      <c r="K42" s="103"/>
      <c r="L42" s="104"/>
      <c r="M42" s="105">
        <v>14000</v>
      </c>
      <c r="N42" s="103">
        <v>0</v>
      </c>
      <c r="O42" s="106"/>
      <c r="P42" s="103">
        <v>0</v>
      </c>
      <c r="Q42" s="107">
        <f t="shared" si="1"/>
        <v>14000</v>
      </c>
      <c r="R42" s="107"/>
      <c r="S42" s="107"/>
      <c r="T42" s="108">
        <v>13731.34</v>
      </c>
      <c r="U42" s="119"/>
      <c r="V42" s="110">
        <f t="shared" si="2"/>
        <v>-268.65999999999985</v>
      </c>
      <c r="W42" s="103"/>
      <c r="X42" s="112">
        <f t="shared" si="3"/>
        <v>14000</v>
      </c>
      <c r="Y42" s="112">
        <f t="shared" si="4"/>
        <v>0</v>
      </c>
      <c r="Z42" s="113">
        <f t="shared" si="5"/>
        <v>0</v>
      </c>
      <c r="AA42" s="113">
        <v>0</v>
      </c>
      <c r="AB42" s="114">
        <v>0</v>
      </c>
      <c r="AC42" s="11">
        <f t="shared" si="6"/>
        <v>0</v>
      </c>
      <c r="AD42" s="115" t="e">
        <f t="shared" si="7"/>
        <v>#REF!</v>
      </c>
      <c r="AE42" s="115">
        <f t="shared" si="8"/>
        <v>0</v>
      </c>
      <c r="AF42" s="115">
        <f t="shared" si="9"/>
        <v>0</v>
      </c>
      <c r="AG42" s="11"/>
      <c r="AH42" s="115">
        <f t="shared" si="10"/>
        <v>14000</v>
      </c>
      <c r="AI42" s="115">
        <f t="shared" si="11"/>
        <v>0</v>
      </c>
      <c r="AJ42" s="115">
        <f t="shared" si="12"/>
        <v>0</v>
      </c>
      <c r="AL42" s="11" t="e">
        <f t="shared" si="13"/>
        <v>#REF!</v>
      </c>
    </row>
    <row r="43" spans="1:38">
      <c r="A43" s="129"/>
      <c r="B43" s="129" t="s">
        <v>49</v>
      </c>
      <c r="C43" s="96"/>
      <c r="D43" s="120" t="s">
        <v>86</v>
      </c>
      <c r="E43" s="98">
        <v>13545.26</v>
      </c>
      <c r="F43" s="99" t="e">
        <f>VLOOKUP(D43,#REF!,19,FALSE)</f>
        <v>#REF!</v>
      </c>
      <c r="G43" s="100"/>
      <c r="H43" s="100"/>
      <c r="I43" s="101"/>
      <c r="J43" s="102" t="e">
        <f t="shared" si="0"/>
        <v>#REF!</v>
      </c>
      <c r="K43" s="103"/>
      <c r="L43" s="104"/>
      <c r="M43" s="105">
        <v>15000</v>
      </c>
      <c r="N43" s="103">
        <v>0</v>
      </c>
      <c r="O43" s="106"/>
      <c r="P43" s="103">
        <v>0</v>
      </c>
      <c r="Q43" s="107">
        <f t="shared" si="1"/>
        <v>15000</v>
      </c>
      <c r="R43" s="107"/>
      <c r="S43" s="107"/>
      <c r="T43" s="108">
        <v>0</v>
      </c>
      <c r="U43" s="119"/>
      <c r="V43" s="110">
        <f t="shared" si="2"/>
        <v>-15000</v>
      </c>
      <c r="W43" s="103"/>
      <c r="X43" s="112">
        <f t="shared" si="3"/>
        <v>15000</v>
      </c>
      <c r="Y43" s="112">
        <f t="shared" si="4"/>
        <v>0</v>
      </c>
      <c r="Z43" s="113">
        <f t="shared" si="5"/>
        <v>0</v>
      </c>
      <c r="AA43" s="113">
        <v>0</v>
      </c>
      <c r="AB43" s="114">
        <v>0</v>
      </c>
      <c r="AC43" s="11">
        <f t="shared" si="6"/>
        <v>0</v>
      </c>
      <c r="AD43" s="115" t="e">
        <f t="shared" si="7"/>
        <v>#REF!</v>
      </c>
      <c r="AE43" s="115">
        <f t="shared" si="8"/>
        <v>0</v>
      </c>
      <c r="AF43" s="115">
        <f t="shared" si="9"/>
        <v>0</v>
      </c>
      <c r="AG43" s="11"/>
      <c r="AH43" s="115">
        <f t="shared" si="10"/>
        <v>15000</v>
      </c>
      <c r="AI43" s="115">
        <f t="shared" si="11"/>
        <v>0</v>
      </c>
      <c r="AJ43" s="115">
        <f t="shared" si="12"/>
        <v>0</v>
      </c>
      <c r="AL43" s="11" t="e">
        <f t="shared" si="13"/>
        <v>#REF!</v>
      </c>
    </row>
    <row r="44" spans="1:38">
      <c r="A44" s="116"/>
      <c r="B44" s="116" t="s">
        <v>46</v>
      </c>
      <c r="C44" s="122"/>
      <c r="D44" s="120" t="s">
        <v>87</v>
      </c>
      <c r="E44" s="98"/>
      <c r="F44" s="99" t="e">
        <f>VLOOKUP(D44,#REF!,19,FALSE)</f>
        <v>#REF!</v>
      </c>
      <c r="G44" s="100"/>
      <c r="H44" s="100"/>
      <c r="I44" s="101"/>
      <c r="J44" s="102" t="e">
        <f t="shared" si="0"/>
        <v>#REF!</v>
      </c>
      <c r="K44" s="103"/>
      <c r="L44" s="104"/>
      <c r="M44" s="105"/>
      <c r="N44" s="103">
        <v>0</v>
      </c>
      <c r="O44" s="106"/>
      <c r="P44" s="103">
        <v>0</v>
      </c>
      <c r="Q44" s="107">
        <f t="shared" si="1"/>
        <v>0</v>
      </c>
      <c r="R44" s="107"/>
      <c r="S44" s="107"/>
      <c r="T44" s="108">
        <v>0</v>
      </c>
      <c r="U44" s="119"/>
      <c r="V44" s="110">
        <f t="shared" si="2"/>
        <v>0</v>
      </c>
      <c r="W44" s="103"/>
      <c r="X44" s="112">
        <f t="shared" si="3"/>
        <v>0</v>
      </c>
      <c r="Y44" s="112">
        <f t="shared" si="4"/>
        <v>0</v>
      </c>
      <c r="Z44" s="113">
        <f t="shared" si="5"/>
        <v>0</v>
      </c>
      <c r="AA44" s="113">
        <v>0</v>
      </c>
      <c r="AB44" s="114">
        <v>0</v>
      </c>
      <c r="AC44" s="11">
        <f t="shared" si="6"/>
        <v>0</v>
      </c>
      <c r="AD44" s="115">
        <f t="shared" si="7"/>
        <v>0</v>
      </c>
      <c r="AE44" s="115" t="e">
        <f t="shared" si="8"/>
        <v>#REF!</v>
      </c>
      <c r="AF44" s="115">
        <f t="shared" si="9"/>
        <v>0</v>
      </c>
      <c r="AG44" s="11"/>
      <c r="AH44" s="115">
        <f t="shared" si="10"/>
        <v>0</v>
      </c>
      <c r="AI44" s="115">
        <f t="shared" si="11"/>
        <v>0</v>
      </c>
      <c r="AJ44" s="115">
        <f t="shared" si="12"/>
        <v>0</v>
      </c>
      <c r="AL44" s="11" t="e">
        <f t="shared" si="13"/>
        <v>#REF!</v>
      </c>
    </row>
    <row r="45" spans="1:38">
      <c r="A45" s="116"/>
      <c r="B45" s="116" t="s">
        <v>49</v>
      </c>
      <c r="C45" s="122"/>
      <c r="D45" s="120" t="s">
        <v>88</v>
      </c>
      <c r="E45" s="98"/>
      <c r="F45" s="99" t="e">
        <f>VLOOKUP(D45,#REF!,19,FALSE)</f>
        <v>#REF!</v>
      </c>
      <c r="G45" s="100"/>
      <c r="H45" s="100"/>
      <c r="I45" s="101"/>
      <c r="J45" s="102" t="e">
        <f t="shared" si="0"/>
        <v>#REF!</v>
      </c>
      <c r="K45" s="103"/>
      <c r="L45" s="104"/>
      <c r="M45" s="105"/>
      <c r="N45" s="103">
        <v>0</v>
      </c>
      <c r="O45" s="106"/>
      <c r="P45" s="103">
        <v>0</v>
      </c>
      <c r="Q45" s="107">
        <f t="shared" si="1"/>
        <v>0</v>
      </c>
      <c r="R45" s="107"/>
      <c r="S45" s="107"/>
      <c r="T45" s="108">
        <v>0</v>
      </c>
      <c r="U45" s="119"/>
      <c r="V45" s="110">
        <f t="shared" si="2"/>
        <v>0</v>
      </c>
      <c r="W45" s="103"/>
      <c r="X45" s="112">
        <f t="shared" si="3"/>
        <v>0</v>
      </c>
      <c r="Y45" s="112">
        <f t="shared" si="4"/>
        <v>0</v>
      </c>
      <c r="Z45" s="113">
        <f t="shared" si="5"/>
        <v>0</v>
      </c>
      <c r="AA45" s="113">
        <v>0</v>
      </c>
      <c r="AB45" s="114">
        <v>0</v>
      </c>
      <c r="AC45" s="11">
        <f t="shared" si="6"/>
        <v>0</v>
      </c>
      <c r="AD45" s="115" t="e">
        <f t="shared" si="7"/>
        <v>#REF!</v>
      </c>
      <c r="AE45" s="115">
        <f t="shared" si="8"/>
        <v>0</v>
      </c>
      <c r="AF45" s="115">
        <f t="shared" si="9"/>
        <v>0</v>
      </c>
      <c r="AG45" s="11"/>
      <c r="AH45" s="115">
        <f t="shared" si="10"/>
        <v>0</v>
      </c>
      <c r="AI45" s="115">
        <f t="shared" si="11"/>
        <v>0</v>
      </c>
      <c r="AJ45" s="115">
        <f t="shared" si="12"/>
        <v>0</v>
      </c>
      <c r="AL45" s="11" t="e">
        <f t="shared" si="13"/>
        <v>#REF!</v>
      </c>
    </row>
    <row r="46" spans="1:38">
      <c r="A46" s="116"/>
      <c r="B46" s="116" t="s">
        <v>49</v>
      </c>
      <c r="C46" s="122"/>
      <c r="D46" s="120" t="s">
        <v>89</v>
      </c>
      <c r="E46" s="98"/>
      <c r="F46" s="99" t="e">
        <f>VLOOKUP(D46,#REF!,19,FALSE)</f>
        <v>#REF!</v>
      </c>
      <c r="G46" s="100"/>
      <c r="H46" s="100"/>
      <c r="I46" s="101"/>
      <c r="J46" s="102" t="e">
        <f t="shared" si="0"/>
        <v>#REF!</v>
      </c>
      <c r="K46" s="103"/>
      <c r="L46" s="104"/>
      <c r="M46" s="105">
        <v>100000</v>
      </c>
      <c r="N46" s="103">
        <v>0</v>
      </c>
      <c r="O46" s="106"/>
      <c r="P46" s="103">
        <v>0</v>
      </c>
      <c r="Q46" s="107">
        <f t="shared" si="1"/>
        <v>100000</v>
      </c>
      <c r="R46" s="107"/>
      <c r="S46" s="107"/>
      <c r="T46" s="108">
        <v>0</v>
      </c>
      <c r="U46" s="119"/>
      <c r="V46" s="110">
        <f t="shared" si="2"/>
        <v>-100000</v>
      </c>
      <c r="W46" s="103"/>
      <c r="X46" s="112">
        <f t="shared" si="3"/>
        <v>100000</v>
      </c>
      <c r="Y46" s="112">
        <f t="shared" si="4"/>
        <v>0</v>
      </c>
      <c r="Z46" s="113">
        <f t="shared" si="5"/>
        <v>0</v>
      </c>
      <c r="AA46" s="113">
        <v>0</v>
      </c>
      <c r="AB46" s="114">
        <v>0</v>
      </c>
      <c r="AC46" s="11">
        <f t="shared" si="6"/>
        <v>0</v>
      </c>
      <c r="AD46" s="115" t="e">
        <f t="shared" si="7"/>
        <v>#REF!</v>
      </c>
      <c r="AE46" s="115">
        <f t="shared" si="8"/>
        <v>0</v>
      </c>
      <c r="AF46" s="115">
        <f t="shared" si="9"/>
        <v>0</v>
      </c>
      <c r="AG46" s="11"/>
      <c r="AH46" s="115">
        <f t="shared" si="10"/>
        <v>100000</v>
      </c>
      <c r="AI46" s="115">
        <f t="shared" si="11"/>
        <v>0</v>
      </c>
      <c r="AJ46" s="115">
        <f t="shared" si="12"/>
        <v>0</v>
      </c>
      <c r="AL46" s="11" t="e">
        <f t="shared" si="13"/>
        <v>#REF!</v>
      </c>
    </row>
    <row r="47" spans="1:38">
      <c r="A47" s="116"/>
      <c r="B47" s="116" t="s">
        <v>46</v>
      </c>
      <c r="C47" s="122"/>
      <c r="D47" s="120" t="s">
        <v>90</v>
      </c>
      <c r="E47" s="98">
        <v>1883.71</v>
      </c>
      <c r="F47" s="99" t="e">
        <f>VLOOKUP(D47,#REF!,19,FALSE)</f>
        <v>#REF!</v>
      </c>
      <c r="G47" s="100"/>
      <c r="H47" s="100"/>
      <c r="I47" s="125">
        <v>6641.52</v>
      </c>
      <c r="J47" s="102" t="e">
        <f t="shared" si="0"/>
        <v>#REF!</v>
      </c>
      <c r="K47" s="103"/>
      <c r="L47" s="104"/>
      <c r="M47" s="105"/>
      <c r="N47" s="103">
        <v>0</v>
      </c>
      <c r="O47" s="106"/>
      <c r="P47" s="103">
        <v>0</v>
      </c>
      <c r="Q47" s="107">
        <f t="shared" si="1"/>
        <v>0</v>
      </c>
      <c r="R47" s="107"/>
      <c r="S47" s="107"/>
      <c r="T47" s="108">
        <v>0</v>
      </c>
      <c r="U47" s="119"/>
      <c r="V47" s="110">
        <f t="shared" si="2"/>
        <v>0</v>
      </c>
      <c r="W47" s="103"/>
      <c r="X47" s="112">
        <f t="shared" si="3"/>
        <v>0</v>
      </c>
      <c r="Y47" s="112">
        <f t="shared" si="4"/>
        <v>0</v>
      </c>
      <c r="Z47" s="113">
        <f t="shared" si="5"/>
        <v>0</v>
      </c>
      <c r="AA47" s="113">
        <v>0</v>
      </c>
      <c r="AB47" s="114">
        <v>0</v>
      </c>
      <c r="AC47" s="11">
        <f t="shared" si="6"/>
        <v>0</v>
      </c>
      <c r="AD47" s="115">
        <f t="shared" si="7"/>
        <v>0</v>
      </c>
      <c r="AE47" s="115" t="e">
        <f t="shared" si="8"/>
        <v>#REF!</v>
      </c>
      <c r="AF47" s="115">
        <f t="shared" si="9"/>
        <v>0</v>
      </c>
      <c r="AG47" s="11"/>
      <c r="AH47" s="115">
        <f t="shared" si="10"/>
        <v>0</v>
      </c>
      <c r="AI47" s="115">
        <f t="shared" si="11"/>
        <v>0</v>
      </c>
      <c r="AJ47" s="115">
        <f t="shared" si="12"/>
        <v>0</v>
      </c>
      <c r="AL47" s="11" t="e">
        <f t="shared" si="13"/>
        <v>#REF!</v>
      </c>
    </row>
    <row r="48" spans="1:38">
      <c r="A48" s="116"/>
      <c r="B48" s="116" t="s">
        <v>49</v>
      </c>
      <c r="C48" s="122" t="s">
        <v>91</v>
      </c>
      <c r="D48" s="120" t="s">
        <v>92</v>
      </c>
      <c r="E48" s="98"/>
      <c r="F48" s="99" t="e">
        <f>VLOOKUP(D48,#REF!,19,FALSE)</f>
        <v>#REF!</v>
      </c>
      <c r="G48" s="100"/>
      <c r="H48" s="100"/>
      <c r="I48" s="101"/>
      <c r="J48" s="102" t="e">
        <f t="shared" si="0"/>
        <v>#REF!</v>
      </c>
      <c r="K48" s="103"/>
      <c r="L48" s="104"/>
      <c r="M48" s="105"/>
      <c r="N48" s="103">
        <v>0</v>
      </c>
      <c r="O48" s="106"/>
      <c r="P48" s="103">
        <v>0</v>
      </c>
      <c r="Q48" s="107">
        <f t="shared" si="1"/>
        <v>0</v>
      </c>
      <c r="R48" s="107"/>
      <c r="S48" s="107"/>
      <c r="T48" s="108">
        <v>1667.48</v>
      </c>
      <c r="U48" s="119"/>
      <c r="V48" s="110">
        <f t="shared" si="2"/>
        <v>1667.48</v>
      </c>
      <c r="W48" s="103"/>
      <c r="X48" s="112">
        <f t="shared" si="3"/>
        <v>0</v>
      </c>
      <c r="Y48" s="112">
        <f t="shared" si="4"/>
        <v>0</v>
      </c>
      <c r="Z48" s="113">
        <f t="shared" si="5"/>
        <v>0</v>
      </c>
      <c r="AA48" s="113">
        <v>0</v>
      </c>
      <c r="AB48" s="114">
        <v>0</v>
      </c>
      <c r="AC48" s="11">
        <f t="shared" si="6"/>
        <v>0</v>
      </c>
      <c r="AD48" s="115" t="e">
        <f t="shared" si="7"/>
        <v>#REF!</v>
      </c>
      <c r="AE48" s="115">
        <f t="shared" si="8"/>
        <v>0</v>
      </c>
      <c r="AF48" s="115">
        <f t="shared" si="9"/>
        <v>0</v>
      </c>
      <c r="AG48" s="11"/>
      <c r="AH48" s="115">
        <f t="shared" si="10"/>
        <v>0</v>
      </c>
      <c r="AI48" s="115">
        <f t="shared" si="11"/>
        <v>0</v>
      </c>
      <c r="AJ48" s="115">
        <f t="shared" si="12"/>
        <v>0</v>
      </c>
      <c r="AL48" s="11" t="e">
        <f t="shared" si="13"/>
        <v>#REF!</v>
      </c>
    </row>
    <row r="49" spans="1:38" hidden="1">
      <c r="A49" s="116"/>
      <c r="B49" s="116" t="s">
        <v>49</v>
      </c>
      <c r="C49" s="122" t="s">
        <v>93</v>
      </c>
      <c r="D49" s="120" t="s">
        <v>94</v>
      </c>
      <c r="E49" s="98"/>
      <c r="F49" s="99" t="e">
        <f>VLOOKUP(D49,#REF!,19,FALSE)</f>
        <v>#REF!</v>
      </c>
      <c r="G49" s="100"/>
      <c r="H49" s="100"/>
      <c r="I49" s="101"/>
      <c r="J49" s="102" t="e">
        <f t="shared" si="0"/>
        <v>#REF!</v>
      </c>
      <c r="K49" s="103"/>
      <c r="L49" s="104"/>
      <c r="M49" s="105"/>
      <c r="N49" s="103">
        <v>0</v>
      </c>
      <c r="O49" s="106"/>
      <c r="P49" s="103">
        <v>0</v>
      </c>
      <c r="Q49" s="107">
        <f t="shared" si="1"/>
        <v>0</v>
      </c>
      <c r="R49" s="107"/>
      <c r="S49" s="107"/>
      <c r="T49" s="108">
        <v>0</v>
      </c>
      <c r="U49" s="119"/>
      <c r="V49" s="110">
        <f t="shared" si="2"/>
        <v>0</v>
      </c>
      <c r="W49" s="103"/>
      <c r="X49" s="112">
        <f t="shared" si="3"/>
        <v>0</v>
      </c>
      <c r="Y49" s="112">
        <f t="shared" si="4"/>
        <v>0</v>
      </c>
      <c r="Z49" s="113">
        <f t="shared" si="5"/>
        <v>0</v>
      </c>
      <c r="AA49" s="113">
        <v>0</v>
      </c>
      <c r="AB49" s="114">
        <v>0</v>
      </c>
      <c r="AC49" s="11">
        <f t="shared" si="6"/>
        <v>0</v>
      </c>
      <c r="AD49" s="115" t="e">
        <f t="shared" si="7"/>
        <v>#REF!</v>
      </c>
      <c r="AE49" s="115">
        <f t="shared" si="8"/>
        <v>0</v>
      </c>
      <c r="AF49" s="115">
        <f t="shared" si="9"/>
        <v>0</v>
      </c>
      <c r="AG49" s="11"/>
      <c r="AH49" s="115">
        <f t="shared" si="10"/>
        <v>0</v>
      </c>
      <c r="AI49" s="115">
        <f t="shared" si="11"/>
        <v>0</v>
      </c>
      <c r="AJ49" s="115">
        <f t="shared" si="12"/>
        <v>0</v>
      </c>
      <c r="AL49" s="11" t="e">
        <f t="shared" si="13"/>
        <v>#REF!</v>
      </c>
    </row>
    <row r="50" spans="1:38">
      <c r="A50" s="116" t="s">
        <v>60</v>
      </c>
      <c r="B50" s="116" t="s">
        <v>49</v>
      </c>
      <c r="C50" s="122" t="s">
        <v>95</v>
      </c>
      <c r="D50" s="120" t="s">
        <v>96</v>
      </c>
      <c r="E50" s="98"/>
      <c r="F50" s="99" t="e">
        <f>VLOOKUP(D50,#REF!,19,FALSE)</f>
        <v>#REF!</v>
      </c>
      <c r="G50" s="100"/>
      <c r="H50" s="100"/>
      <c r="I50" s="101"/>
      <c r="J50" s="102" t="e">
        <f t="shared" si="0"/>
        <v>#REF!</v>
      </c>
      <c r="K50" s="103"/>
      <c r="L50" s="104"/>
      <c r="M50" s="105">
        <v>90000</v>
      </c>
      <c r="N50" s="103">
        <v>0</v>
      </c>
      <c r="O50" s="106"/>
      <c r="P50" s="103">
        <v>0</v>
      </c>
      <c r="Q50" s="107">
        <f t="shared" si="1"/>
        <v>90000</v>
      </c>
      <c r="R50" s="107"/>
      <c r="S50" s="107"/>
      <c r="T50" s="108">
        <v>84162.89</v>
      </c>
      <c r="U50" s="119"/>
      <c r="V50" s="110">
        <f t="shared" si="2"/>
        <v>-5837.1100000000006</v>
      </c>
      <c r="W50" s="103"/>
      <c r="X50" s="112">
        <f t="shared" si="3"/>
        <v>90000</v>
      </c>
      <c r="Y50" s="112">
        <f t="shared" si="4"/>
        <v>0</v>
      </c>
      <c r="Z50" s="113">
        <f t="shared" si="5"/>
        <v>0</v>
      </c>
      <c r="AA50" s="113">
        <v>0</v>
      </c>
      <c r="AB50" s="114">
        <v>0</v>
      </c>
      <c r="AC50" s="11">
        <f t="shared" si="6"/>
        <v>0</v>
      </c>
      <c r="AD50" s="115" t="e">
        <f t="shared" si="7"/>
        <v>#REF!</v>
      </c>
      <c r="AE50" s="115">
        <f t="shared" si="8"/>
        <v>0</v>
      </c>
      <c r="AF50" s="115">
        <f t="shared" si="9"/>
        <v>0</v>
      </c>
      <c r="AG50" s="11"/>
      <c r="AH50" s="115">
        <f t="shared" si="10"/>
        <v>90000</v>
      </c>
      <c r="AI50" s="115">
        <f t="shared" si="11"/>
        <v>0</v>
      </c>
      <c r="AJ50" s="115">
        <f t="shared" si="12"/>
        <v>0</v>
      </c>
      <c r="AL50" s="11" t="e">
        <f t="shared" si="13"/>
        <v>#REF!</v>
      </c>
    </row>
    <row r="51" spans="1:38" s="124" customFormat="1" hidden="1">
      <c r="A51" s="123" t="s">
        <v>154</v>
      </c>
      <c r="B51" s="123" t="s">
        <v>46</v>
      </c>
      <c r="C51" s="122" t="s">
        <v>99</v>
      </c>
      <c r="D51" s="118" t="s">
        <v>395</v>
      </c>
      <c r="E51" s="98"/>
      <c r="F51" s="99" t="e">
        <f>VLOOKUP(D51,#REF!,19,FALSE)</f>
        <v>#REF!</v>
      </c>
      <c r="G51" s="100"/>
      <c r="H51" s="100"/>
      <c r="I51" s="101"/>
      <c r="J51" s="102" t="e">
        <f t="shared" si="0"/>
        <v>#REF!</v>
      </c>
      <c r="K51" s="103"/>
      <c r="L51" s="104"/>
      <c r="M51" s="105"/>
      <c r="N51" s="103">
        <v>0</v>
      </c>
      <c r="O51" s="106"/>
      <c r="P51" s="103">
        <v>0</v>
      </c>
      <c r="Q51" s="107">
        <f t="shared" si="1"/>
        <v>0</v>
      </c>
      <c r="R51" s="107"/>
      <c r="S51" s="107"/>
      <c r="T51" s="108">
        <v>0</v>
      </c>
      <c r="U51" s="119"/>
      <c r="V51" s="110">
        <f t="shared" si="2"/>
        <v>0</v>
      </c>
      <c r="W51" s="103"/>
      <c r="X51" s="112">
        <f t="shared" si="3"/>
        <v>0</v>
      </c>
      <c r="Y51" s="112">
        <f t="shared" si="4"/>
        <v>0</v>
      </c>
      <c r="Z51" s="113">
        <f t="shared" si="5"/>
        <v>0</v>
      </c>
      <c r="AA51" s="113">
        <v>0</v>
      </c>
      <c r="AB51" s="114">
        <v>0</v>
      </c>
      <c r="AC51" s="11">
        <f t="shared" si="6"/>
        <v>0</v>
      </c>
      <c r="AD51" s="115">
        <f t="shared" si="7"/>
        <v>0</v>
      </c>
      <c r="AE51" s="115" t="e">
        <f t="shared" si="8"/>
        <v>#REF!</v>
      </c>
      <c r="AF51" s="115">
        <f t="shared" si="9"/>
        <v>0</v>
      </c>
      <c r="AG51" s="11"/>
      <c r="AH51" s="115">
        <f t="shared" si="10"/>
        <v>0</v>
      </c>
      <c r="AI51" s="115">
        <f t="shared" si="11"/>
        <v>0</v>
      </c>
      <c r="AJ51" s="115">
        <f t="shared" si="12"/>
        <v>0</v>
      </c>
      <c r="AL51" s="11" t="e">
        <f t="shared" si="13"/>
        <v>#REF!</v>
      </c>
    </row>
    <row r="52" spans="1:38" s="124" customFormat="1" hidden="1">
      <c r="A52" s="123"/>
      <c r="B52" s="123" t="s">
        <v>46</v>
      </c>
      <c r="C52" s="122" t="s">
        <v>99</v>
      </c>
      <c r="D52" s="118" t="s">
        <v>100</v>
      </c>
      <c r="E52" s="98"/>
      <c r="F52" s="99" t="e">
        <f>VLOOKUP(D52,#REF!,19,FALSE)</f>
        <v>#REF!</v>
      </c>
      <c r="G52" s="100"/>
      <c r="H52" s="100"/>
      <c r="I52" s="101"/>
      <c r="J52" s="102" t="e">
        <f t="shared" si="0"/>
        <v>#REF!</v>
      </c>
      <c r="K52" s="103"/>
      <c r="L52" s="104"/>
      <c r="M52" s="105"/>
      <c r="N52" s="103">
        <v>0</v>
      </c>
      <c r="O52" s="106"/>
      <c r="P52" s="103">
        <v>0</v>
      </c>
      <c r="Q52" s="107">
        <f t="shared" si="1"/>
        <v>0</v>
      </c>
      <c r="R52" s="107"/>
      <c r="S52" s="107"/>
      <c r="T52" s="108">
        <v>0</v>
      </c>
      <c r="U52" s="119"/>
      <c r="V52" s="110">
        <f t="shared" si="2"/>
        <v>0</v>
      </c>
      <c r="W52" s="103"/>
      <c r="X52" s="112">
        <f t="shared" si="3"/>
        <v>0</v>
      </c>
      <c r="Y52" s="112">
        <f t="shared" si="4"/>
        <v>0</v>
      </c>
      <c r="Z52" s="113">
        <f t="shared" si="5"/>
        <v>0</v>
      </c>
      <c r="AA52" s="113">
        <v>0</v>
      </c>
      <c r="AB52" s="114">
        <v>0</v>
      </c>
      <c r="AC52" s="11">
        <f t="shared" si="6"/>
        <v>0</v>
      </c>
      <c r="AD52" s="115">
        <f t="shared" si="7"/>
        <v>0</v>
      </c>
      <c r="AE52" s="115" t="e">
        <f t="shared" si="8"/>
        <v>#REF!</v>
      </c>
      <c r="AF52" s="115">
        <f t="shared" si="9"/>
        <v>0</v>
      </c>
      <c r="AG52" s="11"/>
      <c r="AH52" s="115">
        <f t="shared" si="10"/>
        <v>0</v>
      </c>
      <c r="AI52" s="115">
        <f t="shared" si="11"/>
        <v>0</v>
      </c>
      <c r="AJ52" s="115">
        <f t="shared" si="12"/>
        <v>0</v>
      </c>
      <c r="AL52" s="11" t="e">
        <f t="shared" si="13"/>
        <v>#REF!</v>
      </c>
    </row>
    <row r="53" spans="1:38" s="124" customFormat="1" hidden="1">
      <c r="A53" s="123"/>
      <c r="B53" s="123" t="s">
        <v>46</v>
      </c>
      <c r="C53" s="122" t="s">
        <v>99</v>
      </c>
      <c r="D53" s="118" t="s">
        <v>101</v>
      </c>
      <c r="E53" s="98"/>
      <c r="F53" s="99" t="e">
        <f>VLOOKUP(D53,#REF!,19,FALSE)</f>
        <v>#REF!</v>
      </c>
      <c r="G53" s="100"/>
      <c r="H53" s="100"/>
      <c r="I53" s="101"/>
      <c r="J53" s="102" t="e">
        <f t="shared" si="0"/>
        <v>#REF!</v>
      </c>
      <c r="K53" s="103"/>
      <c r="L53" s="104"/>
      <c r="M53" s="105"/>
      <c r="N53" s="103">
        <v>0</v>
      </c>
      <c r="O53" s="106"/>
      <c r="P53" s="103">
        <v>0</v>
      </c>
      <c r="Q53" s="107">
        <f t="shared" si="1"/>
        <v>0</v>
      </c>
      <c r="R53" s="107"/>
      <c r="S53" s="107"/>
      <c r="T53" s="108">
        <v>0</v>
      </c>
      <c r="U53" s="119"/>
      <c r="V53" s="110">
        <f t="shared" si="2"/>
        <v>0</v>
      </c>
      <c r="W53" s="103"/>
      <c r="X53" s="112">
        <f t="shared" si="3"/>
        <v>0</v>
      </c>
      <c r="Y53" s="112">
        <f t="shared" si="4"/>
        <v>0</v>
      </c>
      <c r="Z53" s="113">
        <f t="shared" si="5"/>
        <v>0</v>
      </c>
      <c r="AA53" s="113">
        <v>0</v>
      </c>
      <c r="AB53" s="114">
        <v>0</v>
      </c>
      <c r="AC53" s="11">
        <f t="shared" si="6"/>
        <v>0</v>
      </c>
      <c r="AD53" s="115">
        <f t="shared" si="7"/>
        <v>0</v>
      </c>
      <c r="AE53" s="115" t="e">
        <f t="shared" si="8"/>
        <v>#REF!</v>
      </c>
      <c r="AF53" s="115">
        <f t="shared" si="9"/>
        <v>0</v>
      </c>
      <c r="AG53" s="11"/>
      <c r="AH53" s="115">
        <f t="shared" si="10"/>
        <v>0</v>
      </c>
      <c r="AI53" s="115">
        <f t="shared" si="11"/>
        <v>0</v>
      </c>
      <c r="AJ53" s="115">
        <f t="shared" si="12"/>
        <v>0</v>
      </c>
      <c r="AL53" s="11" t="e">
        <f t="shared" si="13"/>
        <v>#REF!</v>
      </c>
    </row>
    <row r="54" spans="1:38" s="124" customFormat="1" hidden="1">
      <c r="A54" s="123"/>
      <c r="B54" s="123" t="s">
        <v>46</v>
      </c>
      <c r="C54" s="122" t="s">
        <v>99</v>
      </c>
      <c r="D54" s="118" t="s">
        <v>102</v>
      </c>
      <c r="E54" s="98"/>
      <c r="F54" s="99" t="e">
        <f>VLOOKUP(D54,#REF!,19,FALSE)</f>
        <v>#REF!</v>
      </c>
      <c r="G54" s="100"/>
      <c r="H54" s="100"/>
      <c r="I54" s="101"/>
      <c r="J54" s="102" t="e">
        <f t="shared" si="0"/>
        <v>#REF!</v>
      </c>
      <c r="K54" s="103"/>
      <c r="L54" s="104"/>
      <c r="M54" s="105"/>
      <c r="N54" s="103">
        <v>0</v>
      </c>
      <c r="O54" s="106"/>
      <c r="P54" s="103">
        <v>0</v>
      </c>
      <c r="Q54" s="107">
        <f t="shared" si="1"/>
        <v>0</v>
      </c>
      <c r="R54" s="107"/>
      <c r="S54" s="107"/>
      <c r="T54" s="108">
        <v>0</v>
      </c>
      <c r="U54" s="119"/>
      <c r="V54" s="110">
        <f t="shared" si="2"/>
        <v>0</v>
      </c>
      <c r="W54" s="103"/>
      <c r="X54" s="112">
        <f t="shared" si="3"/>
        <v>0</v>
      </c>
      <c r="Y54" s="112">
        <f t="shared" si="4"/>
        <v>0</v>
      </c>
      <c r="Z54" s="113">
        <f t="shared" si="5"/>
        <v>0</v>
      </c>
      <c r="AA54" s="113">
        <v>0</v>
      </c>
      <c r="AB54" s="114">
        <v>0</v>
      </c>
      <c r="AC54" s="11">
        <f t="shared" si="6"/>
        <v>0</v>
      </c>
      <c r="AD54" s="115">
        <f t="shared" si="7"/>
        <v>0</v>
      </c>
      <c r="AE54" s="115" t="e">
        <f t="shared" si="8"/>
        <v>#REF!</v>
      </c>
      <c r="AF54" s="115">
        <f t="shared" si="9"/>
        <v>0</v>
      </c>
      <c r="AG54" s="11"/>
      <c r="AH54" s="115">
        <f t="shared" si="10"/>
        <v>0</v>
      </c>
      <c r="AI54" s="115">
        <f t="shared" si="11"/>
        <v>0</v>
      </c>
      <c r="AJ54" s="115">
        <f t="shared" si="12"/>
        <v>0</v>
      </c>
      <c r="AL54" s="11" t="e">
        <f t="shared" si="13"/>
        <v>#REF!</v>
      </c>
    </row>
    <row r="55" spans="1:38">
      <c r="A55" s="116"/>
      <c r="B55" s="116" t="s">
        <v>49</v>
      </c>
      <c r="C55" s="122"/>
      <c r="D55" s="120" t="s">
        <v>103</v>
      </c>
      <c r="E55" s="98">
        <v>6886.51</v>
      </c>
      <c r="F55" s="99">
        <v>0</v>
      </c>
      <c r="G55" s="100"/>
      <c r="H55" s="100"/>
      <c r="I55" s="101"/>
      <c r="J55" s="102">
        <f t="shared" si="0"/>
        <v>6886.51</v>
      </c>
      <c r="K55" s="103"/>
      <c r="L55" s="104"/>
      <c r="M55" s="105"/>
      <c r="N55" s="103">
        <v>0</v>
      </c>
      <c r="O55" s="106"/>
      <c r="P55" s="103">
        <v>0</v>
      </c>
      <c r="Q55" s="107">
        <f t="shared" si="1"/>
        <v>0</v>
      </c>
      <c r="R55" s="107"/>
      <c r="S55" s="107"/>
      <c r="T55" s="108">
        <v>0</v>
      </c>
      <c r="U55" s="119"/>
      <c r="V55" s="110">
        <f t="shared" si="2"/>
        <v>0</v>
      </c>
      <c r="W55" s="103"/>
      <c r="X55" s="112">
        <f t="shared" si="3"/>
        <v>0</v>
      </c>
      <c r="Y55" s="112">
        <f t="shared" si="4"/>
        <v>0</v>
      </c>
      <c r="Z55" s="113">
        <f t="shared" si="5"/>
        <v>0</v>
      </c>
      <c r="AA55" s="113">
        <v>0</v>
      </c>
      <c r="AB55" s="114">
        <v>0</v>
      </c>
      <c r="AC55" s="11">
        <f t="shared" si="6"/>
        <v>0</v>
      </c>
      <c r="AD55" s="115">
        <f t="shared" si="7"/>
        <v>6886.51</v>
      </c>
      <c r="AE55" s="115">
        <f t="shared" si="8"/>
        <v>0</v>
      </c>
      <c r="AF55" s="115">
        <f t="shared" si="9"/>
        <v>0</v>
      </c>
      <c r="AG55" s="11"/>
      <c r="AH55" s="115">
        <f t="shared" si="10"/>
        <v>0</v>
      </c>
      <c r="AI55" s="115">
        <f t="shared" si="11"/>
        <v>0</v>
      </c>
      <c r="AJ55" s="115">
        <f t="shared" si="12"/>
        <v>0</v>
      </c>
      <c r="AL55" s="11">
        <f t="shared" ref="AL55:AL56" si="15">SUM(AD55:AJ55)</f>
        <v>6886.51</v>
      </c>
    </row>
    <row r="56" spans="1:38" s="124" customFormat="1">
      <c r="A56" s="123"/>
      <c r="B56" s="123" t="s">
        <v>49</v>
      </c>
      <c r="C56" s="126" t="s">
        <v>104</v>
      </c>
      <c r="D56" s="120" t="s">
        <v>105</v>
      </c>
      <c r="E56" s="98">
        <f>11691.88+3312.02+4345.85</f>
        <v>19349.75</v>
      </c>
      <c r="F56" s="99">
        <v>4566.87</v>
      </c>
      <c r="G56" s="100"/>
      <c r="H56" s="100"/>
      <c r="I56" s="125">
        <v>4228.59</v>
      </c>
      <c r="J56" s="102">
        <f t="shared" ref="J56" si="16">SUM(E56:I56)</f>
        <v>28145.21</v>
      </c>
      <c r="K56" s="103"/>
      <c r="L56" s="104"/>
      <c r="M56" s="105"/>
      <c r="N56" s="103">
        <v>0</v>
      </c>
      <c r="O56" s="106"/>
      <c r="P56" s="103">
        <v>0</v>
      </c>
      <c r="Q56" s="107">
        <f t="shared" si="1"/>
        <v>0</v>
      </c>
      <c r="R56" s="107"/>
      <c r="S56" s="107"/>
      <c r="T56" s="108">
        <v>0</v>
      </c>
      <c r="U56" s="119"/>
      <c r="V56" s="110">
        <f t="shared" si="2"/>
        <v>0</v>
      </c>
      <c r="W56" s="103"/>
      <c r="X56" s="112">
        <f t="shared" si="3"/>
        <v>0</v>
      </c>
      <c r="Y56" s="112">
        <f t="shared" si="4"/>
        <v>0</v>
      </c>
      <c r="Z56" s="113">
        <f t="shared" si="5"/>
        <v>0</v>
      </c>
      <c r="AA56" s="113">
        <v>0</v>
      </c>
      <c r="AB56" s="114">
        <v>0</v>
      </c>
      <c r="AC56" s="11">
        <f t="shared" si="6"/>
        <v>0</v>
      </c>
      <c r="AD56" s="115">
        <f t="shared" si="7"/>
        <v>28145.21</v>
      </c>
      <c r="AE56" s="115">
        <f t="shared" si="8"/>
        <v>0</v>
      </c>
      <c r="AF56" s="115">
        <f t="shared" si="9"/>
        <v>0</v>
      </c>
      <c r="AG56" s="11"/>
      <c r="AH56" s="115">
        <f t="shared" si="10"/>
        <v>0</v>
      </c>
      <c r="AI56" s="115">
        <f t="shared" si="11"/>
        <v>0</v>
      </c>
      <c r="AJ56" s="115">
        <f t="shared" si="12"/>
        <v>0</v>
      </c>
      <c r="AK56"/>
      <c r="AL56" s="11">
        <f t="shared" si="15"/>
        <v>28145.21</v>
      </c>
    </row>
    <row r="57" spans="1:38">
      <c r="A57" s="116" t="s">
        <v>60</v>
      </c>
      <c r="B57" s="116" t="s">
        <v>46</v>
      </c>
      <c r="C57" s="122" t="s">
        <v>106</v>
      </c>
      <c r="D57" s="120" t="s">
        <v>107</v>
      </c>
      <c r="E57" s="98"/>
      <c r="F57" s="99" t="e">
        <f>VLOOKUP(D57,#REF!,19,FALSE)</f>
        <v>#REF!</v>
      </c>
      <c r="G57" s="100"/>
      <c r="H57" s="100"/>
      <c r="I57" s="101"/>
      <c r="J57" s="102" t="e">
        <f>SUM(E57:I57)</f>
        <v>#REF!</v>
      </c>
      <c r="K57" s="103"/>
      <c r="L57" s="104"/>
      <c r="M57" s="105"/>
      <c r="N57" s="103">
        <v>0</v>
      </c>
      <c r="O57" s="106"/>
      <c r="P57" s="103">
        <v>0</v>
      </c>
      <c r="Q57" s="107">
        <f t="shared" si="1"/>
        <v>0</v>
      </c>
      <c r="R57" s="107"/>
      <c r="S57" s="107"/>
      <c r="T57" s="108">
        <v>0</v>
      </c>
      <c r="U57" s="119"/>
      <c r="V57" s="110">
        <f t="shared" si="2"/>
        <v>0</v>
      </c>
      <c r="W57" s="103"/>
      <c r="X57" s="112">
        <f t="shared" si="3"/>
        <v>0</v>
      </c>
      <c r="Y57" s="112">
        <f t="shared" si="4"/>
        <v>0</v>
      </c>
      <c r="Z57" s="113">
        <f t="shared" si="5"/>
        <v>0</v>
      </c>
      <c r="AA57" s="113">
        <v>0</v>
      </c>
      <c r="AB57" s="114">
        <v>0</v>
      </c>
      <c r="AC57" s="11">
        <f t="shared" si="6"/>
        <v>0</v>
      </c>
      <c r="AD57" s="115">
        <f t="shared" si="7"/>
        <v>0</v>
      </c>
      <c r="AE57" s="115" t="e">
        <f t="shared" si="8"/>
        <v>#REF!</v>
      </c>
      <c r="AF57" s="115">
        <f t="shared" si="9"/>
        <v>0</v>
      </c>
      <c r="AG57" s="11"/>
      <c r="AH57" s="115">
        <f t="shared" si="10"/>
        <v>0</v>
      </c>
      <c r="AI57" s="115">
        <f t="shared" si="11"/>
        <v>0</v>
      </c>
      <c r="AJ57" s="115">
        <f t="shared" si="12"/>
        <v>0</v>
      </c>
      <c r="AL57" s="11" t="e">
        <f t="shared" si="13"/>
        <v>#REF!</v>
      </c>
    </row>
    <row r="58" spans="1:38">
      <c r="A58" s="116" t="s">
        <v>60</v>
      </c>
      <c r="B58" s="116" t="s">
        <v>81</v>
      </c>
      <c r="C58" s="122"/>
      <c r="D58" s="120" t="s">
        <v>109</v>
      </c>
      <c r="E58" s="98"/>
      <c r="F58" s="99" t="e">
        <f>VLOOKUP(D58,#REF!,19,FALSE)</f>
        <v>#REF!</v>
      </c>
      <c r="G58" s="100"/>
      <c r="H58" s="100"/>
      <c r="I58" s="101"/>
      <c r="J58" s="102" t="e">
        <f t="shared" si="0"/>
        <v>#REF!</v>
      </c>
      <c r="K58" s="103"/>
      <c r="L58" s="104"/>
      <c r="M58" s="105"/>
      <c r="N58" s="103">
        <v>0</v>
      </c>
      <c r="O58" s="106"/>
      <c r="P58" s="103">
        <v>0</v>
      </c>
      <c r="Q58" s="107">
        <f t="shared" si="1"/>
        <v>0</v>
      </c>
      <c r="R58" s="107"/>
      <c r="S58" s="107"/>
      <c r="T58" s="108">
        <v>0</v>
      </c>
      <c r="U58" s="119"/>
      <c r="V58" s="110">
        <f t="shared" si="2"/>
        <v>0</v>
      </c>
      <c r="W58" s="103"/>
      <c r="X58" s="112">
        <f t="shared" si="3"/>
        <v>0</v>
      </c>
      <c r="Y58" s="112">
        <f t="shared" si="4"/>
        <v>0</v>
      </c>
      <c r="Z58" s="113">
        <f t="shared" si="5"/>
        <v>0</v>
      </c>
      <c r="AA58" s="113">
        <v>0</v>
      </c>
      <c r="AB58" s="114">
        <v>0</v>
      </c>
      <c r="AC58" s="11">
        <f t="shared" si="6"/>
        <v>0</v>
      </c>
      <c r="AD58" s="115">
        <f t="shared" si="7"/>
        <v>0</v>
      </c>
      <c r="AE58" s="115">
        <f t="shared" si="8"/>
        <v>0</v>
      </c>
      <c r="AF58" s="115" t="e">
        <f t="shared" si="9"/>
        <v>#REF!</v>
      </c>
      <c r="AG58" s="11"/>
      <c r="AH58" s="115">
        <f t="shared" si="10"/>
        <v>0</v>
      </c>
      <c r="AI58" s="115">
        <f t="shared" si="11"/>
        <v>0</v>
      </c>
      <c r="AJ58" s="115">
        <f t="shared" si="12"/>
        <v>0</v>
      </c>
      <c r="AL58" s="11" t="e">
        <f t="shared" si="13"/>
        <v>#REF!</v>
      </c>
    </row>
    <row r="59" spans="1:38">
      <c r="A59" s="116"/>
      <c r="B59" s="116" t="s">
        <v>46</v>
      </c>
      <c r="C59" s="126" t="s">
        <v>110</v>
      </c>
      <c r="D59" s="120" t="s">
        <v>111</v>
      </c>
      <c r="E59" s="98"/>
      <c r="F59" s="99" t="e">
        <f>VLOOKUP(D59,#REF!,19,FALSE)</f>
        <v>#REF!</v>
      </c>
      <c r="G59" s="100"/>
      <c r="H59" s="100"/>
      <c r="I59" s="101"/>
      <c r="J59" s="102" t="e">
        <f t="shared" si="0"/>
        <v>#REF!</v>
      </c>
      <c r="K59" s="103"/>
      <c r="L59" s="104"/>
      <c r="M59" s="105">
        <v>550000</v>
      </c>
      <c r="N59" s="103">
        <v>0</v>
      </c>
      <c r="O59" s="106"/>
      <c r="P59" s="103">
        <v>0</v>
      </c>
      <c r="Q59" s="107">
        <f t="shared" si="1"/>
        <v>550000</v>
      </c>
      <c r="R59" s="107"/>
      <c r="S59" s="107"/>
      <c r="T59" s="108">
        <v>562412.28</v>
      </c>
      <c r="U59" s="119"/>
      <c r="V59" s="110">
        <f t="shared" si="2"/>
        <v>12412.280000000028</v>
      </c>
      <c r="W59" s="103"/>
      <c r="X59" s="112">
        <f t="shared" si="3"/>
        <v>0</v>
      </c>
      <c r="Y59" s="112">
        <f t="shared" si="4"/>
        <v>550000</v>
      </c>
      <c r="Z59" s="113">
        <f t="shared" si="5"/>
        <v>0</v>
      </c>
      <c r="AA59" s="113">
        <v>0</v>
      </c>
      <c r="AB59" s="114">
        <v>0</v>
      </c>
      <c r="AC59" s="11">
        <f t="shared" si="6"/>
        <v>0</v>
      </c>
      <c r="AD59" s="115">
        <f t="shared" si="7"/>
        <v>0</v>
      </c>
      <c r="AE59" s="115" t="e">
        <f t="shared" si="8"/>
        <v>#REF!</v>
      </c>
      <c r="AF59" s="115">
        <f t="shared" si="9"/>
        <v>0</v>
      </c>
      <c r="AG59" s="11"/>
      <c r="AH59" s="115">
        <f t="shared" si="10"/>
        <v>0</v>
      </c>
      <c r="AI59" s="115">
        <f t="shared" si="11"/>
        <v>550000</v>
      </c>
      <c r="AJ59" s="115">
        <f t="shared" si="12"/>
        <v>0</v>
      </c>
      <c r="AL59" s="11" t="e">
        <f t="shared" si="13"/>
        <v>#REF!</v>
      </c>
    </row>
    <row r="60" spans="1:38">
      <c r="A60" s="116"/>
      <c r="B60" s="116" t="s">
        <v>46</v>
      </c>
      <c r="C60" s="122"/>
      <c r="D60" s="120" t="s">
        <v>112</v>
      </c>
      <c r="E60" s="98">
        <v>16974.86</v>
      </c>
      <c r="F60" s="99" t="e">
        <f>VLOOKUP(D60,#REF!,19,FALSE)</f>
        <v>#REF!</v>
      </c>
      <c r="G60" s="100"/>
      <c r="H60" s="100"/>
      <c r="I60" s="101"/>
      <c r="J60" s="102" t="e">
        <f t="shared" si="0"/>
        <v>#REF!</v>
      </c>
      <c r="K60" s="103"/>
      <c r="L60" s="104"/>
      <c r="M60" s="105">
        <v>15000</v>
      </c>
      <c r="N60" s="103">
        <v>0</v>
      </c>
      <c r="O60" s="106"/>
      <c r="P60" s="103">
        <v>0</v>
      </c>
      <c r="Q60" s="107">
        <f t="shared" si="1"/>
        <v>15000</v>
      </c>
      <c r="R60" s="107"/>
      <c r="S60" s="107"/>
      <c r="T60" s="108">
        <v>0</v>
      </c>
      <c r="U60" s="119"/>
      <c r="V60" s="110">
        <f t="shared" si="2"/>
        <v>-15000</v>
      </c>
      <c r="W60" s="103"/>
      <c r="X60" s="112">
        <f t="shared" si="3"/>
        <v>0</v>
      </c>
      <c r="Y60" s="112">
        <f t="shared" si="4"/>
        <v>15000</v>
      </c>
      <c r="Z60" s="113">
        <f t="shared" si="5"/>
        <v>0</v>
      </c>
      <c r="AA60" s="113">
        <v>0</v>
      </c>
      <c r="AB60" s="114">
        <v>0</v>
      </c>
      <c r="AC60" s="11">
        <f t="shared" si="6"/>
        <v>0</v>
      </c>
      <c r="AD60" s="115">
        <f t="shared" si="7"/>
        <v>0</v>
      </c>
      <c r="AE60" s="115" t="e">
        <f t="shared" si="8"/>
        <v>#REF!</v>
      </c>
      <c r="AF60" s="115">
        <f t="shared" si="9"/>
        <v>0</v>
      </c>
      <c r="AG60" s="11"/>
      <c r="AH60" s="115">
        <f t="shared" si="10"/>
        <v>0</v>
      </c>
      <c r="AI60" s="115">
        <f t="shared" si="11"/>
        <v>15000</v>
      </c>
      <c r="AJ60" s="115">
        <f t="shared" si="12"/>
        <v>0</v>
      </c>
      <c r="AL60" s="11" t="e">
        <f t="shared" si="13"/>
        <v>#REF!</v>
      </c>
    </row>
    <row r="61" spans="1:38">
      <c r="A61" s="116"/>
      <c r="B61" s="116" t="s">
        <v>81</v>
      </c>
      <c r="C61" s="122"/>
      <c r="D61" s="120" t="s">
        <v>113</v>
      </c>
      <c r="E61" s="98"/>
      <c r="F61" s="99" t="e">
        <f>VLOOKUP(D61,#REF!,19,FALSE)</f>
        <v>#REF!</v>
      </c>
      <c r="G61" s="100"/>
      <c r="H61" s="100"/>
      <c r="I61" s="101"/>
      <c r="J61" s="102" t="e">
        <f t="shared" si="0"/>
        <v>#REF!</v>
      </c>
      <c r="K61" s="103"/>
      <c r="L61" s="104"/>
      <c r="M61" s="105"/>
      <c r="N61" s="103">
        <v>0</v>
      </c>
      <c r="O61" s="106"/>
      <c r="P61" s="103">
        <v>0</v>
      </c>
      <c r="Q61" s="107">
        <f t="shared" si="1"/>
        <v>0</v>
      </c>
      <c r="R61" s="107"/>
      <c r="S61" s="107"/>
      <c r="T61" s="108">
        <v>0</v>
      </c>
      <c r="U61" s="119"/>
      <c r="V61" s="110">
        <f t="shared" si="2"/>
        <v>0</v>
      </c>
      <c r="W61" s="103"/>
      <c r="X61" s="112">
        <f t="shared" si="3"/>
        <v>0</v>
      </c>
      <c r="Y61" s="112">
        <f t="shared" si="4"/>
        <v>0</v>
      </c>
      <c r="Z61" s="113">
        <f t="shared" si="5"/>
        <v>0</v>
      </c>
      <c r="AA61" s="113">
        <v>0</v>
      </c>
      <c r="AB61" s="114">
        <v>0</v>
      </c>
      <c r="AC61" s="11">
        <f t="shared" si="6"/>
        <v>0</v>
      </c>
      <c r="AD61" s="115">
        <f t="shared" si="7"/>
        <v>0</v>
      </c>
      <c r="AE61" s="115">
        <f t="shared" si="8"/>
        <v>0</v>
      </c>
      <c r="AF61" s="115" t="e">
        <f t="shared" si="9"/>
        <v>#REF!</v>
      </c>
      <c r="AG61" s="11"/>
      <c r="AH61" s="115">
        <f t="shared" si="10"/>
        <v>0</v>
      </c>
      <c r="AI61" s="115">
        <f t="shared" si="11"/>
        <v>0</v>
      </c>
      <c r="AJ61" s="115">
        <f t="shared" si="12"/>
        <v>0</v>
      </c>
      <c r="AL61" s="11" t="e">
        <f t="shared" si="13"/>
        <v>#REF!</v>
      </c>
    </row>
    <row r="62" spans="1:38">
      <c r="A62" s="129"/>
      <c r="B62" s="129" t="s">
        <v>49</v>
      </c>
      <c r="C62" s="96" t="s">
        <v>114</v>
      </c>
      <c r="D62" s="118" t="s">
        <v>115</v>
      </c>
      <c r="E62" s="98"/>
      <c r="F62" s="99" t="e">
        <f>VLOOKUP(D62,#REF!,19,FALSE)</f>
        <v>#REF!</v>
      </c>
      <c r="G62" s="100"/>
      <c r="H62" s="100"/>
      <c r="I62" s="101"/>
      <c r="J62" s="102" t="e">
        <f t="shared" si="0"/>
        <v>#REF!</v>
      </c>
      <c r="K62" s="103"/>
      <c r="L62" s="104"/>
      <c r="M62" s="105">
        <v>325000</v>
      </c>
      <c r="N62" s="103">
        <v>0</v>
      </c>
      <c r="O62" s="106"/>
      <c r="P62" s="103">
        <v>0</v>
      </c>
      <c r="Q62" s="107">
        <f t="shared" si="1"/>
        <v>325000</v>
      </c>
      <c r="R62" s="107"/>
      <c r="S62" s="107"/>
      <c r="T62" s="108">
        <v>352205.59</v>
      </c>
      <c r="U62" s="119"/>
      <c r="V62" s="110">
        <f t="shared" si="2"/>
        <v>27205.590000000026</v>
      </c>
      <c r="W62" s="103"/>
      <c r="X62" s="112">
        <f t="shared" si="3"/>
        <v>325000</v>
      </c>
      <c r="Y62" s="112">
        <f t="shared" si="4"/>
        <v>0</v>
      </c>
      <c r="Z62" s="113">
        <f t="shared" si="5"/>
        <v>0</v>
      </c>
      <c r="AA62" s="113">
        <v>0</v>
      </c>
      <c r="AB62" s="114">
        <v>0</v>
      </c>
      <c r="AC62" s="11">
        <f t="shared" si="6"/>
        <v>0</v>
      </c>
      <c r="AD62" s="115" t="e">
        <f t="shared" si="7"/>
        <v>#REF!</v>
      </c>
      <c r="AE62" s="115">
        <f t="shared" si="8"/>
        <v>0</v>
      </c>
      <c r="AF62" s="115">
        <f t="shared" si="9"/>
        <v>0</v>
      </c>
      <c r="AG62" s="11"/>
      <c r="AH62" s="115">
        <f t="shared" si="10"/>
        <v>325000</v>
      </c>
      <c r="AI62" s="115">
        <f t="shared" si="11"/>
        <v>0</v>
      </c>
      <c r="AJ62" s="115">
        <f t="shared" si="12"/>
        <v>0</v>
      </c>
      <c r="AL62" s="11" t="e">
        <f t="shared" si="13"/>
        <v>#REF!</v>
      </c>
    </row>
    <row r="63" spans="1:38">
      <c r="A63" s="116"/>
      <c r="B63" s="116" t="s">
        <v>49</v>
      </c>
      <c r="C63" s="122" t="s">
        <v>116</v>
      </c>
      <c r="D63" s="120" t="s">
        <v>117</v>
      </c>
      <c r="E63" s="98"/>
      <c r="F63" s="99" t="e">
        <f>VLOOKUP(D63,#REF!,19,FALSE)</f>
        <v>#REF!</v>
      </c>
      <c r="G63" s="100"/>
      <c r="H63" s="100"/>
      <c r="I63" s="101"/>
      <c r="J63" s="102" t="e">
        <f t="shared" si="0"/>
        <v>#REF!</v>
      </c>
      <c r="K63" s="103"/>
      <c r="L63" s="104"/>
      <c r="M63" s="105"/>
      <c r="N63" s="103">
        <v>0</v>
      </c>
      <c r="O63" s="106"/>
      <c r="P63" s="103">
        <v>0</v>
      </c>
      <c r="Q63" s="107">
        <f t="shared" si="1"/>
        <v>0</v>
      </c>
      <c r="R63" s="107"/>
      <c r="S63" s="107"/>
      <c r="T63" s="108">
        <v>0</v>
      </c>
      <c r="U63" s="119"/>
      <c r="V63" s="110">
        <f t="shared" si="2"/>
        <v>0</v>
      </c>
      <c r="W63" s="103"/>
      <c r="X63" s="112">
        <f t="shared" si="3"/>
        <v>0</v>
      </c>
      <c r="Y63" s="112">
        <f t="shared" si="4"/>
        <v>0</v>
      </c>
      <c r="Z63" s="113">
        <f t="shared" si="5"/>
        <v>0</v>
      </c>
      <c r="AA63" s="113">
        <v>0</v>
      </c>
      <c r="AB63" s="114">
        <v>0</v>
      </c>
      <c r="AC63" s="11">
        <f t="shared" si="6"/>
        <v>0</v>
      </c>
      <c r="AD63" s="115" t="e">
        <f t="shared" si="7"/>
        <v>#REF!</v>
      </c>
      <c r="AE63" s="115">
        <f t="shared" si="8"/>
        <v>0</v>
      </c>
      <c r="AF63" s="115">
        <f t="shared" si="9"/>
        <v>0</v>
      </c>
      <c r="AG63" s="11"/>
      <c r="AH63" s="115">
        <f t="shared" si="10"/>
        <v>0</v>
      </c>
      <c r="AI63" s="115">
        <f t="shared" si="11"/>
        <v>0</v>
      </c>
      <c r="AJ63" s="115">
        <f t="shared" si="12"/>
        <v>0</v>
      </c>
      <c r="AL63" s="11" t="e">
        <f t="shared" si="13"/>
        <v>#REF!</v>
      </c>
    </row>
    <row r="64" spans="1:38">
      <c r="A64" s="116"/>
      <c r="B64" s="116" t="s">
        <v>49</v>
      </c>
      <c r="C64" s="126"/>
      <c r="D64" s="120" t="s">
        <v>118</v>
      </c>
      <c r="E64" s="98">
        <v>3848.23</v>
      </c>
      <c r="F64" s="99">
        <v>0</v>
      </c>
      <c r="G64" s="100"/>
      <c r="H64" s="100"/>
      <c r="I64" s="101"/>
      <c r="J64" s="102">
        <f t="shared" si="0"/>
        <v>3848.23</v>
      </c>
      <c r="K64" s="103"/>
      <c r="L64" s="104"/>
      <c r="M64" s="105"/>
      <c r="N64" s="103">
        <v>0</v>
      </c>
      <c r="O64" s="106"/>
      <c r="P64" s="103">
        <v>0</v>
      </c>
      <c r="Q64" s="107">
        <f t="shared" si="1"/>
        <v>0</v>
      </c>
      <c r="R64" s="107"/>
      <c r="S64" s="107"/>
      <c r="T64" s="108">
        <v>0</v>
      </c>
      <c r="U64" s="119"/>
      <c r="V64" s="110">
        <f t="shared" si="2"/>
        <v>0</v>
      </c>
      <c r="W64" s="103"/>
      <c r="X64" s="112">
        <f t="shared" si="3"/>
        <v>0</v>
      </c>
      <c r="Y64" s="112">
        <f t="shared" si="4"/>
        <v>0</v>
      </c>
      <c r="Z64" s="113">
        <f t="shared" si="5"/>
        <v>0</v>
      </c>
      <c r="AA64" s="113">
        <v>0</v>
      </c>
      <c r="AB64" s="114">
        <v>0</v>
      </c>
      <c r="AC64" s="11">
        <f t="shared" si="6"/>
        <v>0</v>
      </c>
      <c r="AD64" s="115">
        <f t="shared" si="7"/>
        <v>3848.23</v>
      </c>
      <c r="AE64" s="115">
        <f t="shared" si="8"/>
        <v>0</v>
      </c>
      <c r="AF64" s="115">
        <f t="shared" si="9"/>
        <v>0</v>
      </c>
      <c r="AG64" s="11"/>
      <c r="AH64" s="115">
        <f t="shared" si="10"/>
        <v>0</v>
      </c>
      <c r="AI64" s="115">
        <f t="shared" si="11"/>
        <v>0</v>
      </c>
      <c r="AJ64" s="115">
        <f t="shared" si="12"/>
        <v>0</v>
      </c>
      <c r="AL64" s="11">
        <f t="shared" si="13"/>
        <v>3848.23</v>
      </c>
    </row>
    <row r="65" spans="1:38">
      <c r="A65" s="116"/>
      <c r="B65" s="116" t="s">
        <v>49</v>
      </c>
      <c r="C65" s="126" t="s">
        <v>119</v>
      </c>
      <c r="D65" s="120" t="s">
        <v>120</v>
      </c>
      <c r="E65" s="98"/>
      <c r="F65" s="99" t="e">
        <f>VLOOKUP(D65,#REF!,19,FALSE)</f>
        <v>#REF!</v>
      </c>
      <c r="G65" s="100"/>
      <c r="H65" s="100"/>
      <c r="I65" s="101"/>
      <c r="J65" s="102" t="e">
        <f t="shared" si="0"/>
        <v>#REF!</v>
      </c>
      <c r="K65" s="103"/>
      <c r="L65" s="104"/>
      <c r="M65" s="105"/>
      <c r="N65" s="103">
        <v>0</v>
      </c>
      <c r="O65" s="106"/>
      <c r="P65" s="103">
        <v>0</v>
      </c>
      <c r="Q65" s="107">
        <f t="shared" si="1"/>
        <v>0</v>
      </c>
      <c r="R65" s="107"/>
      <c r="S65" s="107"/>
      <c r="T65" s="108">
        <v>0</v>
      </c>
      <c r="U65" s="119"/>
      <c r="V65" s="110">
        <f t="shared" si="2"/>
        <v>0</v>
      </c>
      <c r="W65" s="103"/>
      <c r="X65" s="112">
        <f t="shared" si="3"/>
        <v>0</v>
      </c>
      <c r="Y65" s="112">
        <f t="shared" si="4"/>
        <v>0</v>
      </c>
      <c r="Z65" s="113">
        <f t="shared" si="5"/>
        <v>0</v>
      </c>
      <c r="AA65" s="113">
        <v>0</v>
      </c>
      <c r="AB65" s="114">
        <v>0</v>
      </c>
      <c r="AC65" s="11">
        <f t="shared" si="6"/>
        <v>0</v>
      </c>
      <c r="AD65" s="115" t="e">
        <f t="shared" si="7"/>
        <v>#REF!</v>
      </c>
      <c r="AE65" s="115">
        <f t="shared" si="8"/>
        <v>0</v>
      </c>
      <c r="AF65" s="115">
        <f t="shared" si="9"/>
        <v>0</v>
      </c>
      <c r="AG65" s="11"/>
      <c r="AH65" s="115">
        <f t="shared" si="10"/>
        <v>0</v>
      </c>
      <c r="AI65" s="115">
        <f t="shared" si="11"/>
        <v>0</v>
      </c>
      <c r="AJ65" s="115">
        <f t="shared" si="12"/>
        <v>0</v>
      </c>
      <c r="AL65" s="11" t="e">
        <f t="shared" si="13"/>
        <v>#REF!</v>
      </c>
    </row>
    <row r="66" spans="1:38">
      <c r="A66" s="129" t="s">
        <v>46</v>
      </c>
      <c r="B66" s="129" t="s">
        <v>49</v>
      </c>
      <c r="C66" s="96"/>
      <c r="D66" s="120" t="s">
        <v>121</v>
      </c>
      <c r="E66" s="98"/>
      <c r="F66" s="99" t="e">
        <f>VLOOKUP(D66,#REF!,19,FALSE)</f>
        <v>#REF!</v>
      </c>
      <c r="G66" s="100"/>
      <c r="H66" s="100"/>
      <c r="I66" s="101"/>
      <c r="J66" s="102" t="e">
        <f t="shared" si="0"/>
        <v>#REF!</v>
      </c>
      <c r="K66" s="103"/>
      <c r="L66" s="104"/>
      <c r="M66" s="105"/>
      <c r="N66" s="103">
        <v>0</v>
      </c>
      <c r="O66" s="106"/>
      <c r="P66" s="103">
        <v>0</v>
      </c>
      <c r="Q66" s="107">
        <f t="shared" si="1"/>
        <v>0</v>
      </c>
      <c r="R66" s="107"/>
      <c r="S66" s="107"/>
      <c r="T66" s="108">
        <v>0</v>
      </c>
      <c r="U66" s="119"/>
      <c r="V66" s="110">
        <f t="shared" si="2"/>
        <v>0</v>
      </c>
      <c r="W66" s="103"/>
      <c r="X66" s="112">
        <f t="shared" si="3"/>
        <v>0</v>
      </c>
      <c r="Y66" s="112">
        <f t="shared" si="4"/>
        <v>0</v>
      </c>
      <c r="Z66" s="113">
        <f t="shared" si="5"/>
        <v>0</v>
      </c>
      <c r="AA66" s="113">
        <v>0</v>
      </c>
      <c r="AB66" s="114">
        <v>0</v>
      </c>
      <c r="AC66" s="11">
        <f t="shared" si="6"/>
        <v>0</v>
      </c>
      <c r="AD66" s="115" t="e">
        <f t="shared" si="7"/>
        <v>#REF!</v>
      </c>
      <c r="AE66" s="115">
        <f t="shared" si="8"/>
        <v>0</v>
      </c>
      <c r="AF66" s="115">
        <f t="shared" si="9"/>
        <v>0</v>
      </c>
      <c r="AG66" s="11"/>
      <c r="AH66" s="115">
        <f t="shared" si="10"/>
        <v>0</v>
      </c>
      <c r="AI66" s="115">
        <f t="shared" si="11"/>
        <v>0</v>
      </c>
      <c r="AJ66" s="115">
        <f t="shared" si="12"/>
        <v>0</v>
      </c>
      <c r="AL66" s="11" t="e">
        <f t="shared" si="13"/>
        <v>#REF!</v>
      </c>
    </row>
    <row r="67" spans="1:38">
      <c r="A67" s="129"/>
      <c r="B67" s="129" t="s">
        <v>49</v>
      </c>
      <c r="C67" s="96"/>
      <c r="D67" s="120" t="s">
        <v>122</v>
      </c>
      <c r="E67" s="98"/>
      <c r="F67" s="99" t="e">
        <f>VLOOKUP(D67,#REF!,19,FALSE)</f>
        <v>#REF!</v>
      </c>
      <c r="G67" s="100"/>
      <c r="H67" s="100"/>
      <c r="I67" s="101"/>
      <c r="J67" s="102" t="e">
        <f t="shared" si="0"/>
        <v>#REF!</v>
      </c>
      <c r="K67" s="103"/>
      <c r="L67" s="104"/>
      <c r="M67" s="105"/>
      <c r="N67" s="103">
        <v>0</v>
      </c>
      <c r="O67" s="106"/>
      <c r="P67" s="103">
        <v>0</v>
      </c>
      <c r="Q67" s="107">
        <f t="shared" si="1"/>
        <v>0</v>
      </c>
      <c r="R67" s="107"/>
      <c r="S67" s="107"/>
      <c r="T67" s="108">
        <v>0</v>
      </c>
      <c r="U67" s="119"/>
      <c r="V67" s="110">
        <f t="shared" si="2"/>
        <v>0</v>
      </c>
      <c r="W67" s="103"/>
      <c r="X67" s="112">
        <f t="shared" si="3"/>
        <v>0</v>
      </c>
      <c r="Y67" s="112">
        <f t="shared" si="4"/>
        <v>0</v>
      </c>
      <c r="Z67" s="113">
        <f t="shared" si="5"/>
        <v>0</v>
      </c>
      <c r="AA67" s="113">
        <v>0</v>
      </c>
      <c r="AB67" s="114">
        <v>0</v>
      </c>
      <c r="AC67" s="11">
        <f t="shared" si="6"/>
        <v>0</v>
      </c>
      <c r="AD67" s="115" t="e">
        <f t="shared" si="7"/>
        <v>#REF!</v>
      </c>
      <c r="AE67" s="115">
        <f t="shared" si="8"/>
        <v>0</v>
      </c>
      <c r="AF67" s="115">
        <f t="shared" si="9"/>
        <v>0</v>
      </c>
      <c r="AG67" s="11"/>
      <c r="AH67" s="115">
        <f t="shared" si="10"/>
        <v>0</v>
      </c>
      <c r="AI67" s="115">
        <f t="shared" si="11"/>
        <v>0</v>
      </c>
      <c r="AJ67" s="115">
        <f t="shared" si="12"/>
        <v>0</v>
      </c>
      <c r="AL67" s="11" t="e">
        <f t="shared" si="13"/>
        <v>#REF!</v>
      </c>
    </row>
    <row r="68" spans="1:38">
      <c r="A68" s="129"/>
      <c r="B68" s="129" t="s">
        <v>49</v>
      </c>
      <c r="C68" s="96"/>
      <c r="D68" s="120" t="s">
        <v>123</v>
      </c>
      <c r="E68" s="98"/>
      <c r="F68" s="99" t="e">
        <f>VLOOKUP(D68,#REF!,19,FALSE)</f>
        <v>#REF!</v>
      </c>
      <c r="G68" s="100"/>
      <c r="H68" s="100"/>
      <c r="I68" s="101"/>
      <c r="J68" s="102" t="e">
        <f t="shared" si="0"/>
        <v>#REF!</v>
      </c>
      <c r="K68" s="103"/>
      <c r="L68" s="104"/>
      <c r="M68" s="105"/>
      <c r="N68" s="103">
        <v>0</v>
      </c>
      <c r="O68" s="106"/>
      <c r="P68" s="103">
        <v>0</v>
      </c>
      <c r="Q68" s="107">
        <f t="shared" si="1"/>
        <v>0</v>
      </c>
      <c r="R68" s="107"/>
      <c r="S68" s="107"/>
      <c r="T68" s="108">
        <v>0</v>
      </c>
      <c r="U68" s="119"/>
      <c r="V68" s="110">
        <f t="shared" si="2"/>
        <v>0</v>
      </c>
      <c r="W68" s="103"/>
      <c r="X68" s="112">
        <f t="shared" si="3"/>
        <v>0</v>
      </c>
      <c r="Y68" s="112">
        <f t="shared" si="4"/>
        <v>0</v>
      </c>
      <c r="Z68" s="113">
        <f t="shared" si="5"/>
        <v>0</v>
      </c>
      <c r="AA68" s="113">
        <v>0</v>
      </c>
      <c r="AB68" s="114">
        <v>0</v>
      </c>
      <c r="AC68" s="11">
        <f t="shared" si="6"/>
        <v>0</v>
      </c>
      <c r="AD68" s="115" t="e">
        <f t="shared" si="7"/>
        <v>#REF!</v>
      </c>
      <c r="AE68" s="115">
        <f t="shared" si="8"/>
        <v>0</v>
      </c>
      <c r="AF68" s="115">
        <f t="shared" si="9"/>
        <v>0</v>
      </c>
      <c r="AG68" s="11"/>
      <c r="AH68" s="115">
        <f t="shared" si="10"/>
        <v>0</v>
      </c>
      <c r="AI68" s="115">
        <f t="shared" si="11"/>
        <v>0</v>
      </c>
      <c r="AJ68" s="115">
        <f t="shared" si="12"/>
        <v>0</v>
      </c>
      <c r="AL68" s="11" t="e">
        <f t="shared" si="13"/>
        <v>#REF!</v>
      </c>
    </row>
    <row r="69" spans="1:38" s="124" customFormat="1">
      <c r="A69" s="123" t="s">
        <v>60</v>
      </c>
      <c r="B69" s="123" t="s">
        <v>49</v>
      </c>
      <c r="C69" s="122" t="s">
        <v>124</v>
      </c>
      <c r="D69" s="118" t="s">
        <v>125</v>
      </c>
      <c r="E69" s="98"/>
      <c r="F69" s="99" t="e">
        <f>VLOOKUP(D69,#REF!,19,FALSE)</f>
        <v>#REF!</v>
      </c>
      <c r="G69" s="100"/>
      <c r="H69" s="100"/>
      <c r="I69" s="101"/>
      <c r="J69" s="102" t="e">
        <f t="shared" si="0"/>
        <v>#REF!</v>
      </c>
      <c r="K69" s="103"/>
      <c r="L69" s="104"/>
      <c r="M69" s="105">
        <v>675000</v>
      </c>
      <c r="N69" s="103">
        <v>0</v>
      </c>
      <c r="O69" s="106"/>
      <c r="P69" s="103">
        <v>0</v>
      </c>
      <c r="Q69" s="107">
        <f t="shared" si="1"/>
        <v>675000</v>
      </c>
      <c r="R69" s="107"/>
      <c r="S69" s="107"/>
      <c r="T69" s="108">
        <v>627690.69999999995</v>
      </c>
      <c r="U69" s="119"/>
      <c r="V69" s="110">
        <f t="shared" si="2"/>
        <v>-47309.300000000047</v>
      </c>
      <c r="W69" s="103"/>
      <c r="X69" s="112">
        <f t="shared" si="3"/>
        <v>675000</v>
      </c>
      <c r="Y69" s="112">
        <f t="shared" si="4"/>
        <v>0</v>
      </c>
      <c r="Z69" s="113">
        <f t="shared" si="5"/>
        <v>0</v>
      </c>
      <c r="AA69" s="113">
        <v>0</v>
      </c>
      <c r="AB69" s="114">
        <v>0</v>
      </c>
      <c r="AC69" s="11">
        <f t="shared" si="6"/>
        <v>0</v>
      </c>
      <c r="AD69" s="115" t="e">
        <f t="shared" si="7"/>
        <v>#REF!</v>
      </c>
      <c r="AE69" s="115">
        <f t="shared" si="8"/>
        <v>0</v>
      </c>
      <c r="AF69" s="115">
        <f t="shared" si="9"/>
        <v>0</v>
      </c>
      <c r="AG69" s="11"/>
      <c r="AH69" s="115">
        <f t="shared" si="10"/>
        <v>675000</v>
      </c>
      <c r="AI69" s="115">
        <f t="shared" si="11"/>
        <v>0</v>
      </c>
      <c r="AJ69" s="115">
        <f t="shared" si="12"/>
        <v>0</v>
      </c>
      <c r="AL69" s="11" t="e">
        <f t="shared" si="13"/>
        <v>#REF!</v>
      </c>
    </row>
    <row r="70" spans="1:38" s="124" customFormat="1">
      <c r="A70" s="123" t="s">
        <v>60</v>
      </c>
      <c r="B70" s="123" t="s">
        <v>49</v>
      </c>
      <c r="C70" s="122" t="s">
        <v>124</v>
      </c>
      <c r="D70" s="118" t="s">
        <v>126</v>
      </c>
      <c r="E70" s="98"/>
      <c r="F70" s="99" t="e">
        <f>VLOOKUP(D70,#REF!,19,FALSE)</f>
        <v>#REF!</v>
      </c>
      <c r="G70" s="100"/>
      <c r="H70" s="100"/>
      <c r="I70" s="101"/>
      <c r="J70" s="102" t="e">
        <f t="shared" si="0"/>
        <v>#REF!</v>
      </c>
      <c r="K70" s="103"/>
      <c r="L70" s="104"/>
      <c r="M70" s="105"/>
      <c r="N70" s="103">
        <v>0</v>
      </c>
      <c r="O70" s="106"/>
      <c r="P70" s="103">
        <v>0</v>
      </c>
      <c r="Q70" s="107">
        <f t="shared" si="1"/>
        <v>0</v>
      </c>
      <c r="R70" s="107"/>
      <c r="S70" s="107"/>
      <c r="T70" s="108">
        <v>0</v>
      </c>
      <c r="U70" s="119"/>
      <c r="V70" s="110">
        <f t="shared" si="2"/>
        <v>0</v>
      </c>
      <c r="W70" s="103"/>
      <c r="X70" s="112">
        <f t="shared" si="3"/>
        <v>0</v>
      </c>
      <c r="Y70" s="112">
        <f t="shared" si="4"/>
        <v>0</v>
      </c>
      <c r="Z70" s="113">
        <f t="shared" si="5"/>
        <v>0</v>
      </c>
      <c r="AA70" s="113">
        <v>0</v>
      </c>
      <c r="AB70" s="114">
        <v>0</v>
      </c>
      <c r="AC70" s="11">
        <f t="shared" si="6"/>
        <v>0</v>
      </c>
      <c r="AD70" s="115" t="e">
        <f t="shared" si="7"/>
        <v>#REF!</v>
      </c>
      <c r="AE70" s="115">
        <f t="shared" si="8"/>
        <v>0</v>
      </c>
      <c r="AF70" s="115">
        <f t="shared" si="9"/>
        <v>0</v>
      </c>
      <c r="AG70" s="11"/>
      <c r="AH70" s="115">
        <f t="shared" si="10"/>
        <v>0</v>
      </c>
      <c r="AI70" s="115">
        <f t="shared" si="11"/>
        <v>0</v>
      </c>
      <c r="AJ70" s="115">
        <f t="shared" si="12"/>
        <v>0</v>
      </c>
      <c r="AL70" s="11" t="e">
        <f t="shared" si="13"/>
        <v>#REF!</v>
      </c>
    </row>
    <row r="71" spans="1:38" s="124" customFormat="1" hidden="1">
      <c r="A71" s="123" t="s">
        <v>60</v>
      </c>
      <c r="B71" s="123" t="s">
        <v>49</v>
      </c>
      <c r="C71" s="122" t="s">
        <v>124</v>
      </c>
      <c r="D71" s="118" t="s">
        <v>127</v>
      </c>
      <c r="E71" s="98"/>
      <c r="F71" s="99" t="e">
        <f>VLOOKUP(D71,#REF!,19,FALSE)</f>
        <v>#REF!</v>
      </c>
      <c r="G71" s="100"/>
      <c r="H71" s="100"/>
      <c r="I71" s="101"/>
      <c r="J71" s="102" t="e">
        <f t="shared" si="0"/>
        <v>#REF!</v>
      </c>
      <c r="K71" s="103"/>
      <c r="L71" s="104"/>
      <c r="M71" s="105"/>
      <c r="N71" s="103">
        <v>0</v>
      </c>
      <c r="O71" s="106"/>
      <c r="P71" s="103">
        <v>0</v>
      </c>
      <c r="Q71" s="107">
        <f t="shared" si="1"/>
        <v>0</v>
      </c>
      <c r="R71" s="107"/>
      <c r="S71" s="107"/>
      <c r="T71" s="108">
        <v>0</v>
      </c>
      <c r="U71" s="119"/>
      <c r="V71" s="110">
        <f t="shared" si="2"/>
        <v>0</v>
      </c>
      <c r="W71" s="103"/>
      <c r="X71" s="112">
        <f t="shared" si="3"/>
        <v>0</v>
      </c>
      <c r="Y71" s="112">
        <f t="shared" si="4"/>
        <v>0</v>
      </c>
      <c r="Z71" s="113">
        <f t="shared" si="5"/>
        <v>0</v>
      </c>
      <c r="AA71" s="113">
        <v>0</v>
      </c>
      <c r="AB71" s="114">
        <v>0</v>
      </c>
      <c r="AC71" s="11">
        <f t="shared" si="6"/>
        <v>0</v>
      </c>
      <c r="AD71" s="115" t="e">
        <f t="shared" si="7"/>
        <v>#REF!</v>
      </c>
      <c r="AE71" s="115">
        <f t="shared" si="8"/>
        <v>0</v>
      </c>
      <c r="AF71" s="115">
        <f t="shared" si="9"/>
        <v>0</v>
      </c>
      <c r="AG71" s="11"/>
      <c r="AH71" s="115">
        <f t="shared" si="10"/>
        <v>0</v>
      </c>
      <c r="AI71" s="115">
        <f t="shared" si="11"/>
        <v>0</v>
      </c>
      <c r="AJ71" s="115">
        <f t="shared" si="12"/>
        <v>0</v>
      </c>
      <c r="AL71" s="11" t="e">
        <f t="shared" si="13"/>
        <v>#REF!</v>
      </c>
    </row>
    <row r="72" spans="1:38" s="124" customFormat="1" hidden="1">
      <c r="A72" s="123" t="s">
        <v>60</v>
      </c>
      <c r="B72" s="123" t="s">
        <v>49</v>
      </c>
      <c r="C72" s="122" t="s">
        <v>124</v>
      </c>
      <c r="D72" s="118" t="s">
        <v>128</v>
      </c>
      <c r="E72" s="98"/>
      <c r="F72" s="99" t="e">
        <f>VLOOKUP(D72,#REF!,19,FALSE)</f>
        <v>#REF!</v>
      </c>
      <c r="G72" s="100"/>
      <c r="H72" s="100"/>
      <c r="I72" s="101"/>
      <c r="J72" s="102" t="e">
        <f t="shared" si="0"/>
        <v>#REF!</v>
      </c>
      <c r="K72" s="103"/>
      <c r="L72" s="104"/>
      <c r="M72" s="105"/>
      <c r="N72" s="103">
        <v>0</v>
      </c>
      <c r="O72" s="106"/>
      <c r="P72" s="103">
        <v>0</v>
      </c>
      <c r="Q72" s="107">
        <f t="shared" si="1"/>
        <v>0</v>
      </c>
      <c r="R72" s="107"/>
      <c r="S72" s="107"/>
      <c r="T72" s="108">
        <v>0</v>
      </c>
      <c r="U72" s="119"/>
      <c r="V72" s="110">
        <f t="shared" si="2"/>
        <v>0</v>
      </c>
      <c r="W72" s="103"/>
      <c r="X72" s="112">
        <f t="shared" si="3"/>
        <v>0</v>
      </c>
      <c r="Y72" s="112">
        <f t="shared" si="4"/>
        <v>0</v>
      </c>
      <c r="Z72" s="113">
        <f t="shared" si="5"/>
        <v>0</v>
      </c>
      <c r="AA72" s="113">
        <v>0</v>
      </c>
      <c r="AB72" s="114">
        <v>0</v>
      </c>
      <c r="AC72" s="11">
        <f t="shared" si="6"/>
        <v>0</v>
      </c>
      <c r="AD72" s="115" t="e">
        <f t="shared" si="7"/>
        <v>#REF!</v>
      </c>
      <c r="AE72" s="115">
        <f t="shared" si="8"/>
        <v>0</v>
      </c>
      <c r="AF72" s="115">
        <f t="shared" si="9"/>
        <v>0</v>
      </c>
      <c r="AG72" s="11"/>
      <c r="AH72" s="115">
        <f t="shared" si="10"/>
        <v>0</v>
      </c>
      <c r="AI72" s="115">
        <f t="shared" si="11"/>
        <v>0</v>
      </c>
      <c r="AJ72" s="115">
        <f t="shared" si="12"/>
        <v>0</v>
      </c>
      <c r="AL72" s="11" t="e">
        <f t="shared" si="13"/>
        <v>#REF!</v>
      </c>
    </row>
    <row r="73" spans="1:38" s="124" customFormat="1" hidden="1">
      <c r="A73" s="123" t="s">
        <v>60</v>
      </c>
      <c r="B73" s="123" t="s">
        <v>49</v>
      </c>
      <c r="C73" s="122" t="s">
        <v>124</v>
      </c>
      <c r="D73" s="118" t="s">
        <v>129</v>
      </c>
      <c r="E73" s="98"/>
      <c r="F73" s="99" t="e">
        <f>VLOOKUP(D73,#REF!,19,FALSE)</f>
        <v>#REF!</v>
      </c>
      <c r="G73" s="100"/>
      <c r="H73" s="100"/>
      <c r="I73" s="101"/>
      <c r="J73" s="102" t="e">
        <f t="shared" si="0"/>
        <v>#REF!</v>
      </c>
      <c r="K73" s="103"/>
      <c r="L73" s="104"/>
      <c r="M73" s="105"/>
      <c r="N73" s="103">
        <v>0</v>
      </c>
      <c r="O73" s="106"/>
      <c r="P73" s="103">
        <v>0</v>
      </c>
      <c r="Q73" s="107">
        <f t="shared" si="1"/>
        <v>0</v>
      </c>
      <c r="R73" s="107"/>
      <c r="S73" s="107"/>
      <c r="T73" s="108">
        <v>0</v>
      </c>
      <c r="U73" s="119"/>
      <c r="V73" s="110">
        <f t="shared" si="2"/>
        <v>0</v>
      </c>
      <c r="W73" s="103"/>
      <c r="X73" s="112">
        <f t="shared" si="3"/>
        <v>0</v>
      </c>
      <c r="Y73" s="112">
        <f t="shared" si="4"/>
        <v>0</v>
      </c>
      <c r="Z73" s="113">
        <f t="shared" si="5"/>
        <v>0</v>
      </c>
      <c r="AA73" s="113">
        <v>0</v>
      </c>
      <c r="AB73" s="114">
        <v>0</v>
      </c>
      <c r="AC73" s="11">
        <f t="shared" si="6"/>
        <v>0</v>
      </c>
      <c r="AD73" s="115" t="e">
        <f t="shared" si="7"/>
        <v>#REF!</v>
      </c>
      <c r="AE73" s="115">
        <f t="shared" si="8"/>
        <v>0</v>
      </c>
      <c r="AF73" s="115">
        <f t="shared" si="9"/>
        <v>0</v>
      </c>
      <c r="AG73" s="11"/>
      <c r="AH73" s="115">
        <f t="shared" si="10"/>
        <v>0</v>
      </c>
      <c r="AI73" s="115">
        <f t="shared" si="11"/>
        <v>0</v>
      </c>
      <c r="AJ73" s="115">
        <f t="shared" si="12"/>
        <v>0</v>
      </c>
      <c r="AL73" s="11" t="e">
        <f t="shared" si="13"/>
        <v>#REF!</v>
      </c>
    </row>
    <row r="74" spans="1:38" s="124" customFormat="1" hidden="1">
      <c r="A74" s="123" t="s">
        <v>60</v>
      </c>
      <c r="B74" s="123" t="s">
        <v>49</v>
      </c>
      <c r="C74" s="122" t="s">
        <v>124</v>
      </c>
      <c r="D74" s="118" t="s">
        <v>130</v>
      </c>
      <c r="E74" s="98"/>
      <c r="F74" s="99" t="e">
        <f>VLOOKUP(D74,#REF!,19,FALSE)</f>
        <v>#REF!</v>
      </c>
      <c r="G74" s="100"/>
      <c r="H74" s="100"/>
      <c r="I74" s="101"/>
      <c r="J74" s="102" t="e">
        <f t="shared" si="0"/>
        <v>#REF!</v>
      </c>
      <c r="K74" s="103"/>
      <c r="L74" s="104"/>
      <c r="M74" s="105"/>
      <c r="N74" s="103">
        <v>0</v>
      </c>
      <c r="O74" s="106"/>
      <c r="P74" s="103">
        <v>0</v>
      </c>
      <c r="Q74" s="107">
        <f t="shared" si="1"/>
        <v>0</v>
      </c>
      <c r="R74" s="107"/>
      <c r="S74" s="107"/>
      <c r="T74" s="108">
        <v>0</v>
      </c>
      <c r="U74" s="119"/>
      <c r="V74" s="110">
        <f t="shared" si="2"/>
        <v>0</v>
      </c>
      <c r="W74" s="103"/>
      <c r="X74" s="112">
        <f t="shared" si="3"/>
        <v>0</v>
      </c>
      <c r="Y74" s="112">
        <f t="shared" si="4"/>
        <v>0</v>
      </c>
      <c r="Z74" s="113">
        <f t="shared" si="5"/>
        <v>0</v>
      </c>
      <c r="AA74" s="113">
        <v>0</v>
      </c>
      <c r="AB74" s="114">
        <v>0</v>
      </c>
      <c r="AC74" s="11">
        <f t="shared" si="6"/>
        <v>0</v>
      </c>
      <c r="AD74" s="115" t="e">
        <f t="shared" si="7"/>
        <v>#REF!</v>
      </c>
      <c r="AE74" s="115">
        <f t="shared" si="8"/>
        <v>0</v>
      </c>
      <c r="AF74" s="115">
        <f t="shared" si="9"/>
        <v>0</v>
      </c>
      <c r="AG74" s="11"/>
      <c r="AH74" s="115">
        <f t="shared" si="10"/>
        <v>0</v>
      </c>
      <c r="AI74" s="115">
        <f t="shared" si="11"/>
        <v>0</v>
      </c>
      <c r="AJ74" s="115">
        <f t="shared" si="12"/>
        <v>0</v>
      </c>
      <c r="AL74" s="11" t="e">
        <f t="shared" si="13"/>
        <v>#REF!</v>
      </c>
    </row>
    <row r="75" spans="1:38" s="124" customFormat="1">
      <c r="A75" s="123"/>
      <c r="B75" s="123" t="s">
        <v>46</v>
      </c>
      <c r="C75" s="140"/>
      <c r="D75" s="121" t="s">
        <v>131</v>
      </c>
      <c r="E75" s="98"/>
      <c r="F75" s="99" t="e">
        <f>VLOOKUP(D75,#REF!,19,FALSE)</f>
        <v>#REF!</v>
      </c>
      <c r="G75" s="100"/>
      <c r="H75" s="100"/>
      <c r="I75" s="101"/>
      <c r="J75" s="102" t="e">
        <f t="shared" si="0"/>
        <v>#REF!</v>
      </c>
      <c r="K75" s="103"/>
      <c r="L75" s="104"/>
      <c r="M75" s="105"/>
      <c r="N75" s="103">
        <v>0</v>
      </c>
      <c r="O75" s="106"/>
      <c r="P75" s="103">
        <v>0</v>
      </c>
      <c r="Q75" s="107">
        <f t="shared" si="1"/>
        <v>0</v>
      </c>
      <c r="R75" s="107"/>
      <c r="S75" s="107"/>
      <c r="T75" s="108">
        <v>0</v>
      </c>
      <c r="U75" s="119"/>
      <c r="V75" s="110">
        <f t="shared" si="2"/>
        <v>0</v>
      </c>
      <c r="W75" s="103"/>
      <c r="X75" s="112">
        <f t="shared" si="3"/>
        <v>0</v>
      </c>
      <c r="Y75" s="112">
        <f t="shared" si="4"/>
        <v>0</v>
      </c>
      <c r="Z75" s="113">
        <f t="shared" si="5"/>
        <v>0</v>
      </c>
      <c r="AA75" s="113">
        <v>0</v>
      </c>
      <c r="AB75" s="114">
        <v>0</v>
      </c>
      <c r="AC75" s="11">
        <f t="shared" si="6"/>
        <v>0</v>
      </c>
      <c r="AD75" s="115">
        <f t="shared" si="7"/>
        <v>0</v>
      </c>
      <c r="AE75" s="115" t="e">
        <f t="shared" si="8"/>
        <v>#REF!</v>
      </c>
      <c r="AF75" s="115">
        <f t="shared" si="9"/>
        <v>0</v>
      </c>
      <c r="AG75" s="11"/>
      <c r="AH75" s="115">
        <f t="shared" si="10"/>
        <v>0</v>
      </c>
      <c r="AI75" s="115">
        <f t="shared" si="11"/>
        <v>0</v>
      </c>
      <c r="AJ75" s="115">
        <f t="shared" si="12"/>
        <v>0</v>
      </c>
      <c r="AL75" s="11" t="e">
        <f t="shared" si="13"/>
        <v>#REF!</v>
      </c>
    </row>
    <row r="76" spans="1:38" hidden="1">
      <c r="A76" s="116"/>
      <c r="B76" s="116" t="s">
        <v>49</v>
      </c>
      <c r="C76" s="122"/>
      <c r="D76" s="120" t="s">
        <v>132</v>
      </c>
      <c r="E76" s="98"/>
      <c r="F76" s="99" t="e">
        <f>VLOOKUP(D76,#REF!,19,FALSE)</f>
        <v>#REF!</v>
      </c>
      <c r="G76" s="100"/>
      <c r="H76" s="100"/>
      <c r="I76" s="101"/>
      <c r="J76" s="102" t="e">
        <f t="shared" si="0"/>
        <v>#REF!</v>
      </c>
      <c r="K76" s="103"/>
      <c r="L76" s="104"/>
      <c r="M76" s="105"/>
      <c r="N76" s="103">
        <v>0</v>
      </c>
      <c r="O76" s="106"/>
      <c r="P76" s="103">
        <v>0</v>
      </c>
      <c r="Q76" s="107">
        <f t="shared" si="1"/>
        <v>0</v>
      </c>
      <c r="R76" s="107"/>
      <c r="S76" s="107"/>
      <c r="T76" s="108">
        <v>0</v>
      </c>
      <c r="U76" s="119"/>
      <c r="V76" s="110">
        <f t="shared" si="2"/>
        <v>0</v>
      </c>
      <c r="W76" s="103"/>
      <c r="X76" s="112">
        <f t="shared" si="3"/>
        <v>0</v>
      </c>
      <c r="Y76" s="112">
        <f t="shared" si="4"/>
        <v>0</v>
      </c>
      <c r="Z76" s="113">
        <f t="shared" si="5"/>
        <v>0</v>
      </c>
      <c r="AA76" s="113">
        <v>0</v>
      </c>
      <c r="AB76" s="114">
        <v>0</v>
      </c>
      <c r="AC76" s="11">
        <f t="shared" si="6"/>
        <v>0</v>
      </c>
      <c r="AD76" s="115" t="e">
        <f t="shared" si="7"/>
        <v>#REF!</v>
      </c>
      <c r="AE76" s="115">
        <f t="shared" si="8"/>
        <v>0</v>
      </c>
      <c r="AF76" s="115">
        <f t="shared" si="9"/>
        <v>0</v>
      </c>
      <c r="AG76" s="11"/>
      <c r="AH76" s="115">
        <f t="shared" si="10"/>
        <v>0</v>
      </c>
      <c r="AI76" s="115">
        <f t="shared" si="11"/>
        <v>0</v>
      </c>
      <c r="AJ76" s="115">
        <f t="shared" si="12"/>
        <v>0</v>
      </c>
      <c r="AL76" s="11" t="e">
        <f t="shared" si="13"/>
        <v>#REF!</v>
      </c>
    </row>
    <row r="77" spans="1:38">
      <c r="A77" s="116"/>
      <c r="B77" s="116" t="s">
        <v>49</v>
      </c>
      <c r="C77" s="122"/>
      <c r="D77" s="120" t="s">
        <v>133</v>
      </c>
      <c r="E77" s="98">
        <v>152.38</v>
      </c>
      <c r="F77" s="99" t="e">
        <f>VLOOKUP(D77,#REF!,19,FALSE)</f>
        <v>#REF!</v>
      </c>
      <c r="G77" s="100"/>
      <c r="H77" s="100"/>
      <c r="I77" s="125">
        <v>186.21</v>
      </c>
      <c r="J77" s="102" t="e">
        <f t="shared" si="0"/>
        <v>#REF!</v>
      </c>
      <c r="K77" s="103"/>
      <c r="L77" s="104"/>
      <c r="M77" s="105"/>
      <c r="N77" s="103">
        <v>0</v>
      </c>
      <c r="O77" s="106"/>
      <c r="P77" s="103">
        <v>0</v>
      </c>
      <c r="Q77" s="107">
        <f t="shared" si="1"/>
        <v>0</v>
      </c>
      <c r="R77" s="107"/>
      <c r="S77" s="107"/>
      <c r="T77" s="108">
        <v>0</v>
      </c>
      <c r="U77" s="119"/>
      <c r="V77" s="110">
        <f t="shared" si="2"/>
        <v>0</v>
      </c>
      <c r="W77" s="103"/>
      <c r="X77" s="112">
        <f t="shared" si="3"/>
        <v>0</v>
      </c>
      <c r="Y77" s="112">
        <f t="shared" si="4"/>
        <v>0</v>
      </c>
      <c r="Z77" s="113">
        <f t="shared" si="5"/>
        <v>0</v>
      </c>
      <c r="AA77" s="113">
        <v>0</v>
      </c>
      <c r="AB77" s="114">
        <v>0</v>
      </c>
      <c r="AC77" s="11">
        <f t="shared" si="6"/>
        <v>0</v>
      </c>
      <c r="AD77" s="115" t="e">
        <f t="shared" si="7"/>
        <v>#REF!</v>
      </c>
      <c r="AE77" s="115">
        <f t="shared" si="8"/>
        <v>0</v>
      </c>
      <c r="AF77" s="115">
        <f t="shared" si="9"/>
        <v>0</v>
      </c>
      <c r="AG77" s="11"/>
      <c r="AH77" s="115">
        <f t="shared" si="10"/>
        <v>0</v>
      </c>
      <c r="AI77" s="115">
        <f t="shared" si="11"/>
        <v>0</v>
      </c>
      <c r="AJ77" s="115">
        <f t="shared" si="12"/>
        <v>0</v>
      </c>
      <c r="AL77" s="11" t="e">
        <f t="shared" si="13"/>
        <v>#REF!</v>
      </c>
    </row>
    <row r="78" spans="1:38">
      <c r="A78" s="116"/>
      <c r="B78" s="116" t="s">
        <v>49</v>
      </c>
      <c r="C78" s="122"/>
      <c r="D78" s="120" t="s">
        <v>135</v>
      </c>
      <c r="E78" s="98">
        <v>69824.789999999994</v>
      </c>
      <c r="F78" s="99">
        <v>0</v>
      </c>
      <c r="G78" s="100"/>
      <c r="H78" s="100"/>
      <c r="I78" s="101"/>
      <c r="J78" s="102">
        <f t="shared" si="0"/>
        <v>69824.789999999994</v>
      </c>
      <c r="K78" s="103"/>
      <c r="L78" s="104"/>
      <c r="M78" s="105"/>
      <c r="N78" s="103">
        <v>0</v>
      </c>
      <c r="O78" s="106"/>
      <c r="P78" s="103">
        <v>0</v>
      </c>
      <c r="Q78" s="107">
        <f t="shared" si="1"/>
        <v>0</v>
      </c>
      <c r="R78" s="107"/>
      <c r="S78" s="107"/>
      <c r="T78" s="108">
        <v>0</v>
      </c>
      <c r="U78" s="119"/>
      <c r="V78" s="110">
        <f t="shared" si="2"/>
        <v>0</v>
      </c>
      <c r="W78" s="103"/>
      <c r="X78" s="112">
        <f t="shared" si="3"/>
        <v>0</v>
      </c>
      <c r="Y78" s="112">
        <f t="shared" si="4"/>
        <v>0</v>
      </c>
      <c r="Z78" s="113">
        <f t="shared" si="5"/>
        <v>0</v>
      </c>
      <c r="AA78" s="113">
        <v>0</v>
      </c>
      <c r="AB78" s="114">
        <v>0</v>
      </c>
      <c r="AC78" s="11">
        <f t="shared" si="6"/>
        <v>0</v>
      </c>
      <c r="AD78" s="115">
        <f t="shared" si="7"/>
        <v>69824.789999999994</v>
      </c>
      <c r="AE78" s="115">
        <f t="shared" si="8"/>
        <v>0</v>
      </c>
      <c r="AF78" s="115">
        <f t="shared" si="9"/>
        <v>0</v>
      </c>
      <c r="AG78" s="11"/>
      <c r="AH78" s="115">
        <f t="shared" si="10"/>
        <v>0</v>
      </c>
      <c r="AI78" s="115">
        <f t="shared" si="11"/>
        <v>0</v>
      </c>
      <c r="AJ78" s="115">
        <f t="shared" si="12"/>
        <v>0</v>
      </c>
      <c r="AL78" s="11">
        <f t="shared" ref="AL78" si="17">SUM(AD78:AJ78)</f>
        <v>69824.789999999994</v>
      </c>
    </row>
    <row r="79" spans="1:38">
      <c r="A79" s="116" t="s">
        <v>46</v>
      </c>
      <c r="B79" s="116" t="s">
        <v>46</v>
      </c>
      <c r="C79" s="122" t="s">
        <v>136</v>
      </c>
      <c r="D79" s="120" t="s">
        <v>137</v>
      </c>
      <c r="E79" s="98"/>
      <c r="F79" s="99" t="e">
        <f>VLOOKUP(D79,#REF!,19,FALSE)</f>
        <v>#REF!</v>
      </c>
      <c r="G79" s="100"/>
      <c r="H79" s="100"/>
      <c r="I79" s="101"/>
      <c r="J79" s="102" t="e">
        <f t="shared" si="0"/>
        <v>#REF!</v>
      </c>
      <c r="K79" s="103"/>
      <c r="L79" s="104"/>
      <c r="M79" s="105"/>
      <c r="N79" s="103">
        <v>0</v>
      </c>
      <c r="O79" s="106"/>
      <c r="P79" s="103">
        <v>0</v>
      </c>
      <c r="Q79" s="107">
        <f t="shared" si="1"/>
        <v>0</v>
      </c>
      <c r="R79" s="107"/>
      <c r="S79" s="107"/>
      <c r="T79" s="108">
        <v>0</v>
      </c>
      <c r="U79" s="119"/>
      <c r="V79" s="110">
        <f t="shared" si="2"/>
        <v>0</v>
      </c>
      <c r="W79" s="103"/>
      <c r="X79" s="112">
        <f t="shared" si="3"/>
        <v>0</v>
      </c>
      <c r="Y79" s="112">
        <f t="shared" si="4"/>
        <v>0</v>
      </c>
      <c r="Z79" s="113">
        <f t="shared" si="5"/>
        <v>0</v>
      </c>
      <c r="AA79" s="113">
        <v>0</v>
      </c>
      <c r="AB79" s="114">
        <v>0</v>
      </c>
      <c r="AC79" s="11">
        <f t="shared" si="6"/>
        <v>0</v>
      </c>
      <c r="AD79" s="115">
        <f t="shared" si="7"/>
        <v>0</v>
      </c>
      <c r="AE79" s="115" t="e">
        <f t="shared" si="8"/>
        <v>#REF!</v>
      </c>
      <c r="AF79" s="115">
        <f t="shared" si="9"/>
        <v>0</v>
      </c>
      <c r="AG79" s="11"/>
      <c r="AH79" s="115">
        <f t="shared" si="10"/>
        <v>0</v>
      </c>
      <c r="AI79" s="115">
        <f t="shared" si="11"/>
        <v>0</v>
      </c>
      <c r="AJ79" s="115">
        <f t="shared" si="12"/>
        <v>0</v>
      </c>
      <c r="AL79" s="11" t="e">
        <f t="shared" si="13"/>
        <v>#REF!</v>
      </c>
    </row>
    <row r="80" spans="1:38">
      <c r="A80" s="116"/>
      <c r="B80" s="116" t="s">
        <v>46</v>
      </c>
      <c r="C80" s="122"/>
      <c r="D80" s="120" t="s">
        <v>138</v>
      </c>
      <c r="E80" s="98"/>
      <c r="F80" s="99" t="e">
        <f>VLOOKUP(D80,#REF!,19,FALSE)</f>
        <v>#REF!</v>
      </c>
      <c r="G80" s="100"/>
      <c r="H80" s="100"/>
      <c r="I80" s="101"/>
      <c r="J80" s="102" t="e">
        <f t="shared" si="0"/>
        <v>#REF!</v>
      </c>
      <c r="K80" s="103"/>
      <c r="L80" s="104"/>
      <c r="M80" s="105"/>
      <c r="N80" s="103">
        <v>0</v>
      </c>
      <c r="O80" s="106"/>
      <c r="P80" s="103">
        <v>0</v>
      </c>
      <c r="Q80" s="107">
        <f t="shared" si="1"/>
        <v>0</v>
      </c>
      <c r="R80" s="107"/>
      <c r="S80" s="107"/>
      <c r="T80" s="108">
        <v>0</v>
      </c>
      <c r="U80" s="119"/>
      <c r="V80" s="110">
        <f t="shared" si="2"/>
        <v>0</v>
      </c>
      <c r="W80" s="103"/>
      <c r="X80" s="112">
        <f t="shared" si="3"/>
        <v>0</v>
      </c>
      <c r="Y80" s="112">
        <f t="shared" si="4"/>
        <v>0</v>
      </c>
      <c r="Z80" s="113">
        <f t="shared" si="5"/>
        <v>0</v>
      </c>
      <c r="AA80" s="113">
        <v>0</v>
      </c>
      <c r="AB80" s="114">
        <v>0</v>
      </c>
      <c r="AC80" s="11">
        <f t="shared" si="6"/>
        <v>0</v>
      </c>
      <c r="AD80" s="115">
        <f t="shared" si="7"/>
        <v>0</v>
      </c>
      <c r="AE80" s="115" t="e">
        <f t="shared" si="8"/>
        <v>#REF!</v>
      </c>
      <c r="AF80" s="115">
        <f t="shared" si="9"/>
        <v>0</v>
      </c>
      <c r="AG80" s="11"/>
      <c r="AH80" s="115">
        <f t="shared" si="10"/>
        <v>0</v>
      </c>
      <c r="AI80" s="115">
        <f t="shared" si="11"/>
        <v>0</v>
      </c>
      <c r="AJ80" s="115">
        <f t="shared" si="12"/>
        <v>0</v>
      </c>
      <c r="AL80" s="11" t="e">
        <f t="shared" si="13"/>
        <v>#REF!</v>
      </c>
    </row>
    <row r="81" spans="1:38">
      <c r="A81" s="116"/>
      <c r="B81" s="116" t="s">
        <v>49</v>
      </c>
      <c r="C81" s="122"/>
      <c r="D81" s="120" t="s">
        <v>139</v>
      </c>
      <c r="E81" s="98"/>
      <c r="F81" s="99" t="e">
        <f>VLOOKUP(D81,#REF!,19,FALSE)</f>
        <v>#REF!</v>
      </c>
      <c r="G81" s="100"/>
      <c r="H81" s="100"/>
      <c r="I81" s="101"/>
      <c r="J81" s="102" t="e">
        <f t="shared" si="0"/>
        <v>#REF!</v>
      </c>
      <c r="K81" s="103"/>
      <c r="L81" s="104"/>
      <c r="M81" s="105">
        <v>400000</v>
      </c>
      <c r="N81" s="103">
        <v>0</v>
      </c>
      <c r="O81" s="106"/>
      <c r="P81" s="103">
        <v>0</v>
      </c>
      <c r="Q81" s="107">
        <f t="shared" si="1"/>
        <v>400000</v>
      </c>
      <c r="R81" s="107"/>
      <c r="S81" s="107"/>
      <c r="T81" s="108">
        <f>42131.16+35283.58+2911.94+243688.8+52500.56</f>
        <v>376516.04</v>
      </c>
      <c r="U81" s="119"/>
      <c r="V81" s="110">
        <f t="shared" ref="V81:V147" si="18">IF(T81="","",T81-Q81)</f>
        <v>-23483.960000000021</v>
      </c>
      <c r="W81" s="103"/>
      <c r="X81" s="112">
        <f t="shared" si="3"/>
        <v>400000</v>
      </c>
      <c r="Y81" s="112">
        <f t="shared" si="4"/>
        <v>0</v>
      </c>
      <c r="Z81" s="113">
        <f t="shared" si="5"/>
        <v>0</v>
      </c>
      <c r="AA81" s="113">
        <v>0</v>
      </c>
      <c r="AB81" s="114">
        <v>0</v>
      </c>
      <c r="AC81" s="11">
        <f t="shared" si="6"/>
        <v>0</v>
      </c>
      <c r="AD81" s="115" t="e">
        <f t="shared" si="7"/>
        <v>#REF!</v>
      </c>
      <c r="AE81" s="115">
        <f t="shared" si="8"/>
        <v>0</v>
      </c>
      <c r="AF81" s="115">
        <f t="shared" si="9"/>
        <v>0</v>
      </c>
      <c r="AG81" s="11"/>
      <c r="AH81" s="115">
        <f t="shared" si="10"/>
        <v>400000</v>
      </c>
      <c r="AI81" s="115">
        <f t="shared" si="11"/>
        <v>0</v>
      </c>
      <c r="AJ81" s="115">
        <f t="shared" si="12"/>
        <v>0</v>
      </c>
      <c r="AL81" s="11" t="e">
        <f t="shared" si="13"/>
        <v>#REF!</v>
      </c>
    </row>
    <row r="82" spans="1:38" s="124" customFormat="1">
      <c r="A82" s="123"/>
      <c r="B82" s="123" t="s">
        <v>46</v>
      </c>
      <c r="C82" s="122" t="s">
        <v>140</v>
      </c>
      <c r="D82" s="97" t="s">
        <v>141</v>
      </c>
      <c r="E82" s="98">
        <v>17654</v>
      </c>
      <c r="F82" s="99" t="e">
        <f>VLOOKUP(D82,#REF!,19,FALSE)</f>
        <v>#REF!</v>
      </c>
      <c r="G82" s="100"/>
      <c r="H82" s="100"/>
      <c r="I82" s="101"/>
      <c r="J82" s="102" t="e">
        <f t="shared" si="0"/>
        <v>#REF!</v>
      </c>
      <c r="K82" s="103"/>
      <c r="L82" s="104"/>
      <c r="M82" s="105">
        <v>50000</v>
      </c>
      <c r="N82" s="103">
        <v>0</v>
      </c>
      <c r="O82" s="106"/>
      <c r="P82" s="103">
        <v>0</v>
      </c>
      <c r="Q82" s="107">
        <f t="shared" si="1"/>
        <v>50000</v>
      </c>
      <c r="R82" s="107"/>
      <c r="S82" s="107"/>
      <c r="T82" s="108">
        <v>12050.44</v>
      </c>
      <c r="U82" s="119"/>
      <c r="V82" s="110">
        <f t="shared" si="18"/>
        <v>-37949.56</v>
      </c>
      <c r="W82" s="103"/>
      <c r="X82" s="112">
        <f t="shared" si="3"/>
        <v>0</v>
      </c>
      <c r="Y82" s="112">
        <f t="shared" si="4"/>
        <v>50000</v>
      </c>
      <c r="Z82" s="113">
        <f t="shared" si="5"/>
        <v>0</v>
      </c>
      <c r="AA82" s="113">
        <v>0</v>
      </c>
      <c r="AB82" s="114">
        <v>0</v>
      </c>
      <c r="AC82" s="11">
        <f t="shared" si="6"/>
        <v>0</v>
      </c>
      <c r="AD82" s="115">
        <f t="shared" si="7"/>
        <v>0</v>
      </c>
      <c r="AE82" s="115" t="e">
        <f t="shared" si="8"/>
        <v>#REF!</v>
      </c>
      <c r="AF82" s="115">
        <f t="shared" si="9"/>
        <v>0</v>
      </c>
      <c r="AG82" s="11"/>
      <c r="AH82" s="115">
        <f t="shared" si="10"/>
        <v>0</v>
      </c>
      <c r="AI82" s="115">
        <f t="shared" si="11"/>
        <v>50000</v>
      </c>
      <c r="AJ82" s="115">
        <f t="shared" si="12"/>
        <v>0</v>
      </c>
      <c r="AL82" s="11" t="e">
        <f t="shared" si="13"/>
        <v>#REF!</v>
      </c>
    </row>
    <row r="83" spans="1:38" s="124" customFormat="1">
      <c r="A83" s="123"/>
      <c r="B83" s="123" t="s">
        <v>46</v>
      </c>
      <c r="C83" s="122" t="s">
        <v>140</v>
      </c>
      <c r="D83" s="97" t="s">
        <v>142</v>
      </c>
      <c r="E83" s="98"/>
      <c r="F83" s="99" t="e">
        <f>VLOOKUP(D83,#REF!,19,FALSE)</f>
        <v>#REF!</v>
      </c>
      <c r="G83" s="100"/>
      <c r="H83" s="100"/>
      <c r="I83" s="101"/>
      <c r="J83" s="102" t="e">
        <f t="shared" si="0"/>
        <v>#REF!</v>
      </c>
      <c r="K83" s="103"/>
      <c r="L83" s="104"/>
      <c r="M83" s="105"/>
      <c r="N83" s="103">
        <v>0</v>
      </c>
      <c r="O83" s="106"/>
      <c r="P83" s="103">
        <v>0</v>
      </c>
      <c r="Q83" s="107">
        <f t="shared" si="1"/>
        <v>0</v>
      </c>
      <c r="R83" s="107"/>
      <c r="S83" s="107"/>
      <c r="T83" s="108">
        <v>0</v>
      </c>
      <c r="U83" s="119"/>
      <c r="V83" s="110">
        <f t="shared" si="18"/>
        <v>0</v>
      </c>
      <c r="W83" s="103"/>
      <c r="X83" s="112">
        <f t="shared" si="3"/>
        <v>0</v>
      </c>
      <c r="Y83" s="112">
        <f t="shared" si="4"/>
        <v>0</v>
      </c>
      <c r="Z83" s="113">
        <f t="shared" si="5"/>
        <v>0</v>
      </c>
      <c r="AA83" s="113">
        <v>0</v>
      </c>
      <c r="AB83" s="114">
        <v>0</v>
      </c>
      <c r="AC83" s="11">
        <f t="shared" si="6"/>
        <v>0</v>
      </c>
      <c r="AD83" s="115">
        <f t="shared" si="7"/>
        <v>0</v>
      </c>
      <c r="AE83" s="115" t="e">
        <f t="shared" si="8"/>
        <v>#REF!</v>
      </c>
      <c r="AF83" s="115">
        <f t="shared" si="9"/>
        <v>0</v>
      </c>
      <c r="AG83" s="11"/>
      <c r="AH83" s="115">
        <f t="shared" si="10"/>
        <v>0</v>
      </c>
      <c r="AI83" s="115">
        <f t="shared" si="11"/>
        <v>0</v>
      </c>
      <c r="AJ83" s="115">
        <f t="shared" si="12"/>
        <v>0</v>
      </c>
      <c r="AL83" s="11" t="e">
        <f t="shared" si="13"/>
        <v>#REF!</v>
      </c>
    </row>
    <row r="84" spans="1:38" s="124" customFormat="1">
      <c r="A84" s="123"/>
      <c r="B84" s="123" t="s">
        <v>46</v>
      </c>
      <c r="C84" s="122" t="s">
        <v>140</v>
      </c>
      <c r="D84" s="97" t="s">
        <v>143</v>
      </c>
      <c r="E84" s="98"/>
      <c r="F84" s="99" t="e">
        <f>VLOOKUP(D84,#REF!,19,FALSE)</f>
        <v>#REF!</v>
      </c>
      <c r="G84" s="100"/>
      <c r="H84" s="100"/>
      <c r="I84" s="101"/>
      <c r="J84" s="102" t="e">
        <f t="shared" si="0"/>
        <v>#REF!</v>
      </c>
      <c r="K84" s="103"/>
      <c r="L84" s="104"/>
      <c r="M84" s="105"/>
      <c r="N84" s="103">
        <v>0</v>
      </c>
      <c r="O84" s="106"/>
      <c r="P84" s="103">
        <v>0</v>
      </c>
      <c r="Q84" s="107">
        <f t="shared" si="1"/>
        <v>0</v>
      </c>
      <c r="R84" s="107"/>
      <c r="S84" s="107"/>
      <c r="T84" s="108">
        <v>0</v>
      </c>
      <c r="U84" s="119"/>
      <c r="V84" s="110">
        <f t="shared" si="18"/>
        <v>0</v>
      </c>
      <c r="W84" s="103"/>
      <c r="X84" s="112">
        <f t="shared" si="3"/>
        <v>0</v>
      </c>
      <c r="Y84" s="112">
        <f t="shared" si="4"/>
        <v>0</v>
      </c>
      <c r="Z84" s="113">
        <f t="shared" si="5"/>
        <v>0</v>
      </c>
      <c r="AA84" s="113">
        <v>0</v>
      </c>
      <c r="AB84" s="114">
        <v>0</v>
      </c>
      <c r="AC84" s="11">
        <f t="shared" si="6"/>
        <v>0</v>
      </c>
      <c r="AD84" s="115">
        <f t="shared" si="7"/>
        <v>0</v>
      </c>
      <c r="AE84" s="115" t="e">
        <f t="shared" si="8"/>
        <v>#REF!</v>
      </c>
      <c r="AF84" s="115">
        <f t="shared" si="9"/>
        <v>0</v>
      </c>
      <c r="AG84" s="11"/>
      <c r="AH84" s="115">
        <f t="shared" si="10"/>
        <v>0</v>
      </c>
      <c r="AI84" s="115">
        <f t="shared" si="11"/>
        <v>0</v>
      </c>
      <c r="AJ84" s="115">
        <f t="shared" si="12"/>
        <v>0</v>
      </c>
      <c r="AL84" s="11" t="e">
        <f t="shared" si="13"/>
        <v>#REF!</v>
      </c>
    </row>
    <row r="85" spans="1:38">
      <c r="A85" s="116"/>
      <c r="B85" s="116" t="s">
        <v>49</v>
      </c>
      <c r="C85" s="122" t="s">
        <v>144</v>
      </c>
      <c r="D85" s="121" t="s">
        <v>145</v>
      </c>
      <c r="E85" s="98">
        <v>956.49</v>
      </c>
      <c r="F85" s="99" t="e">
        <f>VLOOKUP(D85,#REF!,19,FALSE)</f>
        <v>#REF!</v>
      </c>
      <c r="G85" s="100"/>
      <c r="H85" s="100"/>
      <c r="I85" s="101"/>
      <c r="J85" s="102" t="e">
        <f t="shared" si="0"/>
        <v>#REF!</v>
      </c>
      <c r="K85" s="103"/>
      <c r="L85" s="104"/>
      <c r="M85" s="105"/>
      <c r="N85" s="103">
        <v>0</v>
      </c>
      <c r="O85" s="106"/>
      <c r="P85" s="103">
        <v>0</v>
      </c>
      <c r="Q85" s="107">
        <f t="shared" si="1"/>
        <v>0</v>
      </c>
      <c r="R85" s="107"/>
      <c r="S85" s="107"/>
      <c r="T85" s="108">
        <v>0</v>
      </c>
      <c r="U85" s="119"/>
      <c r="V85" s="110">
        <f t="shared" si="18"/>
        <v>0</v>
      </c>
      <c r="W85" s="103"/>
      <c r="X85" s="112">
        <f t="shared" si="3"/>
        <v>0</v>
      </c>
      <c r="Y85" s="112">
        <f t="shared" si="4"/>
        <v>0</v>
      </c>
      <c r="Z85" s="113">
        <f t="shared" si="5"/>
        <v>0</v>
      </c>
      <c r="AA85" s="113">
        <v>0</v>
      </c>
      <c r="AB85" s="114">
        <v>0</v>
      </c>
      <c r="AC85" s="11">
        <f t="shared" si="6"/>
        <v>0</v>
      </c>
      <c r="AD85" s="115" t="e">
        <f t="shared" si="7"/>
        <v>#REF!</v>
      </c>
      <c r="AE85" s="115">
        <f t="shared" si="8"/>
        <v>0</v>
      </c>
      <c r="AF85" s="115">
        <f t="shared" si="9"/>
        <v>0</v>
      </c>
      <c r="AG85" s="11"/>
      <c r="AH85" s="115">
        <f t="shared" si="10"/>
        <v>0</v>
      </c>
      <c r="AI85" s="115">
        <f t="shared" si="11"/>
        <v>0</v>
      </c>
      <c r="AJ85" s="115">
        <f t="shared" si="12"/>
        <v>0</v>
      </c>
      <c r="AL85" s="11" t="e">
        <f t="shared" si="13"/>
        <v>#REF!</v>
      </c>
    </row>
    <row r="86" spans="1:38">
      <c r="A86" s="116"/>
      <c r="B86" s="116" t="s">
        <v>49</v>
      </c>
      <c r="C86" s="122" t="s">
        <v>144</v>
      </c>
      <c r="D86" s="121" t="s">
        <v>146</v>
      </c>
      <c r="E86" s="98">
        <v>881.78</v>
      </c>
      <c r="F86" s="99" t="e">
        <f>VLOOKUP(D86,#REF!,19,FALSE)</f>
        <v>#REF!</v>
      </c>
      <c r="G86" s="100"/>
      <c r="H86" s="100"/>
      <c r="I86" s="101"/>
      <c r="J86" s="102" t="e">
        <f t="shared" ref="J86:J149" si="19">SUM(E86:I86)</f>
        <v>#REF!</v>
      </c>
      <c r="K86" s="103"/>
      <c r="L86" s="104"/>
      <c r="M86" s="105"/>
      <c r="N86" s="103">
        <v>0</v>
      </c>
      <c r="O86" s="106"/>
      <c r="P86" s="103">
        <v>0</v>
      </c>
      <c r="Q86" s="107">
        <f t="shared" si="1"/>
        <v>0</v>
      </c>
      <c r="R86" s="107"/>
      <c r="S86" s="107"/>
      <c r="T86" s="108">
        <v>0</v>
      </c>
      <c r="U86" s="119"/>
      <c r="V86" s="110">
        <f t="shared" si="18"/>
        <v>0</v>
      </c>
      <c r="W86" s="103"/>
      <c r="X86" s="112">
        <f t="shared" si="3"/>
        <v>0</v>
      </c>
      <c r="Y86" s="112">
        <f t="shared" si="4"/>
        <v>0</v>
      </c>
      <c r="Z86" s="113">
        <f t="shared" si="5"/>
        <v>0</v>
      </c>
      <c r="AA86" s="113">
        <v>0</v>
      </c>
      <c r="AB86" s="114">
        <v>0</v>
      </c>
      <c r="AC86" s="11">
        <f t="shared" si="6"/>
        <v>0</v>
      </c>
      <c r="AD86" s="115" t="e">
        <f t="shared" ref="AD86:AD152" si="20">IF(B86="D",J86,0)</f>
        <v>#REF!</v>
      </c>
      <c r="AE86" s="115">
        <f t="shared" ref="AE86:AE152" si="21">IF(B86="M",J86,0)</f>
        <v>0</v>
      </c>
      <c r="AF86" s="115">
        <f t="shared" ref="AF86:AF152" si="22">IF(B86="V",J86,0)</f>
        <v>0</v>
      </c>
      <c r="AG86" s="11"/>
      <c r="AH86" s="115">
        <f t="shared" si="10"/>
        <v>0</v>
      </c>
      <c r="AI86" s="115">
        <f t="shared" si="11"/>
        <v>0</v>
      </c>
      <c r="AJ86" s="115">
        <f t="shared" si="12"/>
        <v>0</v>
      </c>
      <c r="AL86" s="11" t="e">
        <f t="shared" si="13"/>
        <v>#REF!</v>
      </c>
    </row>
    <row r="87" spans="1:38">
      <c r="A87" s="116"/>
      <c r="B87" s="116" t="s">
        <v>49</v>
      </c>
      <c r="C87" s="122" t="s">
        <v>147</v>
      </c>
      <c r="D87" s="120" t="s">
        <v>148</v>
      </c>
      <c r="E87" s="98"/>
      <c r="F87" s="99" t="e">
        <f>VLOOKUP(D87,#REF!,19,FALSE)</f>
        <v>#REF!</v>
      </c>
      <c r="G87" s="100"/>
      <c r="H87" s="100"/>
      <c r="I87" s="101"/>
      <c r="J87" s="102" t="e">
        <f t="shared" si="19"/>
        <v>#REF!</v>
      </c>
      <c r="K87" s="103"/>
      <c r="L87" s="104"/>
      <c r="M87" s="105">
        <v>7000</v>
      </c>
      <c r="N87" s="103">
        <v>0</v>
      </c>
      <c r="O87" s="106"/>
      <c r="P87" s="103">
        <v>0</v>
      </c>
      <c r="Q87" s="107">
        <f t="shared" si="1"/>
        <v>7000</v>
      </c>
      <c r="R87" s="107"/>
      <c r="S87" s="107"/>
      <c r="T87" s="108">
        <v>0</v>
      </c>
      <c r="U87" s="119"/>
      <c r="V87" s="110">
        <f t="shared" si="18"/>
        <v>-7000</v>
      </c>
      <c r="W87" s="103"/>
      <c r="X87" s="112">
        <f t="shared" ref="X87:X154" si="23">IF(B87="D",Q87,0)</f>
        <v>7000</v>
      </c>
      <c r="Y87" s="112">
        <f t="shared" ref="Y87:Y154" si="24">IF(B87="M",Q87,0)</f>
        <v>0</v>
      </c>
      <c r="Z87" s="113">
        <f t="shared" ref="Z87:Z154" si="25">IF(B87="V",Q87,0)</f>
        <v>0</v>
      </c>
      <c r="AA87" s="113">
        <v>0</v>
      </c>
      <c r="AB87" s="114">
        <v>0</v>
      </c>
      <c r="AC87" s="11">
        <f t="shared" ref="AC87:AC154" si="26">(L87+M87)-(X87+Y87+Z87+AA87+AB87)</f>
        <v>0</v>
      </c>
      <c r="AD87" s="115" t="e">
        <f t="shared" si="20"/>
        <v>#REF!</v>
      </c>
      <c r="AE87" s="115">
        <f t="shared" si="21"/>
        <v>0</v>
      </c>
      <c r="AF87" s="115">
        <f t="shared" si="22"/>
        <v>0</v>
      </c>
      <c r="AG87" s="11"/>
      <c r="AH87" s="115">
        <f t="shared" ref="AH87:AH153" si="27">IF(B87="D",Q87,0)</f>
        <v>7000</v>
      </c>
      <c r="AI87" s="115">
        <f t="shared" ref="AI87:AI153" si="28">IF(B87="M",Q87,0)</f>
        <v>0</v>
      </c>
      <c r="AJ87" s="115">
        <f t="shared" ref="AJ87:AJ153" si="29">IF(B87="V",Q87,0)</f>
        <v>0</v>
      </c>
      <c r="AL87" s="11" t="e">
        <f t="shared" si="13"/>
        <v>#REF!</v>
      </c>
    </row>
    <row r="88" spans="1:38">
      <c r="A88" s="116"/>
      <c r="B88" s="116" t="s">
        <v>49</v>
      </c>
      <c r="C88" s="122" t="s">
        <v>149</v>
      </c>
      <c r="D88" s="120" t="s">
        <v>150</v>
      </c>
      <c r="E88" s="98"/>
      <c r="F88" s="99" t="e">
        <f>VLOOKUP(D88,#REF!,19,FALSE)</f>
        <v>#REF!</v>
      </c>
      <c r="G88" s="100"/>
      <c r="H88" s="100"/>
      <c r="I88" s="101"/>
      <c r="J88" s="102" t="e">
        <f t="shared" si="19"/>
        <v>#REF!</v>
      </c>
      <c r="K88" s="103"/>
      <c r="L88" s="104"/>
      <c r="M88" s="105"/>
      <c r="N88" s="103">
        <v>0</v>
      </c>
      <c r="O88" s="106"/>
      <c r="P88" s="103">
        <v>0</v>
      </c>
      <c r="Q88" s="107">
        <f t="shared" si="1"/>
        <v>0</v>
      </c>
      <c r="R88" s="107"/>
      <c r="S88" s="107"/>
      <c r="T88" s="108">
        <v>0</v>
      </c>
      <c r="U88" s="119"/>
      <c r="V88" s="110">
        <f t="shared" si="18"/>
        <v>0</v>
      </c>
      <c r="W88" s="103"/>
      <c r="X88" s="112">
        <f t="shared" si="23"/>
        <v>0</v>
      </c>
      <c r="Y88" s="112">
        <f t="shared" si="24"/>
        <v>0</v>
      </c>
      <c r="Z88" s="113">
        <f t="shared" si="25"/>
        <v>0</v>
      </c>
      <c r="AA88" s="113">
        <v>0</v>
      </c>
      <c r="AB88" s="114">
        <v>0</v>
      </c>
      <c r="AC88" s="11">
        <f t="shared" si="26"/>
        <v>0</v>
      </c>
      <c r="AD88" s="115" t="e">
        <f t="shared" si="20"/>
        <v>#REF!</v>
      </c>
      <c r="AE88" s="115">
        <f t="shared" si="21"/>
        <v>0</v>
      </c>
      <c r="AF88" s="115">
        <f t="shared" si="22"/>
        <v>0</v>
      </c>
      <c r="AG88" s="11"/>
      <c r="AH88" s="115">
        <f t="shared" si="27"/>
        <v>0</v>
      </c>
      <c r="AI88" s="115">
        <f t="shared" si="28"/>
        <v>0</v>
      </c>
      <c r="AJ88" s="115">
        <f t="shared" si="29"/>
        <v>0</v>
      </c>
      <c r="AL88" s="11" t="e">
        <f t="shared" ref="AL88:AL152" si="30">SUM(AD88:AJ88)</f>
        <v>#REF!</v>
      </c>
    </row>
    <row r="89" spans="1:38">
      <c r="A89" s="116"/>
      <c r="B89" s="116" t="s">
        <v>49</v>
      </c>
      <c r="C89" s="122" t="s">
        <v>149</v>
      </c>
      <c r="D89" s="120" t="s">
        <v>151</v>
      </c>
      <c r="E89" s="98"/>
      <c r="F89" s="99" t="e">
        <f>VLOOKUP(D89,#REF!,19,FALSE)</f>
        <v>#REF!</v>
      </c>
      <c r="G89" s="100"/>
      <c r="H89" s="100"/>
      <c r="I89" s="101"/>
      <c r="J89" s="102" t="e">
        <f t="shared" si="19"/>
        <v>#REF!</v>
      </c>
      <c r="K89" s="103"/>
      <c r="L89" s="104"/>
      <c r="M89" s="105"/>
      <c r="N89" s="103">
        <v>0</v>
      </c>
      <c r="O89" s="106"/>
      <c r="P89" s="103">
        <v>0</v>
      </c>
      <c r="Q89" s="107">
        <f t="shared" si="1"/>
        <v>0</v>
      </c>
      <c r="R89" s="107"/>
      <c r="S89" s="107"/>
      <c r="T89" s="108">
        <v>0</v>
      </c>
      <c r="U89" s="119"/>
      <c r="V89" s="110">
        <f t="shared" si="18"/>
        <v>0</v>
      </c>
      <c r="W89" s="103"/>
      <c r="X89" s="112">
        <f t="shared" si="23"/>
        <v>0</v>
      </c>
      <c r="Y89" s="112">
        <f t="shared" si="24"/>
        <v>0</v>
      </c>
      <c r="Z89" s="113">
        <f t="shared" si="25"/>
        <v>0</v>
      </c>
      <c r="AA89" s="113">
        <v>0</v>
      </c>
      <c r="AB89" s="114">
        <v>0</v>
      </c>
      <c r="AC89" s="11">
        <f t="shared" si="26"/>
        <v>0</v>
      </c>
      <c r="AD89" s="115" t="e">
        <f t="shared" si="20"/>
        <v>#REF!</v>
      </c>
      <c r="AE89" s="115">
        <f t="shared" si="21"/>
        <v>0</v>
      </c>
      <c r="AF89" s="115">
        <f t="shared" si="22"/>
        <v>0</v>
      </c>
      <c r="AG89" s="11"/>
      <c r="AH89" s="115">
        <f t="shared" si="27"/>
        <v>0</v>
      </c>
      <c r="AI89" s="115">
        <f t="shared" si="28"/>
        <v>0</v>
      </c>
      <c r="AJ89" s="115">
        <f t="shared" si="29"/>
        <v>0</v>
      </c>
      <c r="AL89" s="11" t="e">
        <f t="shared" si="30"/>
        <v>#REF!</v>
      </c>
    </row>
    <row r="90" spans="1:38">
      <c r="A90" s="116"/>
      <c r="B90" s="116" t="s">
        <v>49</v>
      </c>
      <c r="C90" s="122" t="s">
        <v>149</v>
      </c>
      <c r="D90" s="120" t="s">
        <v>152</v>
      </c>
      <c r="E90" s="98"/>
      <c r="F90" s="99" t="e">
        <f>VLOOKUP(D90,#REF!,19,FALSE)</f>
        <v>#REF!</v>
      </c>
      <c r="G90" s="100"/>
      <c r="H90" s="100"/>
      <c r="I90" s="101"/>
      <c r="J90" s="102" t="e">
        <f t="shared" si="19"/>
        <v>#REF!</v>
      </c>
      <c r="K90" s="103"/>
      <c r="L90" s="104"/>
      <c r="M90" s="105"/>
      <c r="N90" s="103">
        <v>0</v>
      </c>
      <c r="O90" s="106"/>
      <c r="P90" s="103">
        <v>0</v>
      </c>
      <c r="Q90" s="107">
        <f t="shared" si="1"/>
        <v>0</v>
      </c>
      <c r="R90" s="107"/>
      <c r="S90" s="107"/>
      <c r="T90" s="108">
        <v>0</v>
      </c>
      <c r="U90" s="119"/>
      <c r="V90" s="110">
        <f t="shared" si="18"/>
        <v>0</v>
      </c>
      <c r="W90" s="103"/>
      <c r="X90" s="112">
        <f t="shared" si="23"/>
        <v>0</v>
      </c>
      <c r="Y90" s="112">
        <f t="shared" si="24"/>
        <v>0</v>
      </c>
      <c r="Z90" s="113">
        <f t="shared" si="25"/>
        <v>0</v>
      </c>
      <c r="AA90" s="113">
        <v>0</v>
      </c>
      <c r="AB90" s="114">
        <v>0</v>
      </c>
      <c r="AC90" s="11">
        <f t="shared" si="26"/>
        <v>0</v>
      </c>
      <c r="AD90" s="115" t="e">
        <f t="shared" si="20"/>
        <v>#REF!</v>
      </c>
      <c r="AE90" s="115">
        <f t="shared" si="21"/>
        <v>0</v>
      </c>
      <c r="AF90" s="115">
        <f t="shared" si="22"/>
        <v>0</v>
      </c>
      <c r="AG90" s="11"/>
      <c r="AH90" s="115">
        <f t="shared" si="27"/>
        <v>0</v>
      </c>
      <c r="AI90" s="115">
        <f t="shared" si="28"/>
        <v>0</v>
      </c>
      <c r="AJ90" s="115">
        <f t="shared" si="29"/>
        <v>0</v>
      </c>
      <c r="AL90" s="11" t="e">
        <f t="shared" si="30"/>
        <v>#REF!</v>
      </c>
    </row>
    <row r="91" spans="1:38">
      <c r="A91" s="116" t="s">
        <v>154</v>
      </c>
      <c r="B91" s="116" t="s">
        <v>81</v>
      </c>
      <c r="C91" s="122"/>
      <c r="D91" s="120" t="s">
        <v>155</v>
      </c>
      <c r="E91" s="98"/>
      <c r="F91" s="99" t="e">
        <f>VLOOKUP(D91,#REF!,19,FALSE)</f>
        <v>#REF!</v>
      </c>
      <c r="G91" s="100"/>
      <c r="H91" s="100"/>
      <c r="I91" s="101"/>
      <c r="J91" s="102" t="e">
        <f t="shared" si="19"/>
        <v>#REF!</v>
      </c>
      <c r="K91" s="103"/>
      <c r="L91" s="104"/>
      <c r="M91" s="105">
        <v>15000</v>
      </c>
      <c r="N91" s="103">
        <v>0</v>
      </c>
      <c r="O91" s="106"/>
      <c r="P91" s="103">
        <v>0</v>
      </c>
      <c r="Q91" s="107">
        <f t="shared" si="1"/>
        <v>15000</v>
      </c>
      <c r="R91" s="107"/>
      <c r="S91" s="107"/>
      <c r="T91" s="108">
        <v>12353.02</v>
      </c>
      <c r="U91" s="119"/>
      <c r="V91" s="110">
        <f t="shared" si="18"/>
        <v>-2646.9799999999996</v>
      </c>
      <c r="W91" s="103"/>
      <c r="X91" s="112">
        <f t="shared" si="23"/>
        <v>0</v>
      </c>
      <c r="Y91" s="112">
        <f t="shared" si="24"/>
        <v>0</v>
      </c>
      <c r="Z91" s="113">
        <f t="shared" si="25"/>
        <v>15000</v>
      </c>
      <c r="AA91" s="113">
        <v>0</v>
      </c>
      <c r="AB91" s="114">
        <v>0</v>
      </c>
      <c r="AC91" s="11">
        <f t="shared" si="26"/>
        <v>0</v>
      </c>
      <c r="AD91" s="115">
        <f t="shared" si="20"/>
        <v>0</v>
      </c>
      <c r="AE91" s="115">
        <f t="shared" si="21"/>
        <v>0</v>
      </c>
      <c r="AF91" s="115" t="e">
        <f t="shared" si="22"/>
        <v>#REF!</v>
      </c>
      <c r="AG91" s="11"/>
      <c r="AH91" s="115">
        <f t="shared" si="27"/>
        <v>0</v>
      </c>
      <c r="AI91" s="115">
        <f t="shared" si="28"/>
        <v>0</v>
      </c>
      <c r="AJ91" s="115">
        <f t="shared" si="29"/>
        <v>15000</v>
      </c>
      <c r="AL91" s="11" t="e">
        <f t="shared" si="30"/>
        <v>#REF!</v>
      </c>
    </row>
    <row r="92" spans="1:38" hidden="1">
      <c r="A92" s="116" t="s">
        <v>154</v>
      </c>
      <c r="B92" s="116" t="s">
        <v>81</v>
      </c>
      <c r="C92" s="122"/>
      <c r="D92" s="120" t="s">
        <v>156</v>
      </c>
      <c r="E92" s="98"/>
      <c r="F92" s="99" t="e">
        <f>VLOOKUP(D92,#REF!,19,FALSE)</f>
        <v>#REF!</v>
      </c>
      <c r="G92" s="100"/>
      <c r="H92" s="100"/>
      <c r="I92" s="101"/>
      <c r="J92" s="102" t="e">
        <f t="shared" si="19"/>
        <v>#REF!</v>
      </c>
      <c r="K92" s="103"/>
      <c r="L92" s="104"/>
      <c r="M92" s="105"/>
      <c r="N92" s="103"/>
      <c r="O92" s="106"/>
      <c r="P92" s="103"/>
      <c r="Q92" s="107">
        <f t="shared" si="1"/>
        <v>0</v>
      </c>
      <c r="R92" s="107"/>
      <c r="S92" s="107"/>
      <c r="T92" s="108">
        <v>0</v>
      </c>
      <c r="U92" s="119"/>
      <c r="V92" s="110">
        <f t="shared" si="18"/>
        <v>0</v>
      </c>
      <c r="W92" s="103"/>
      <c r="X92" s="112">
        <f t="shared" si="23"/>
        <v>0</v>
      </c>
      <c r="Y92" s="112">
        <f t="shared" si="24"/>
        <v>0</v>
      </c>
      <c r="Z92" s="113">
        <f t="shared" si="25"/>
        <v>0</v>
      </c>
      <c r="AA92" s="113">
        <v>0</v>
      </c>
      <c r="AB92" s="114">
        <v>0</v>
      </c>
      <c r="AC92" s="11">
        <f t="shared" si="26"/>
        <v>0</v>
      </c>
      <c r="AD92" s="115">
        <f t="shared" si="20"/>
        <v>0</v>
      </c>
      <c r="AE92" s="115">
        <f t="shared" si="21"/>
        <v>0</v>
      </c>
      <c r="AF92" s="115" t="e">
        <f t="shared" si="22"/>
        <v>#REF!</v>
      </c>
      <c r="AG92" s="11"/>
      <c r="AH92" s="115">
        <f t="shared" si="27"/>
        <v>0</v>
      </c>
      <c r="AI92" s="115">
        <f t="shared" si="28"/>
        <v>0</v>
      </c>
      <c r="AJ92" s="115">
        <f t="shared" si="29"/>
        <v>0</v>
      </c>
      <c r="AL92" s="11" t="e">
        <f t="shared" si="30"/>
        <v>#REF!</v>
      </c>
    </row>
    <row r="93" spans="1:38" hidden="1">
      <c r="A93" s="116" t="s">
        <v>46</v>
      </c>
      <c r="B93" s="116" t="s">
        <v>46</v>
      </c>
      <c r="C93" s="122" t="s">
        <v>157</v>
      </c>
      <c r="D93" s="120" t="s">
        <v>158</v>
      </c>
      <c r="E93" s="98"/>
      <c r="F93" s="99" t="e">
        <f>VLOOKUP(D93,#REF!,19,FALSE)</f>
        <v>#REF!</v>
      </c>
      <c r="G93" s="100"/>
      <c r="H93" s="100"/>
      <c r="I93" s="101"/>
      <c r="J93" s="102" t="e">
        <f t="shared" si="19"/>
        <v>#REF!</v>
      </c>
      <c r="K93" s="103"/>
      <c r="L93" s="104"/>
      <c r="M93" s="105"/>
      <c r="N93" s="103">
        <v>0</v>
      </c>
      <c r="O93" s="106"/>
      <c r="P93" s="103">
        <v>0</v>
      </c>
      <c r="Q93" s="107">
        <f t="shared" si="1"/>
        <v>0</v>
      </c>
      <c r="R93" s="107"/>
      <c r="S93" s="107"/>
      <c r="T93" s="108">
        <v>0</v>
      </c>
      <c r="U93" s="119"/>
      <c r="V93" s="110">
        <f t="shared" si="18"/>
        <v>0</v>
      </c>
      <c r="W93" s="103"/>
      <c r="X93" s="112">
        <f t="shared" si="23"/>
        <v>0</v>
      </c>
      <c r="Y93" s="112">
        <f t="shared" si="24"/>
        <v>0</v>
      </c>
      <c r="Z93" s="113">
        <f t="shared" si="25"/>
        <v>0</v>
      </c>
      <c r="AA93" s="113">
        <v>0</v>
      </c>
      <c r="AB93" s="114">
        <v>0</v>
      </c>
      <c r="AC93" s="11">
        <f t="shared" si="26"/>
        <v>0</v>
      </c>
      <c r="AD93" s="115">
        <f t="shared" si="20"/>
        <v>0</v>
      </c>
      <c r="AE93" s="115" t="e">
        <f t="shared" si="21"/>
        <v>#REF!</v>
      </c>
      <c r="AF93" s="115">
        <f t="shared" si="22"/>
        <v>0</v>
      </c>
      <c r="AG93" s="11"/>
      <c r="AH93" s="115">
        <f t="shared" si="27"/>
        <v>0</v>
      </c>
      <c r="AI93" s="115">
        <f t="shared" si="28"/>
        <v>0</v>
      </c>
      <c r="AJ93" s="115">
        <f t="shared" si="29"/>
        <v>0</v>
      </c>
      <c r="AL93" s="11" t="e">
        <f t="shared" si="30"/>
        <v>#REF!</v>
      </c>
    </row>
    <row r="94" spans="1:38" hidden="1">
      <c r="A94" s="129" t="s">
        <v>60</v>
      </c>
      <c r="B94" s="129" t="s">
        <v>46</v>
      </c>
      <c r="C94" s="96" t="s">
        <v>159</v>
      </c>
      <c r="D94" s="120" t="s">
        <v>160</v>
      </c>
      <c r="E94" s="98"/>
      <c r="F94" s="99" t="e">
        <f>VLOOKUP(D94,#REF!,19,FALSE)</f>
        <v>#REF!</v>
      </c>
      <c r="G94" s="100"/>
      <c r="H94" s="100"/>
      <c r="I94" s="101"/>
      <c r="J94" s="102" t="e">
        <f t="shared" si="19"/>
        <v>#REF!</v>
      </c>
      <c r="K94" s="103"/>
      <c r="L94" s="104"/>
      <c r="M94" s="105"/>
      <c r="N94" s="103">
        <v>0</v>
      </c>
      <c r="O94" s="106"/>
      <c r="P94" s="103">
        <v>0</v>
      </c>
      <c r="Q94" s="107">
        <f t="shared" si="1"/>
        <v>0</v>
      </c>
      <c r="R94" s="107"/>
      <c r="S94" s="107"/>
      <c r="T94" s="108">
        <v>0</v>
      </c>
      <c r="U94" s="119"/>
      <c r="V94" s="110">
        <f t="shared" si="18"/>
        <v>0</v>
      </c>
      <c r="W94" s="103"/>
      <c r="X94" s="112">
        <f t="shared" si="23"/>
        <v>0</v>
      </c>
      <c r="Y94" s="112">
        <f t="shared" si="24"/>
        <v>0</v>
      </c>
      <c r="Z94" s="113">
        <f t="shared" si="25"/>
        <v>0</v>
      </c>
      <c r="AA94" s="113">
        <v>0</v>
      </c>
      <c r="AB94" s="114">
        <v>0</v>
      </c>
      <c r="AC94" s="11">
        <f t="shared" si="26"/>
        <v>0</v>
      </c>
      <c r="AD94" s="115">
        <f t="shared" si="20"/>
        <v>0</v>
      </c>
      <c r="AE94" s="115" t="e">
        <f t="shared" si="21"/>
        <v>#REF!</v>
      </c>
      <c r="AF94" s="115">
        <f t="shared" si="22"/>
        <v>0</v>
      </c>
      <c r="AG94" s="11"/>
      <c r="AH94" s="115">
        <f t="shared" si="27"/>
        <v>0</v>
      </c>
      <c r="AI94" s="115">
        <f t="shared" si="28"/>
        <v>0</v>
      </c>
      <c r="AJ94" s="115">
        <f t="shared" si="29"/>
        <v>0</v>
      </c>
      <c r="AL94" s="11" t="e">
        <f t="shared" si="30"/>
        <v>#REF!</v>
      </c>
    </row>
    <row r="95" spans="1:38" hidden="1">
      <c r="A95" s="129" t="s">
        <v>60</v>
      </c>
      <c r="B95" s="129" t="s">
        <v>49</v>
      </c>
      <c r="C95" s="96"/>
      <c r="D95" s="120" t="s">
        <v>161</v>
      </c>
      <c r="E95" s="98"/>
      <c r="F95" s="99" t="e">
        <f>VLOOKUP(D95,#REF!,19,FALSE)</f>
        <v>#REF!</v>
      </c>
      <c r="G95" s="100"/>
      <c r="H95" s="100"/>
      <c r="I95" s="101"/>
      <c r="J95" s="102" t="e">
        <f t="shared" si="19"/>
        <v>#REF!</v>
      </c>
      <c r="K95" s="103"/>
      <c r="L95" s="104"/>
      <c r="M95" s="105"/>
      <c r="N95" s="103">
        <v>0</v>
      </c>
      <c r="O95" s="106"/>
      <c r="P95" s="103">
        <v>0</v>
      </c>
      <c r="Q95" s="107">
        <f t="shared" si="1"/>
        <v>0</v>
      </c>
      <c r="R95" s="107"/>
      <c r="S95" s="107"/>
      <c r="T95" s="108">
        <v>0</v>
      </c>
      <c r="U95" s="119"/>
      <c r="V95" s="110">
        <f t="shared" si="18"/>
        <v>0</v>
      </c>
      <c r="W95" s="103"/>
      <c r="X95" s="112">
        <f t="shared" si="23"/>
        <v>0</v>
      </c>
      <c r="Y95" s="112">
        <f t="shared" si="24"/>
        <v>0</v>
      </c>
      <c r="Z95" s="113">
        <f t="shared" si="25"/>
        <v>0</v>
      </c>
      <c r="AA95" s="113">
        <v>0</v>
      </c>
      <c r="AB95" s="114">
        <v>0</v>
      </c>
      <c r="AC95" s="11">
        <f t="shared" si="26"/>
        <v>0</v>
      </c>
      <c r="AD95" s="115" t="e">
        <f t="shared" si="20"/>
        <v>#REF!</v>
      </c>
      <c r="AE95" s="115">
        <f t="shared" si="21"/>
        <v>0</v>
      </c>
      <c r="AF95" s="115">
        <f t="shared" si="22"/>
        <v>0</v>
      </c>
      <c r="AG95" s="11"/>
      <c r="AH95" s="115">
        <f t="shared" si="27"/>
        <v>0</v>
      </c>
      <c r="AI95" s="115">
        <f t="shared" si="28"/>
        <v>0</v>
      </c>
      <c r="AJ95" s="115">
        <f t="shared" si="29"/>
        <v>0</v>
      </c>
      <c r="AL95" s="11" t="e">
        <f t="shared" si="30"/>
        <v>#REF!</v>
      </c>
    </row>
    <row r="96" spans="1:38">
      <c r="A96" s="116" t="s">
        <v>60</v>
      </c>
      <c r="B96" s="116" t="s">
        <v>46</v>
      </c>
      <c r="C96" s="122" t="s">
        <v>162</v>
      </c>
      <c r="D96" s="120" t="s">
        <v>163</v>
      </c>
      <c r="E96" s="98"/>
      <c r="F96" s="99" t="e">
        <f>VLOOKUP(D96,#REF!,19,FALSE)</f>
        <v>#REF!</v>
      </c>
      <c r="G96" s="100"/>
      <c r="H96" s="100"/>
      <c r="I96" s="101"/>
      <c r="J96" s="102" t="e">
        <f t="shared" si="19"/>
        <v>#REF!</v>
      </c>
      <c r="K96" s="103"/>
      <c r="L96" s="104"/>
      <c r="M96" s="105"/>
      <c r="N96" s="103">
        <v>0</v>
      </c>
      <c r="O96" s="106"/>
      <c r="P96" s="103">
        <v>0</v>
      </c>
      <c r="Q96" s="107">
        <f t="shared" si="1"/>
        <v>0</v>
      </c>
      <c r="R96" s="107"/>
      <c r="S96" s="107"/>
      <c r="T96" s="108">
        <v>0</v>
      </c>
      <c r="U96" s="119"/>
      <c r="V96" s="110">
        <f t="shared" si="18"/>
        <v>0</v>
      </c>
      <c r="W96" s="103"/>
      <c r="X96" s="112">
        <f t="shared" si="23"/>
        <v>0</v>
      </c>
      <c r="Y96" s="112">
        <f t="shared" si="24"/>
        <v>0</v>
      </c>
      <c r="Z96" s="113">
        <f t="shared" si="25"/>
        <v>0</v>
      </c>
      <c r="AA96" s="113">
        <v>0</v>
      </c>
      <c r="AB96" s="114">
        <v>0</v>
      </c>
      <c r="AC96" s="11">
        <f t="shared" si="26"/>
        <v>0</v>
      </c>
      <c r="AD96" s="115">
        <f t="shared" si="20"/>
        <v>0</v>
      </c>
      <c r="AE96" s="115" t="e">
        <f t="shared" si="21"/>
        <v>#REF!</v>
      </c>
      <c r="AF96" s="115">
        <f t="shared" si="22"/>
        <v>0</v>
      </c>
      <c r="AG96" s="11"/>
      <c r="AH96" s="115">
        <f t="shared" si="27"/>
        <v>0</v>
      </c>
      <c r="AI96" s="115">
        <f t="shared" si="28"/>
        <v>0</v>
      </c>
      <c r="AJ96" s="115">
        <f t="shared" si="29"/>
        <v>0</v>
      </c>
      <c r="AL96" s="11" t="e">
        <f t="shared" si="30"/>
        <v>#REF!</v>
      </c>
    </row>
    <row r="97" spans="1:38">
      <c r="A97" s="116" t="s">
        <v>60</v>
      </c>
      <c r="B97" s="116" t="s">
        <v>46</v>
      </c>
      <c r="C97" s="122" t="s">
        <v>162</v>
      </c>
      <c r="D97" s="120" t="s">
        <v>164</v>
      </c>
      <c r="E97" s="98"/>
      <c r="F97" s="99" t="e">
        <f>VLOOKUP(D97,#REF!,19,FALSE)</f>
        <v>#REF!</v>
      </c>
      <c r="G97" s="100"/>
      <c r="H97" s="100"/>
      <c r="I97" s="101"/>
      <c r="J97" s="102" t="e">
        <f t="shared" si="19"/>
        <v>#REF!</v>
      </c>
      <c r="K97" s="103"/>
      <c r="L97" s="104"/>
      <c r="M97" s="105"/>
      <c r="N97" s="103">
        <v>0</v>
      </c>
      <c r="O97" s="106"/>
      <c r="P97" s="103">
        <v>0</v>
      </c>
      <c r="Q97" s="107">
        <f t="shared" si="1"/>
        <v>0</v>
      </c>
      <c r="R97" s="107"/>
      <c r="S97" s="107"/>
      <c r="T97" s="108">
        <v>0</v>
      </c>
      <c r="U97" s="119"/>
      <c r="V97" s="110">
        <f t="shared" si="18"/>
        <v>0</v>
      </c>
      <c r="W97" s="103"/>
      <c r="X97" s="112">
        <f t="shared" si="23"/>
        <v>0</v>
      </c>
      <c r="Y97" s="112">
        <f t="shared" si="24"/>
        <v>0</v>
      </c>
      <c r="Z97" s="113">
        <f t="shared" si="25"/>
        <v>0</v>
      </c>
      <c r="AA97" s="113">
        <v>0</v>
      </c>
      <c r="AB97" s="114">
        <v>0</v>
      </c>
      <c r="AC97" s="11">
        <f t="shared" si="26"/>
        <v>0</v>
      </c>
      <c r="AD97" s="115">
        <f t="shared" si="20"/>
        <v>0</v>
      </c>
      <c r="AE97" s="115" t="e">
        <f t="shared" si="21"/>
        <v>#REF!</v>
      </c>
      <c r="AF97" s="115">
        <f t="shared" si="22"/>
        <v>0</v>
      </c>
      <c r="AG97" s="11"/>
      <c r="AH97" s="115">
        <f t="shared" si="27"/>
        <v>0</v>
      </c>
      <c r="AI97" s="115">
        <f t="shared" si="28"/>
        <v>0</v>
      </c>
      <c r="AJ97" s="115">
        <f t="shared" si="29"/>
        <v>0</v>
      </c>
      <c r="AL97" s="11" t="e">
        <f t="shared" si="30"/>
        <v>#REF!</v>
      </c>
    </row>
    <row r="98" spans="1:38">
      <c r="A98" s="116" t="s">
        <v>46</v>
      </c>
      <c r="B98" s="116" t="s">
        <v>46</v>
      </c>
      <c r="C98" s="122"/>
      <c r="D98" s="120" t="s">
        <v>165</v>
      </c>
      <c r="E98" s="98"/>
      <c r="F98" s="99" t="e">
        <f>VLOOKUP(D98,#REF!,19,FALSE)</f>
        <v>#REF!</v>
      </c>
      <c r="G98" s="100"/>
      <c r="H98" s="100"/>
      <c r="I98" s="101"/>
      <c r="J98" s="102" t="e">
        <f t="shared" si="19"/>
        <v>#REF!</v>
      </c>
      <c r="K98" s="103"/>
      <c r="L98" s="104"/>
      <c r="M98" s="105"/>
      <c r="N98" s="103">
        <v>0</v>
      </c>
      <c r="O98" s="106"/>
      <c r="P98" s="103">
        <v>0</v>
      </c>
      <c r="Q98" s="107">
        <f t="shared" si="1"/>
        <v>0</v>
      </c>
      <c r="R98" s="107"/>
      <c r="S98" s="107"/>
      <c r="T98" s="108">
        <v>0</v>
      </c>
      <c r="U98" s="119"/>
      <c r="V98" s="110">
        <f t="shared" si="18"/>
        <v>0</v>
      </c>
      <c r="W98" s="103"/>
      <c r="X98" s="112">
        <f t="shared" si="23"/>
        <v>0</v>
      </c>
      <c r="Y98" s="112">
        <f t="shared" si="24"/>
        <v>0</v>
      </c>
      <c r="Z98" s="113">
        <f t="shared" si="25"/>
        <v>0</v>
      </c>
      <c r="AA98" s="113">
        <v>0</v>
      </c>
      <c r="AB98" s="114">
        <v>0</v>
      </c>
      <c r="AC98" s="11">
        <f t="shared" si="26"/>
        <v>0</v>
      </c>
      <c r="AD98" s="115">
        <f t="shared" si="20"/>
        <v>0</v>
      </c>
      <c r="AE98" s="115" t="e">
        <f t="shared" si="21"/>
        <v>#REF!</v>
      </c>
      <c r="AF98" s="115">
        <f t="shared" si="22"/>
        <v>0</v>
      </c>
      <c r="AG98" s="11"/>
      <c r="AH98" s="115">
        <f t="shared" si="27"/>
        <v>0</v>
      </c>
      <c r="AI98" s="115">
        <f t="shared" si="28"/>
        <v>0</v>
      </c>
      <c r="AJ98" s="115">
        <f t="shared" si="29"/>
        <v>0</v>
      </c>
      <c r="AL98" s="11" t="e">
        <f t="shared" ref="AL98" si="31">SUM(AD98:AJ98)</f>
        <v>#REF!</v>
      </c>
    </row>
    <row r="99" spans="1:38">
      <c r="A99" s="116" t="s">
        <v>46</v>
      </c>
      <c r="B99" s="116" t="s">
        <v>46</v>
      </c>
      <c r="C99" s="122"/>
      <c r="D99" s="120" t="s">
        <v>166</v>
      </c>
      <c r="E99" s="98"/>
      <c r="F99" s="99" t="e">
        <f>VLOOKUP(D99,#REF!,19,FALSE)</f>
        <v>#REF!</v>
      </c>
      <c r="G99" s="100"/>
      <c r="H99" s="100"/>
      <c r="I99" s="101"/>
      <c r="J99" s="102" t="e">
        <f t="shared" si="19"/>
        <v>#REF!</v>
      </c>
      <c r="K99" s="103"/>
      <c r="L99" s="104"/>
      <c r="M99" s="105"/>
      <c r="N99" s="103">
        <v>0</v>
      </c>
      <c r="O99" s="106"/>
      <c r="P99" s="103">
        <v>0</v>
      </c>
      <c r="Q99" s="107">
        <f t="shared" si="1"/>
        <v>0</v>
      </c>
      <c r="R99" s="107"/>
      <c r="S99" s="107"/>
      <c r="T99" s="108">
        <v>0</v>
      </c>
      <c r="U99" s="119"/>
      <c r="V99" s="110">
        <f t="shared" si="18"/>
        <v>0</v>
      </c>
      <c r="W99" s="103"/>
      <c r="X99" s="112">
        <f t="shared" si="23"/>
        <v>0</v>
      </c>
      <c r="Y99" s="112">
        <f t="shared" si="24"/>
        <v>0</v>
      </c>
      <c r="Z99" s="113">
        <f t="shared" si="25"/>
        <v>0</v>
      </c>
      <c r="AA99" s="113">
        <v>0</v>
      </c>
      <c r="AB99" s="114">
        <v>0</v>
      </c>
      <c r="AC99" s="11">
        <f t="shared" si="26"/>
        <v>0</v>
      </c>
      <c r="AD99" s="115">
        <f t="shared" si="20"/>
        <v>0</v>
      </c>
      <c r="AE99" s="115" t="e">
        <f t="shared" si="21"/>
        <v>#REF!</v>
      </c>
      <c r="AF99" s="115">
        <f t="shared" si="22"/>
        <v>0</v>
      </c>
      <c r="AG99" s="11"/>
      <c r="AH99" s="115">
        <f t="shared" si="27"/>
        <v>0</v>
      </c>
      <c r="AI99" s="115">
        <f t="shared" si="28"/>
        <v>0</v>
      </c>
      <c r="AJ99" s="115">
        <f t="shared" si="29"/>
        <v>0</v>
      </c>
      <c r="AL99" s="11" t="e">
        <f t="shared" si="30"/>
        <v>#REF!</v>
      </c>
    </row>
    <row r="100" spans="1:38">
      <c r="A100" s="129"/>
      <c r="B100" s="129" t="s">
        <v>49</v>
      </c>
      <c r="C100" s="96"/>
      <c r="D100" s="120" t="s">
        <v>167</v>
      </c>
      <c r="E100" s="98"/>
      <c r="F100" s="99" t="e">
        <f>VLOOKUP(D100,#REF!,19,FALSE)</f>
        <v>#REF!</v>
      </c>
      <c r="G100" s="100"/>
      <c r="H100" s="100"/>
      <c r="I100" s="101"/>
      <c r="J100" s="102" t="e">
        <f t="shared" si="19"/>
        <v>#REF!</v>
      </c>
      <c r="K100" s="103"/>
      <c r="L100" s="104"/>
      <c r="M100" s="105"/>
      <c r="N100" s="103">
        <v>0</v>
      </c>
      <c r="O100" s="106"/>
      <c r="P100" s="103">
        <v>0</v>
      </c>
      <c r="Q100" s="107">
        <f t="shared" si="1"/>
        <v>0</v>
      </c>
      <c r="R100" s="107"/>
      <c r="S100" s="107"/>
      <c r="T100" s="108">
        <v>0</v>
      </c>
      <c r="U100" s="119"/>
      <c r="V100" s="110">
        <f t="shared" si="18"/>
        <v>0</v>
      </c>
      <c r="W100" s="103"/>
      <c r="X100" s="112">
        <f t="shared" si="23"/>
        <v>0</v>
      </c>
      <c r="Y100" s="112">
        <f t="shared" si="24"/>
        <v>0</v>
      </c>
      <c r="Z100" s="113">
        <f t="shared" si="25"/>
        <v>0</v>
      </c>
      <c r="AA100" s="113">
        <v>0</v>
      </c>
      <c r="AB100" s="114">
        <v>0</v>
      </c>
      <c r="AC100" s="11">
        <f t="shared" si="26"/>
        <v>0</v>
      </c>
      <c r="AD100" s="115" t="e">
        <f t="shared" si="20"/>
        <v>#REF!</v>
      </c>
      <c r="AE100" s="115">
        <f t="shared" si="21"/>
        <v>0</v>
      </c>
      <c r="AF100" s="115">
        <f t="shared" si="22"/>
        <v>0</v>
      </c>
      <c r="AG100" s="11"/>
      <c r="AH100" s="115">
        <f t="shared" si="27"/>
        <v>0</v>
      </c>
      <c r="AI100" s="115">
        <f t="shared" si="28"/>
        <v>0</v>
      </c>
      <c r="AJ100" s="115">
        <f t="shared" si="29"/>
        <v>0</v>
      </c>
      <c r="AL100" s="11" t="e">
        <f t="shared" si="30"/>
        <v>#REF!</v>
      </c>
    </row>
    <row r="101" spans="1:38">
      <c r="A101" s="129"/>
      <c r="B101" s="129" t="s">
        <v>49</v>
      </c>
      <c r="C101" s="96" t="s">
        <v>170</v>
      </c>
      <c r="D101" s="120" t="s">
        <v>169</v>
      </c>
      <c r="E101" s="98"/>
      <c r="F101" s="99" t="e">
        <f>VLOOKUP(D101,#REF!,19,FALSE)</f>
        <v>#REF!</v>
      </c>
      <c r="G101" s="100"/>
      <c r="H101" s="100"/>
      <c r="I101" s="101"/>
      <c r="J101" s="102" t="e">
        <f t="shared" si="19"/>
        <v>#REF!</v>
      </c>
      <c r="K101" s="103"/>
      <c r="L101" s="104"/>
      <c r="M101" s="105"/>
      <c r="N101" s="103">
        <v>0</v>
      </c>
      <c r="O101" s="106"/>
      <c r="P101" s="103">
        <v>0</v>
      </c>
      <c r="Q101" s="107">
        <f t="shared" si="1"/>
        <v>0</v>
      </c>
      <c r="R101" s="107"/>
      <c r="S101" s="107"/>
      <c r="T101" s="108">
        <v>0</v>
      </c>
      <c r="U101" s="119"/>
      <c r="V101" s="110">
        <f t="shared" si="18"/>
        <v>0</v>
      </c>
      <c r="W101" s="103"/>
      <c r="X101" s="112">
        <f t="shared" si="23"/>
        <v>0</v>
      </c>
      <c r="Y101" s="112">
        <f t="shared" si="24"/>
        <v>0</v>
      </c>
      <c r="Z101" s="113">
        <f t="shared" si="25"/>
        <v>0</v>
      </c>
      <c r="AA101" s="113">
        <v>0</v>
      </c>
      <c r="AB101" s="114">
        <v>0</v>
      </c>
      <c r="AC101" s="11">
        <f t="shared" si="26"/>
        <v>0</v>
      </c>
      <c r="AD101" s="115" t="e">
        <f t="shared" si="20"/>
        <v>#REF!</v>
      </c>
      <c r="AE101" s="115">
        <f t="shared" si="21"/>
        <v>0</v>
      </c>
      <c r="AF101" s="115">
        <f t="shared" si="22"/>
        <v>0</v>
      </c>
      <c r="AG101" s="11"/>
      <c r="AH101" s="115">
        <f t="shared" si="27"/>
        <v>0</v>
      </c>
      <c r="AI101" s="115">
        <f t="shared" si="28"/>
        <v>0</v>
      </c>
      <c r="AJ101" s="115">
        <f t="shared" si="29"/>
        <v>0</v>
      </c>
      <c r="AL101" s="11" t="e">
        <f t="shared" si="30"/>
        <v>#REF!</v>
      </c>
    </row>
    <row r="102" spans="1:38">
      <c r="A102" s="129"/>
      <c r="B102" s="129" t="s">
        <v>49</v>
      </c>
      <c r="C102" s="96" t="s">
        <v>170</v>
      </c>
      <c r="D102" s="120" t="s">
        <v>171</v>
      </c>
      <c r="E102" s="98"/>
      <c r="F102" s="99" t="e">
        <f>VLOOKUP(D102,#REF!,19,FALSE)</f>
        <v>#REF!</v>
      </c>
      <c r="G102" s="100"/>
      <c r="H102" s="100"/>
      <c r="I102" s="101"/>
      <c r="J102" s="102" t="e">
        <f t="shared" si="19"/>
        <v>#REF!</v>
      </c>
      <c r="K102" s="103"/>
      <c r="L102" s="104"/>
      <c r="M102" s="105"/>
      <c r="N102" s="103">
        <v>0</v>
      </c>
      <c r="O102" s="106"/>
      <c r="P102" s="103">
        <v>0</v>
      </c>
      <c r="Q102" s="107">
        <f t="shared" si="1"/>
        <v>0</v>
      </c>
      <c r="R102" s="107"/>
      <c r="S102" s="107"/>
      <c r="T102" s="108">
        <v>0</v>
      </c>
      <c r="U102" s="119"/>
      <c r="V102" s="110">
        <f t="shared" si="18"/>
        <v>0</v>
      </c>
      <c r="W102" s="103"/>
      <c r="X102" s="112">
        <f t="shared" si="23"/>
        <v>0</v>
      </c>
      <c r="Y102" s="112">
        <f t="shared" si="24"/>
        <v>0</v>
      </c>
      <c r="Z102" s="113">
        <f t="shared" si="25"/>
        <v>0</v>
      </c>
      <c r="AA102" s="113">
        <v>0</v>
      </c>
      <c r="AB102" s="114">
        <v>0</v>
      </c>
      <c r="AC102" s="11">
        <f t="shared" si="26"/>
        <v>0</v>
      </c>
      <c r="AD102" s="115" t="e">
        <f t="shared" si="20"/>
        <v>#REF!</v>
      </c>
      <c r="AE102" s="115">
        <f t="shared" si="21"/>
        <v>0</v>
      </c>
      <c r="AF102" s="115">
        <f t="shared" si="22"/>
        <v>0</v>
      </c>
      <c r="AG102" s="11"/>
      <c r="AH102" s="115">
        <f t="shared" si="27"/>
        <v>0</v>
      </c>
      <c r="AI102" s="115">
        <f t="shared" si="28"/>
        <v>0</v>
      </c>
      <c r="AJ102" s="115">
        <f t="shared" si="29"/>
        <v>0</v>
      </c>
      <c r="AL102" s="11" t="e">
        <f t="shared" si="30"/>
        <v>#REF!</v>
      </c>
    </row>
    <row r="103" spans="1:38">
      <c r="A103" s="116" t="s">
        <v>60</v>
      </c>
      <c r="B103" s="116" t="s">
        <v>49</v>
      </c>
      <c r="C103" s="122"/>
      <c r="D103" s="97" t="s">
        <v>173</v>
      </c>
      <c r="E103" s="98"/>
      <c r="F103" s="99" t="e">
        <f>VLOOKUP(D103,#REF!,19,FALSE)</f>
        <v>#REF!</v>
      </c>
      <c r="G103" s="100"/>
      <c r="H103" s="100"/>
      <c r="I103" s="125">
        <v>903.32</v>
      </c>
      <c r="J103" s="102" t="e">
        <f t="shared" si="19"/>
        <v>#REF!</v>
      </c>
      <c r="K103" s="103"/>
      <c r="L103" s="104"/>
      <c r="M103" s="105"/>
      <c r="N103" s="103">
        <v>0</v>
      </c>
      <c r="O103" s="106"/>
      <c r="P103" s="103">
        <v>0</v>
      </c>
      <c r="Q103" s="107">
        <f t="shared" si="1"/>
        <v>0</v>
      </c>
      <c r="R103" s="107"/>
      <c r="S103" s="107"/>
      <c r="T103" s="108">
        <v>0</v>
      </c>
      <c r="U103" s="119"/>
      <c r="V103" s="110">
        <f t="shared" si="18"/>
        <v>0</v>
      </c>
      <c r="W103" s="103"/>
      <c r="X103" s="112">
        <f t="shared" si="23"/>
        <v>0</v>
      </c>
      <c r="Y103" s="112">
        <f t="shared" si="24"/>
        <v>0</v>
      </c>
      <c r="Z103" s="113">
        <f t="shared" si="25"/>
        <v>0</v>
      </c>
      <c r="AA103" s="113">
        <v>0</v>
      </c>
      <c r="AB103" s="114">
        <v>0</v>
      </c>
      <c r="AC103" s="11">
        <f t="shared" si="26"/>
        <v>0</v>
      </c>
      <c r="AD103" s="115" t="e">
        <f t="shared" si="20"/>
        <v>#REF!</v>
      </c>
      <c r="AE103" s="115">
        <f t="shared" si="21"/>
        <v>0</v>
      </c>
      <c r="AF103" s="115">
        <f t="shared" si="22"/>
        <v>0</v>
      </c>
      <c r="AG103" s="11"/>
      <c r="AH103" s="115">
        <f t="shared" si="27"/>
        <v>0</v>
      </c>
      <c r="AI103" s="115">
        <f t="shared" si="28"/>
        <v>0</v>
      </c>
      <c r="AJ103" s="115">
        <f t="shared" si="29"/>
        <v>0</v>
      </c>
      <c r="AL103" s="11" t="e">
        <f t="shared" si="30"/>
        <v>#REF!</v>
      </c>
    </row>
    <row r="104" spans="1:38">
      <c r="A104" s="116"/>
      <c r="B104" s="116" t="s">
        <v>49</v>
      </c>
      <c r="C104" s="122"/>
      <c r="D104" s="97" t="s">
        <v>174</v>
      </c>
      <c r="E104" s="98"/>
      <c r="F104" s="99" t="e">
        <f>VLOOKUP(D104,#REF!,19,FALSE)</f>
        <v>#REF!</v>
      </c>
      <c r="G104" s="100"/>
      <c r="H104" s="100"/>
      <c r="I104" s="101"/>
      <c r="J104" s="102" t="e">
        <f t="shared" si="19"/>
        <v>#REF!</v>
      </c>
      <c r="K104" s="103"/>
      <c r="L104" s="104"/>
      <c r="M104" s="105"/>
      <c r="N104" s="103">
        <v>0</v>
      </c>
      <c r="O104" s="106"/>
      <c r="P104" s="103">
        <v>0</v>
      </c>
      <c r="Q104" s="107">
        <f t="shared" si="1"/>
        <v>0</v>
      </c>
      <c r="R104" s="107"/>
      <c r="S104" s="107"/>
      <c r="T104" s="108">
        <v>0</v>
      </c>
      <c r="U104" s="119"/>
      <c r="V104" s="110">
        <f t="shared" si="18"/>
        <v>0</v>
      </c>
      <c r="W104" s="103"/>
      <c r="X104" s="112">
        <f t="shared" si="23"/>
        <v>0</v>
      </c>
      <c r="Y104" s="112">
        <f t="shared" si="24"/>
        <v>0</v>
      </c>
      <c r="Z104" s="113">
        <f t="shared" si="25"/>
        <v>0</v>
      </c>
      <c r="AA104" s="113">
        <v>0</v>
      </c>
      <c r="AB104" s="114">
        <v>0</v>
      </c>
      <c r="AC104" s="11">
        <f t="shared" si="26"/>
        <v>0</v>
      </c>
      <c r="AD104" s="115" t="e">
        <f t="shared" si="20"/>
        <v>#REF!</v>
      </c>
      <c r="AE104" s="115">
        <f t="shared" si="21"/>
        <v>0</v>
      </c>
      <c r="AF104" s="115">
        <f t="shared" si="22"/>
        <v>0</v>
      </c>
      <c r="AG104" s="11"/>
      <c r="AH104" s="115">
        <f t="shared" si="27"/>
        <v>0</v>
      </c>
      <c r="AI104" s="115">
        <f t="shared" si="28"/>
        <v>0</v>
      </c>
      <c r="AJ104" s="115">
        <f t="shared" si="29"/>
        <v>0</v>
      </c>
      <c r="AL104" s="11" t="e">
        <f t="shared" si="30"/>
        <v>#REF!</v>
      </c>
    </row>
    <row r="105" spans="1:38" s="124" customFormat="1" ht="12.75" customHeight="1">
      <c r="A105" s="123"/>
      <c r="B105" s="123" t="s">
        <v>49</v>
      </c>
      <c r="C105" s="122"/>
      <c r="D105" s="118" t="s">
        <v>175</v>
      </c>
      <c r="E105" s="98"/>
      <c r="F105" s="99">
        <v>0</v>
      </c>
      <c r="G105" s="100"/>
      <c r="H105" s="100"/>
      <c r="I105" s="125">
        <v>4828175.43</v>
      </c>
      <c r="J105" s="102">
        <f t="shared" si="19"/>
        <v>4828175.43</v>
      </c>
      <c r="K105" s="103"/>
      <c r="L105" s="104"/>
      <c r="M105" s="105"/>
      <c r="N105" s="103">
        <v>0</v>
      </c>
      <c r="O105" s="106"/>
      <c r="P105" s="103">
        <v>0</v>
      </c>
      <c r="Q105" s="107">
        <f t="shared" si="1"/>
        <v>0</v>
      </c>
      <c r="R105" s="107"/>
      <c r="S105" s="107"/>
      <c r="T105" s="108">
        <v>0</v>
      </c>
      <c r="U105" s="119"/>
      <c r="V105" s="110">
        <f t="shared" si="18"/>
        <v>0</v>
      </c>
      <c r="W105" s="103"/>
      <c r="X105" s="112">
        <f t="shared" si="23"/>
        <v>0</v>
      </c>
      <c r="Y105" s="112">
        <f t="shared" si="24"/>
        <v>0</v>
      </c>
      <c r="Z105" s="113">
        <f t="shared" si="25"/>
        <v>0</v>
      </c>
      <c r="AA105" s="113">
        <v>0</v>
      </c>
      <c r="AB105" s="114">
        <v>0</v>
      </c>
      <c r="AC105" s="11">
        <f t="shared" si="26"/>
        <v>0</v>
      </c>
      <c r="AD105" s="115">
        <f t="shared" si="20"/>
        <v>4828175.43</v>
      </c>
      <c r="AE105" s="115">
        <f t="shared" si="21"/>
        <v>0</v>
      </c>
      <c r="AF105" s="115">
        <f t="shared" si="22"/>
        <v>0</v>
      </c>
      <c r="AG105" s="11"/>
      <c r="AH105" s="115">
        <f t="shared" si="27"/>
        <v>0</v>
      </c>
      <c r="AI105" s="115">
        <f t="shared" si="28"/>
        <v>0</v>
      </c>
      <c r="AJ105" s="115">
        <f t="shared" si="29"/>
        <v>0</v>
      </c>
      <c r="AL105" s="11">
        <f t="shared" si="30"/>
        <v>4828175.43</v>
      </c>
    </row>
    <row r="106" spans="1:38" s="124" customFormat="1" ht="12.75" customHeight="1">
      <c r="A106" s="123"/>
      <c r="B106" s="123" t="s">
        <v>49</v>
      </c>
      <c r="C106" s="122"/>
      <c r="D106" s="118" t="s">
        <v>178</v>
      </c>
      <c r="E106" s="98"/>
      <c r="F106" s="99">
        <v>0</v>
      </c>
      <c r="G106" s="100"/>
      <c r="H106" s="100"/>
      <c r="I106" s="125">
        <v>12616.69</v>
      </c>
      <c r="J106" s="102">
        <f t="shared" si="19"/>
        <v>12616.69</v>
      </c>
      <c r="K106" s="103"/>
      <c r="L106" s="104"/>
      <c r="M106" s="105"/>
      <c r="N106" s="103">
        <v>0</v>
      </c>
      <c r="O106" s="106"/>
      <c r="P106" s="103">
        <v>0</v>
      </c>
      <c r="Q106" s="107">
        <f t="shared" si="1"/>
        <v>0</v>
      </c>
      <c r="R106" s="107"/>
      <c r="S106" s="107"/>
      <c r="T106" s="108">
        <v>0</v>
      </c>
      <c r="U106" s="119"/>
      <c r="V106" s="110">
        <f t="shared" si="18"/>
        <v>0</v>
      </c>
      <c r="W106" s="103"/>
      <c r="X106" s="112">
        <f t="shared" si="23"/>
        <v>0</v>
      </c>
      <c r="Y106" s="112">
        <f t="shared" si="24"/>
        <v>0</v>
      </c>
      <c r="Z106" s="113">
        <f t="shared" si="25"/>
        <v>0</v>
      </c>
      <c r="AA106" s="113">
        <v>0</v>
      </c>
      <c r="AB106" s="114">
        <v>0</v>
      </c>
      <c r="AC106" s="11">
        <f t="shared" si="26"/>
        <v>0</v>
      </c>
      <c r="AD106" s="115">
        <f t="shared" si="20"/>
        <v>12616.69</v>
      </c>
      <c r="AE106" s="115">
        <f t="shared" si="21"/>
        <v>0</v>
      </c>
      <c r="AF106" s="115">
        <f t="shared" si="22"/>
        <v>0</v>
      </c>
      <c r="AG106" s="11"/>
      <c r="AH106" s="115">
        <f t="shared" si="27"/>
        <v>0</v>
      </c>
      <c r="AI106" s="115">
        <f t="shared" si="28"/>
        <v>0</v>
      </c>
      <c r="AJ106" s="115">
        <f t="shared" si="29"/>
        <v>0</v>
      </c>
      <c r="AL106" s="11">
        <f t="shared" si="30"/>
        <v>12616.69</v>
      </c>
    </row>
    <row r="107" spans="1:38" s="124" customFormat="1" ht="12.75" customHeight="1">
      <c r="A107" s="123"/>
      <c r="B107" s="123" t="s">
        <v>49</v>
      </c>
      <c r="C107" s="122"/>
      <c r="D107" s="118" t="s">
        <v>176</v>
      </c>
      <c r="E107" s="98"/>
      <c r="F107" s="99">
        <v>0</v>
      </c>
      <c r="G107" s="100"/>
      <c r="H107" s="100"/>
      <c r="I107" s="125">
        <v>3417857.42</v>
      </c>
      <c r="J107" s="102">
        <f t="shared" si="19"/>
        <v>3417857.42</v>
      </c>
      <c r="K107" s="103"/>
      <c r="L107" s="104"/>
      <c r="M107" s="105"/>
      <c r="N107" s="103">
        <v>0</v>
      </c>
      <c r="O107" s="106"/>
      <c r="P107" s="103">
        <v>0</v>
      </c>
      <c r="Q107" s="107">
        <f t="shared" si="1"/>
        <v>0</v>
      </c>
      <c r="R107" s="107"/>
      <c r="S107" s="107"/>
      <c r="T107" s="108">
        <v>0</v>
      </c>
      <c r="U107" s="119"/>
      <c r="V107" s="110">
        <f t="shared" si="18"/>
        <v>0</v>
      </c>
      <c r="W107" s="103"/>
      <c r="X107" s="112">
        <f t="shared" si="23"/>
        <v>0</v>
      </c>
      <c r="Y107" s="112">
        <f t="shared" si="24"/>
        <v>0</v>
      </c>
      <c r="Z107" s="113">
        <f t="shared" si="25"/>
        <v>0</v>
      </c>
      <c r="AA107" s="113">
        <v>0</v>
      </c>
      <c r="AB107" s="114">
        <v>0</v>
      </c>
      <c r="AC107" s="11">
        <f t="shared" si="26"/>
        <v>0</v>
      </c>
      <c r="AD107" s="115">
        <f t="shared" si="20"/>
        <v>3417857.42</v>
      </c>
      <c r="AE107" s="115">
        <f t="shared" si="21"/>
        <v>0</v>
      </c>
      <c r="AF107" s="115">
        <f t="shared" si="22"/>
        <v>0</v>
      </c>
      <c r="AG107" s="11"/>
      <c r="AH107" s="115">
        <f t="shared" si="27"/>
        <v>0</v>
      </c>
      <c r="AI107" s="115">
        <f t="shared" si="28"/>
        <v>0</v>
      </c>
      <c r="AJ107" s="115">
        <f t="shared" si="29"/>
        <v>0</v>
      </c>
      <c r="AL107" s="11">
        <f t="shared" si="30"/>
        <v>3417857.42</v>
      </c>
    </row>
    <row r="108" spans="1:38" s="124" customFormat="1" ht="12.75" customHeight="1">
      <c r="A108" s="123"/>
      <c r="B108" s="123" t="s">
        <v>49</v>
      </c>
      <c r="C108" s="122"/>
      <c r="D108" s="118" t="s">
        <v>177</v>
      </c>
      <c r="E108" s="98"/>
      <c r="F108" s="99">
        <v>0</v>
      </c>
      <c r="G108" s="100"/>
      <c r="H108" s="100"/>
      <c r="I108" s="125">
        <v>170592.29</v>
      </c>
      <c r="J108" s="102">
        <f t="shared" si="19"/>
        <v>170592.29</v>
      </c>
      <c r="K108" s="103"/>
      <c r="L108" s="104"/>
      <c r="M108" s="105"/>
      <c r="N108" s="103">
        <v>0</v>
      </c>
      <c r="O108" s="106"/>
      <c r="P108" s="103">
        <v>0</v>
      </c>
      <c r="Q108" s="107">
        <f t="shared" si="1"/>
        <v>0</v>
      </c>
      <c r="R108" s="107"/>
      <c r="S108" s="107"/>
      <c r="T108" s="108">
        <v>0</v>
      </c>
      <c r="U108" s="119"/>
      <c r="V108" s="110">
        <f t="shared" si="18"/>
        <v>0</v>
      </c>
      <c r="W108" s="103"/>
      <c r="X108" s="112">
        <f t="shared" si="23"/>
        <v>0</v>
      </c>
      <c r="Y108" s="112">
        <f t="shared" si="24"/>
        <v>0</v>
      </c>
      <c r="Z108" s="113">
        <f t="shared" si="25"/>
        <v>0</v>
      </c>
      <c r="AA108" s="113">
        <v>0</v>
      </c>
      <c r="AB108" s="114">
        <v>0</v>
      </c>
      <c r="AC108" s="11">
        <f t="shared" si="26"/>
        <v>0</v>
      </c>
      <c r="AD108" s="115">
        <f t="shared" si="20"/>
        <v>170592.29</v>
      </c>
      <c r="AE108" s="115">
        <f t="shared" si="21"/>
        <v>0</v>
      </c>
      <c r="AF108" s="115">
        <f t="shared" si="22"/>
        <v>0</v>
      </c>
      <c r="AG108" s="11"/>
      <c r="AH108" s="115">
        <f t="shared" si="27"/>
        <v>0</v>
      </c>
      <c r="AI108" s="115">
        <f t="shared" si="28"/>
        <v>0</v>
      </c>
      <c r="AJ108" s="115">
        <f t="shared" si="29"/>
        <v>0</v>
      </c>
      <c r="AL108" s="11">
        <f t="shared" si="30"/>
        <v>170592.29</v>
      </c>
    </row>
    <row r="109" spans="1:38" s="124" customFormat="1" ht="12.75" customHeight="1">
      <c r="A109" s="123"/>
      <c r="B109" s="123" t="s">
        <v>49</v>
      </c>
      <c r="C109" s="122"/>
      <c r="D109" s="118" t="s">
        <v>179</v>
      </c>
      <c r="E109" s="98"/>
      <c r="F109" s="99">
        <v>0</v>
      </c>
      <c r="G109" s="100"/>
      <c r="H109" s="100"/>
      <c r="I109" s="125">
        <v>22441.81</v>
      </c>
      <c r="J109" s="102">
        <f t="shared" si="19"/>
        <v>22441.81</v>
      </c>
      <c r="K109" s="103"/>
      <c r="L109" s="104"/>
      <c r="M109" s="105"/>
      <c r="N109" s="103">
        <v>0</v>
      </c>
      <c r="O109" s="106"/>
      <c r="P109" s="103">
        <v>0</v>
      </c>
      <c r="Q109" s="107">
        <f t="shared" si="1"/>
        <v>0</v>
      </c>
      <c r="R109" s="107"/>
      <c r="S109" s="107"/>
      <c r="T109" s="108">
        <v>0</v>
      </c>
      <c r="U109" s="119"/>
      <c r="V109" s="110">
        <f t="shared" si="18"/>
        <v>0</v>
      </c>
      <c r="W109" s="103"/>
      <c r="X109" s="112">
        <f t="shared" si="23"/>
        <v>0</v>
      </c>
      <c r="Y109" s="112">
        <f t="shared" si="24"/>
        <v>0</v>
      </c>
      <c r="Z109" s="113">
        <f t="shared" si="25"/>
        <v>0</v>
      </c>
      <c r="AA109" s="113">
        <v>0</v>
      </c>
      <c r="AB109" s="114">
        <v>0</v>
      </c>
      <c r="AC109" s="11">
        <f t="shared" si="26"/>
        <v>0</v>
      </c>
      <c r="AD109" s="115">
        <f t="shared" si="20"/>
        <v>22441.81</v>
      </c>
      <c r="AE109" s="115">
        <f t="shared" si="21"/>
        <v>0</v>
      </c>
      <c r="AF109" s="115">
        <f t="shared" si="22"/>
        <v>0</v>
      </c>
      <c r="AG109" s="11"/>
      <c r="AH109" s="115">
        <f t="shared" si="27"/>
        <v>0</v>
      </c>
      <c r="AI109" s="115">
        <f t="shared" si="28"/>
        <v>0</v>
      </c>
      <c r="AJ109" s="115">
        <f t="shared" si="29"/>
        <v>0</v>
      </c>
      <c r="AL109" s="11">
        <f t="shared" si="30"/>
        <v>22441.81</v>
      </c>
    </row>
    <row r="110" spans="1:38" s="124" customFormat="1" ht="12.75" customHeight="1">
      <c r="A110" s="123"/>
      <c r="B110" s="123" t="s">
        <v>49</v>
      </c>
      <c r="C110" s="122"/>
      <c r="D110" s="118" t="s">
        <v>180</v>
      </c>
      <c r="E110" s="98"/>
      <c r="F110" s="99">
        <v>0</v>
      </c>
      <c r="G110" s="100"/>
      <c r="H110" s="100"/>
      <c r="I110" s="125">
        <v>27254.82</v>
      </c>
      <c r="J110" s="102">
        <f t="shared" si="19"/>
        <v>27254.82</v>
      </c>
      <c r="K110" s="103"/>
      <c r="L110" s="104"/>
      <c r="M110" s="105"/>
      <c r="N110" s="103">
        <v>0</v>
      </c>
      <c r="O110" s="106"/>
      <c r="P110" s="103">
        <v>0</v>
      </c>
      <c r="Q110" s="107">
        <f t="shared" si="1"/>
        <v>0</v>
      </c>
      <c r="R110" s="107"/>
      <c r="S110" s="107"/>
      <c r="T110" s="108">
        <v>0</v>
      </c>
      <c r="U110" s="119"/>
      <c r="V110" s="110">
        <f t="shared" si="18"/>
        <v>0</v>
      </c>
      <c r="W110" s="103"/>
      <c r="X110" s="112">
        <f t="shared" si="23"/>
        <v>0</v>
      </c>
      <c r="Y110" s="112">
        <f t="shared" si="24"/>
        <v>0</v>
      </c>
      <c r="Z110" s="113">
        <f t="shared" si="25"/>
        <v>0</v>
      </c>
      <c r="AA110" s="113">
        <v>0</v>
      </c>
      <c r="AB110" s="114">
        <v>0</v>
      </c>
      <c r="AC110" s="11">
        <f t="shared" si="26"/>
        <v>0</v>
      </c>
      <c r="AD110" s="115">
        <f t="shared" si="20"/>
        <v>27254.82</v>
      </c>
      <c r="AE110" s="115">
        <f t="shared" si="21"/>
        <v>0</v>
      </c>
      <c r="AF110" s="115">
        <f t="shared" si="22"/>
        <v>0</v>
      </c>
      <c r="AG110" s="11"/>
      <c r="AH110" s="115">
        <f t="shared" si="27"/>
        <v>0</v>
      </c>
      <c r="AI110" s="115">
        <f t="shared" si="28"/>
        <v>0</v>
      </c>
      <c r="AJ110" s="115">
        <f t="shared" si="29"/>
        <v>0</v>
      </c>
      <c r="AL110" s="11">
        <f t="shared" si="30"/>
        <v>27254.82</v>
      </c>
    </row>
    <row r="111" spans="1:38" s="124" customFormat="1" ht="12" customHeight="1">
      <c r="A111" s="123"/>
      <c r="B111" s="123" t="s">
        <v>49</v>
      </c>
      <c r="C111" s="122"/>
      <c r="D111" s="118" t="s">
        <v>181</v>
      </c>
      <c r="E111" s="98">
        <v>94328.98</v>
      </c>
      <c r="F111" s="99">
        <v>0</v>
      </c>
      <c r="G111" s="100"/>
      <c r="H111" s="100"/>
      <c r="I111" s="125">
        <v>13766.61</v>
      </c>
      <c r="J111" s="102">
        <f t="shared" si="19"/>
        <v>108095.59</v>
      </c>
      <c r="K111" s="103"/>
      <c r="L111" s="104"/>
      <c r="M111" s="105"/>
      <c r="N111" s="103">
        <v>0</v>
      </c>
      <c r="O111" s="106"/>
      <c r="P111" s="103">
        <v>0</v>
      </c>
      <c r="Q111" s="107">
        <f t="shared" si="1"/>
        <v>0</v>
      </c>
      <c r="R111" s="107"/>
      <c r="S111" s="107"/>
      <c r="T111" s="108">
        <v>0</v>
      </c>
      <c r="U111" s="119"/>
      <c r="V111" s="110">
        <f t="shared" si="18"/>
        <v>0</v>
      </c>
      <c r="W111" s="103"/>
      <c r="X111" s="112">
        <f t="shared" si="23"/>
        <v>0</v>
      </c>
      <c r="Y111" s="112">
        <f t="shared" si="24"/>
        <v>0</v>
      </c>
      <c r="Z111" s="113">
        <f t="shared" si="25"/>
        <v>0</v>
      </c>
      <c r="AA111" s="113">
        <v>0</v>
      </c>
      <c r="AB111" s="114">
        <v>0</v>
      </c>
      <c r="AC111" s="11">
        <f t="shared" si="26"/>
        <v>0</v>
      </c>
      <c r="AD111" s="115">
        <f t="shared" si="20"/>
        <v>108095.59</v>
      </c>
      <c r="AE111" s="115">
        <f t="shared" si="21"/>
        <v>0</v>
      </c>
      <c r="AF111" s="115">
        <f t="shared" si="22"/>
        <v>0</v>
      </c>
      <c r="AG111" s="11"/>
      <c r="AH111" s="115">
        <f t="shared" si="27"/>
        <v>0</v>
      </c>
      <c r="AI111" s="115">
        <f t="shared" si="28"/>
        <v>0</v>
      </c>
      <c r="AJ111" s="115">
        <f t="shared" si="29"/>
        <v>0</v>
      </c>
      <c r="AL111" s="11">
        <f t="shared" si="30"/>
        <v>108095.59</v>
      </c>
    </row>
    <row r="112" spans="1:38" s="124" customFormat="1" ht="12" customHeight="1">
      <c r="A112" s="123"/>
      <c r="B112" s="123" t="s">
        <v>49</v>
      </c>
      <c r="C112" s="122"/>
      <c r="D112" s="118" t="s">
        <v>182</v>
      </c>
      <c r="E112" s="98"/>
      <c r="F112" s="99">
        <v>0</v>
      </c>
      <c r="G112" s="100"/>
      <c r="H112" s="100"/>
      <c r="I112" s="125">
        <v>7606.55</v>
      </c>
      <c r="J112" s="102">
        <f t="shared" si="19"/>
        <v>7606.55</v>
      </c>
      <c r="K112" s="103"/>
      <c r="L112" s="104"/>
      <c r="M112" s="105"/>
      <c r="N112" s="103">
        <v>0</v>
      </c>
      <c r="O112" s="106"/>
      <c r="P112" s="103">
        <v>0</v>
      </c>
      <c r="Q112" s="107">
        <f t="shared" si="1"/>
        <v>0</v>
      </c>
      <c r="R112" s="107"/>
      <c r="S112" s="107"/>
      <c r="T112" s="108">
        <v>0</v>
      </c>
      <c r="U112" s="119"/>
      <c r="V112" s="110">
        <f t="shared" si="18"/>
        <v>0</v>
      </c>
      <c r="W112" s="103"/>
      <c r="X112" s="112">
        <f t="shared" si="23"/>
        <v>0</v>
      </c>
      <c r="Y112" s="112">
        <f t="shared" si="24"/>
        <v>0</v>
      </c>
      <c r="Z112" s="113">
        <f t="shared" si="25"/>
        <v>0</v>
      </c>
      <c r="AA112" s="113">
        <v>0</v>
      </c>
      <c r="AB112" s="114">
        <v>0</v>
      </c>
      <c r="AC112" s="11">
        <f t="shared" si="26"/>
        <v>0</v>
      </c>
      <c r="AD112" s="115">
        <f t="shared" si="20"/>
        <v>7606.55</v>
      </c>
      <c r="AE112" s="115">
        <f t="shared" si="21"/>
        <v>0</v>
      </c>
      <c r="AF112" s="115">
        <f t="shared" si="22"/>
        <v>0</v>
      </c>
      <c r="AG112" s="11"/>
      <c r="AH112" s="115">
        <f t="shared" si="27"/>
        <v>0</v>
      </c>
      <c r="AI112" s="115">
        <f t="shared" si="28"/>
        <v>0</v>
      </c>
      <c r="AJ112" s="115">
        <f t="shared" si="29"/>
        <v>0</v>
      </c>
      <c r="AL112" s="11">
        <f t="shared" si="30"/>
        <v>7606.55</v>
      </c>
    </row>
    <row r="113" spans="1:38" s="124" customFormat="1" ht="12" customHeight="1">
      <c r="A113" s="123"/>
      <c r="B113" s="123" t="s">
        <v>49</v>
      </c>
      <c r="C113" s="122"/>
      <c r="D113" s="118" t="s">
        <v>183</v>
      </c>
      <c r="E113" s="98"/>
      <c r="F113" s="99">
        <v>0</v>
      </c>
      <c r="G113" s="100"/>
      <c r="H113" s="100"/>
      <c r="I113" s="101"/>
      <c r="J113" s="102">
        <f t="shared" si="19"/>
        <v>0</v>
      </c>
      <c r="K113" s="103"/>
      <c r="L113" s="104"/>
      <c r="M113" s="105"/>
      <c r="N113" s="103">
        <v>0</v>
      </c>
      <c r="O113" s="106"/>
      <c r="P113" s="103">
        <v>0</v>
      </c>
      <c r="Q113" s="107">
        <f t="shared" si="1"/>
        <v>0</v>
      </c>
      <c r="R113" s="107"/>
      <c r="S113" s="107"/>
      <c r="T113" s="108">
        <v>0</v>
      </c>
      <c r="U113" s="119"/>
      <c r="V113" s="110">
        <f t="shared" si="18"/>
        <v>0</v>
      </c>
      <c r="W113" s="103"/>
      <c r="X113" s="112">
        <f t="shared" si="23"/>
        <v>0</v>
      </c>
      <c r="Y113" s="112">
        <f t="shared" si="24"/>
        <v>0</v>
      </c>
      <c r="Z113" s="113">
        <f t="shared" si="25"/>
        <v>0</v>
      </c>
      <c r="AA113" s="113">
        <v>0</v>
      </c>
      <c r="AB113" s="114">
        <v>0</v>
      </c>
      <c r="AC113" s="11">
        <f t="shared" si="26"/>
        <v>0</v>
      </c>
      <c r="AD113" s="115">
        <f t="shared" si="20"/>
        <v>0</v>
      </c>
      <c r="AE113" s="115">
        <f t="shared" si="21"/>
        <v>0</v>
      </c>
      <c r="AF113" s="115">
        <f t="shared" si="22"/>
        <v>0</v>
      </c>
      <c r="AG113" s="11"/>
      <c r="AH113" s="115">
        <f t="shared" si="27"/>
        <v>0</v>
      </c>
      <c r="AI113" s="115">
        <f t="shared" si="28"/>
        <v>0</v>
      </c>
      <c r="AJ113" s="115">
        <f t="shared" si="29"/>
        <v>0</v>
      </c>
      <c r="AL113" s="11">
        <f t="shared" si="30"/>
        <v>0</v>
      </c>
    </row>
    <row r="114" spans="1:38" s="14" customFormat="1" ht="12" customHeight="1">
      <c r="A114" s="130"/>
      <c r="B114" s="130" t="s">
        <v>49</v>
      </c>
      <c r="C114" s="122"/>
      <c r="D114" s="120" t="s">
        <v>184</v>
      </c>
      <c r="E114" s="98"/>
      <c r="F114" s="99" t="e">
        <f>VLOOKUP(D114,#REF!,19,FALSE)</f>
        <v>#REF!</v>
      </c>
      <c r="G114" s="100"/>
      <c r="H114" s="100"/>
      <c r="I114" s="101"/>
      <c r="J114" s="102" t="e">
        <f t="shared" si="19"/>
        <v>#REF!</v>
      </c>
      <c r="K114" s="103"/>
      <c r="L114" s="104"/>
      <c r="M114" s="105"/>
      <c r="N114" s="133"/>
      <c r="O114" s="136"/>
      <c r="P114" s="133"/>
      <c r="Q114" s="107">
        <f t="shared" si="1"/>
        <v>0</v>
      </c>
      <c r="R114" s="107"/>
      <c r="S114" s="107"/>
      <c r="T114" s="108">
        <v>0</v>
      </c>
      <c r="U114" s="119"/>
      <c r="V114" s="110">
        <f t="shared" si="18"/>
        <v>0</v>
      </c>
      <c r="W114" s="103"/>
      <c r="X114" s="112">
        <f t="shared" si="23"/>
        <v>0</v>
      </c>
      <c r="Y114" s="112">
        <f t="shared" si="24"/>
        <v>0</v>
      </c>
      <c r="Z114" s="113">
        <f t="shared" si="25"/>
        <v>0</v>
      </c>
      <c r="AA114" s="113">
        <v>0</v>
      </c>
      <c r="AB114" s="114">
        <v>0</v>
      </c>
      <c r="AC114" s="11">
        <f t="shared" si="26"/>
        <v>0</v>
      </c>
      <c r="AD114" s="115" t="e">
        <f t="shared" si="20"/>
        <v>#REF!</v>
      </c>
      <c r="AE114" s="115">
        <f t="shared" si="21"/>
        <v>0</v>
      </c>
      <c r="AF114" s="115">
        <f t="shared" si="22"/>
        <v>0</v>
      </c>
      <c r="AG114" s="11"/>
      <c r="AH114" s="115">
        <f t="shared" si="27"/>
        <v>0</v>
      </c>
      <c r="AI114" s="115">
        <f t="shared" si="28"/>
        <v>0</v>
      </c>
      <c r="AJ114" s="115">
        <f t="shared" si="29"/>
        <v>0</v>
      </c>
      <c r="AL114" s="11" t="e">
        <f t="shared" si="30"/>
        <v>#REF!</v>
      </c>
    </row>
    <row r="115" spans="1:38" s="14" customFormat="1" ht="12" customHeight="1">
      <c r="A115" s="130"/>
      <c r="B115" s="130" t="s">
        <v>49</v>
      </c>
      <c r="C115" s="122"/>
      <c r="D115" s="120" t="s">
        <v>185</v>
      </c>
      <c r="E115" s="98">
        <v>5295.95</v>
      </c>
      <c r="F115" s="99" t="e">
        <f>VLOOKUP(D115,#REF!,19,FALSE)</f>
        <v>#REF!</v>
      </c>
      <c r="G115" s="100"/>
      <c r="H115" s="100"/>
      <c r="I115" s="101"/>
      <c r="J115" s="102" t="e">
        <f t="shared" si="19"/>
        <v>#REF!</v>
      </c>
      <c r="K115" s="103"/>
      <c r="L115" s="104"/>
      <c r="M115" s="105">
        <v>5000</v>
      </c>
      <c r="N115" s="133"/>
      <c r="O115" s="136"/>
      <c r="P115" s="133"/>
      <c r="Q115" s="107">
        <f t="shared" si="1"/>
        <v>5000</v>
      </c>
      <c r="R115" s="107"/>
      <c r="S115" s="107"/>
      <c r="T115" s="108">
        <v>0</v>
      </c>
      <c r="U115" s="119"/>
      <c r="V115" s="110">
        <f t="shared" si="18"/>
        <v>-5000</v>
      </c>
      <c r="W115" s="103"/>
      <c r="X115" s="112">
        <f t="shared" si="23"/>
        <v>5000</v>
      </c>
      <c r="Y115" s="112">
        <f t="shared" si="24"/>
        <v>0</v>
      </c>
      <c r="Z115" s="113">
        <f t="shared" si="25"/>
        <v>0</v>
      </c>
      <c r="AA115" s="113">
        <v>0</v>
      </c>
      <c r="AB115" s="114">
        <v>0</v>
      </c>
      <c r="AC115" s="11">
        <f t="shared" si="26"/>
        <v>0</v>
      </c>
      <c r="AD115" s="115" t="e">
        <f t="shared" si="20"/>
        <v>#REF!</v>
      </c>
      <c r="AE115" s="115">
        <f t="shared" si="21"/>
        <v>0</v>
      </c>
      <c r="AF115" s="115">
        <f t="shared" si="22"/>
        <v>0</v>
      </c>
      <c r="AG115" s="11"/>
      <c r="AH115" s="115">
        <f t="shared" si="27"/>
        <v>5000</v>
      </c>
      <c r="AI115" s="115">
        <f t="shared" si="28"/>
        <v>0</v>
      </c>
      <c r="AJ115" s="115">
        <f t="shared" si="29"/>
        <v>0</v>
      </c>
      <c r="AL115" s="11" t="e">
        <f t="shared" si="30"/>
        <v>#REF!</v>
      </c>
    </row>
    <row r="116" spans="1:38" ht="12" customHeight="1">
      <c r="A116" s="129"/>
      <c r="B116" s="129" t="s">
        <v>46</v>
      </c>
      <c r="C116" s="96" t="s">
        <v>186</v>
      </c>
      <c r="D116" s="120" t="s">
        <v>187</v>
      </c>
      <c r="E116" s="98"/>
      <c r="F116" s="99" t="e">
        <f>VLOOKUP(D116,#REF!,19,FALSE)</f>
        <v>#REF!</v>
      </c>
      <c r="G116" s="100"/>
      <c r="H116" s="100"/>
      <c r="I116" s="101"/>
      <c r="J116" s="102" t="e">
        <f t="shared" si="19"/>
        <v>#REF!</v>
      </c>
      <c r="K116" s="103"/>
      <c r="L116" s="104"/>
      <c r="M116" s="105"/>
      <c r="N116" s="103">
        <v>0</v>
      </c>
      <c r="O116" s="106"/>
      <c r="P116" s="103">
        <v>0</v>
      </c>
      <c r="Q116" s="107">
        <f t="shared" si="1"/>
        <v>0</v>
      </c>
      <c r="R116" s="107"/>
      <c r="S116" s="107"/>
      <c r="T116" s="108">
        <v>0</v>
      </c>
      <c r="U116" s="119"/>
      <c r="V116" s="110">
        <f t="shared" si="18"/>
        <v>0</v>
      </c>
      <c r="W116" s="103"/>
      <c r="X116" s="112">
        <f t="shared" si="23"/>
        <v>0</v>
      </c>
      <c r="Y116" s="112">
        <f t="shared" si="24"/>
        <v>0</v>
      </c>
      <c r="Z116" s="113">
        <f t="shared" si="25"/>
        <v>0</v>
      </c>
      <c r="AA116" s="113">
        <v>0</v>
      </c>
      <c r="AB116" s="114">
        <v>0</v>
      </c>
      <c r="AC116" s="11">
        <f t="shared" si="26"/>
        <v>0</v>
      </c>
      <c r="AD116" s="115">
        <f t="shared" si="20"/>
        <v>0</v>
      </c>
      <c r="AE116" s="115" t="e">
        <f t="shared" si="21"/>
        <v>#REF!</v>
      </c>
      <c r="AF116" s="115">
        <f t="shared" si="22"/>
        <v>0</v>
      </c>
      <c r="AG116" s="11"/>
      <c r="AH116" s="115">
        <f t="shared" si="27"/>
        <v>0</v>
      </c>
      <c r="AI116" s="115">
        <f t="shared" si="28"/>
        <v>0</v>
      </c>
      <c r="AJ116" s="115">
        <f t="shared" si="29"/>
        <v>0</v>
      </c>
      <c r="AL116" s="11" t="e">
        <f t="shared" si="30"/>
        <v>#REF!</v>
      </c>
    </row>
    <row r="117" spans="1:38">
      <c r="A117" s="116"/>
      <c r="B117" s="116" t="s">
        <v>46</v>
      </c>
      <c r="C117" s="122" t="s">
        <v>188</v>
      </c>
      <c r="D117" s="120" t="s">
        <v>189</v>
      </c>
      <c r="E117" s="98"/>
      <c r="F117" s="99" t="e">
        <f>VLOOKUP(D117,#REF!,19,FALSE)</f>
        <v>#REF!</v>
      </c>
      <c r="G117" s="100"/>
      <c r="H117" s="100"/>
      <c r="I117" s="101"/>
      <c r="J117" s="102" t="e">
        <f t="shared" si="19"/>
        <v>#REF!</v>
      </c>
      <c r="K117" s="103"/>
      <c r="L117" s="104"/>
      <c r="M117" s="105"/>
      <c r="N117" s="103">
        <v>0</v>
      </c>
      <c r="O117" s="106"/>
      <c r="P117" s="103">
        <v>0</v>
      </c>
      <c r="Q117" s="107">
        <f t="shared" si="1"/>
        <v>0</v>
      </c>
      <c r="R117" s="107"/>
      <c r="S117" s="107"/>
      <c r="T117" s="108">
        <v>0</v>
      </c>
      <c r="U117" s="119"/>
      <c r="V117" s="110">
        <f t="shared" si="18"/>
        <v>0</v>
      </c>
      <c r="W117" s="103"/>
      <c r="X117" s="112">
        <f t="shared" si="23"/>
        <v>0</v>
      </c>
      <c r="Y117" s="112">
        <f t="shared" si="24"/>
        <v>0</v>
      </c>
      <c r="Z117" s="113">
        <f t="shared" si="25"/>
        <v>0</v>
      </c>
      <c r="AA117" s="113">
        <v>0</v>
      </c>
      <c r="AB117" s="114">
        <v>0</v>
      </c>
      <c r="AC117" s="11">
        <f t="shared" si="26"/>
        <v>0</v>
      </c>
      <c r="AD117" s="115">
        <f t="shared" si="20"/>
        <v>0</v>
      </c>
      <c r="AE117" s="115" t="e">
        <f t="shared" si="21"/>
        <v>#REF!</v>
      </c>
      <c r="AF117" s="115">
        <f t="shared" si="22"/>
        <v>0</v>
      </c>
      <c r="AG117" s="11"/>
      <c r="AH117" s="115">
        <f t="shared" si="27"/>
        <v>0</v>
      </c>
      <c r="AI117" s="115">
        <f t="shared" si="28"/>
        <v>0</v>
      </c>
      <c r="AJ117" s="115">
        <f t="shared" si="29"/>
        <v>0</v>
      </c>
      <c r="AL117" s="11" t="e">
        <f t="shared" si="30"/>
        <v>#REF!</v>
      </c>
    </row>
    <row r="118" spans="1:38">
      <c r="A118" s="116"/>
      <c r="B118" s="116" t="s">
        <v>49</v>
      </c>
      <c r="C118" s="122"/>
      <c r="D118" s="120" t="s">
        <v>190</v>
      </c>
      <c r="E118" s="98"/>
      <c r="F118" s="99" t="e">
        <f>VLOOKUP(D118,#REF!,19,FALSE)</f>
        <v>#REF!</v>
      </c>
      <c r="G118" s="100"/>
      <c r="H118" s="100"/>
      <c r="I118" s="101"/>
      <c r="J118" s="102" t="e">
        <f t="shared" si="19"/>
        <v>#REF!</v>
      </c>
      <c r="K118" s="103"/>
      <c r="L118" s="104"/>
      <c r="M118" s="105"/>
      <c r="N118" s="103">
        <v>0</v>
      </c>
      <c r="O118" s="106"/>
      <c r="P118" s="103">
        <v>0</v>
      </c>
      <c r="Q118" s="107">
        <f t="shared" si="1"/>
        <v>0</v>
      </c>
      <c r="R118" s="107"/>
      <c r="S118" s="107"/>
      <c r="T118" s="108">
        <v>7930.09</v>
      </c>
      <c r="U118" s="119"/>
      <c r="V118" s="110">
        <f t="shared" si="18"/>
        <v>7930.09</v>
      </c>
      <c r="W118" s="103"/>
      <c r="X118" s="112">
        <f t="shared" si="23"/>
        <v>0</v>
      </c>
      <c r="Y118" s="112">
        <f t="shared" si="24"/>
        <v>0</v>
      </c>
      <c r="Z118" s="113">
        <f t="shared" si="25"/>
        <v>0</v>
      </c>
      <c r="AA118" s="113">
        <v>0</v>
      </c>
      <c r="AB118" s="114">
        <v>0</v>
      </c>
      <c r="AC118" s="11">
        <f t="shared" si="26"/>
        <v>0</v>
      </c>
      <c r="AD118" s="115" t="e">
        <f t="shared" si="20"/>
        <v>#REF!</v>
      </c>
      <c r="AE118" s="115">
        <f t="shared" si="21"/>
        <v>0</v>
      </c>
      <c r="AF118" s="115">
        <f t="shared" si="22"/>
        <v>0</v>
      </c>
      <c r="AG118" s="11"/>
      <c r="AH118" s="115">
        <f t="shared" si="27"/>
        <v>0</v>
      </c>
      <c r="AI118" s="115">
        <f t="shared" si="28"/>
        <v>0</v>
      </c>
      <c r="AJ118" s="115">
        <f t="shared" si="29"/>
        <v>0</v>
      </c>
      <c r="AL118" s="11" t="e">
        <f t="shared" si="30"/>
        <v>#REF!</v>
      </c>
    </row>
    <row r="119" spans="1:38">
      <c r="A119" s="129"/>
      <c r="B119" s="129" t="s">
        <v>49</v>
      </c>
      <c r="C119" s="96"/>
      <c r="D119" s="120" t="s">
        <v>191</v>
      </c>
      <c r="E119" s="98">
        <v>6906.17</v>
      </c>
      <c r="F119" s="99"/>
      <c r="G119" s="100"/>
      <c r="H119" s="100"/>
      <c r="I119" s="101"/>
      <c r="J119" s="102">
        <v>0</v>
      </c>
      <c r="K119" s="103"/>
      <c r="L119" s="104"/>
      <c r="M119" s="105"/>
      <c r="N119" s="103">
        <v>0</v>
      </c>
      <c r="O119" s="106"/>
      <c r="P119" s="103">
        <v>0</v>
      </c>
      <c r="Q119" s="107">
        <f t="shared" si="1"/>
        <v>0</v>
      </c>
      <c r="R119" s="107"/>
      <c r="S119" s="107"/>
      <c r="T119" s="108">
        <v>0</v>
      </c>
      <c r="U119" s="119"/>
      <c r="V119" s="110">
        <f t="shared" si="18"/>
        <v>0</v>
      </c>
      <c r="W119" s="103"/>
      <c r="X119" s="112">
        <f t="shared" si="23"/>
        <v>0</v>
      </c>
      <c r="Y119" s="112">
        <f t="shared" si="24"/>
        <v>0</v>
      </c>
      <c r="Z119" s="113">
        <f t="shared" si="25"/>
        <v>0</v>
      </c>
      <c r="AA119" s="113">
        <v>0</v>
      </c>
      <c r="AB119" s="114">
        <v>0</v>
      </c>
      <c r="AC119" s="11">
        <f t="shared" si="26"/>
        <v>0</v>
      </c>
      <c r="AD119" s="115">
        <f t="shared" si="20"/>
        <v>0</v>
      </c>
      <c r="AE119" s="115">
        <f t="shared" si="21"/>
        <v>0</v>
      </c>
      <c r="AF119" s="115">
        <f t="shared" si="22"/>
        <v>0</v>
      </c>
      <c r="AG119" s="11"/>
      <c r="AH119" s="115">
        <f t="shared" si="27"/>
        <v>0</v>
      </c>
      <c r="AI119" s="115">
        <f t="shared" si="28"/>
        <v>0</v>
      </c>
      <c r="AJ119" s="115">
        <f t="shared" si="29"/>
        <v>0</v>
      </c>
      <c r="AL119" s="11">
        <f t="shared" ref="AL119" si="32">SUM(AD119:AJ119)</f>
        <v>0</v>
      </c>
    </row>
    <row r="120" spans="1:38">
      <c r="A120" s="129"/>
      <c r="B120" s="129" t="s">
        <v>49</v>
      </c>
      <c r="C120" s="96"/>
      <c r="D120" s="120" t="s">
        <v>192</v>
      </c>
      <c r="E120" s="98">
        <f>31122.35+11496.25</f>
        <v>42618.6</v>
      </c>
      <c r="F120" s="99" t="e">
        <f>VLOOKUP(D120,#REF!,19,FALSE)</f>
        <v>#REF!</v>
      </c>
      <c r="G120" s="100"/>
      <c r="H120" s="100"/>
      <c r="I120" s="101"/>
      <c r="J120" s="102" t="e">
        <f t="shared" si="19"/>
        <v>#REF!</v>
      </c>
      <c r="K120" s="103"/>
      <c r="L120" s="104"/>
      <c r="M120" s="105">
        <v>10000</v>
      </c>
      <c r="N120" s="103">
        <v>0</v>
      </c>
      <c r="O120" s="106"/>
      <c r="P120" s="103">
        <v>0</v>
      </c>
      <c r="Q120" s="107">
        <f t="shared" si="1"/>
        <v>10000</v>
      </c>
      <c r="R120" s="107"/>
      <c r="S120" s="107"/>
      <c r="T120" s="108">
        <v>12211.79</v>
      </c>
      <c r="U120" s="119"/>
      <c r="V120" s="110">
        <f t="shared" si="18"/>
        <v>2211.7900000000009</v>
      </c>
      <c r="W120" s="103"/>
      <c r="X120" s="112">
        <f t="shared" si="23"/>
        <v>10000</v>
      </c>
      <c r="Y120" s="112">
        <f t="shared" si="24"/>
        <v>0</v>
      </c>
      <c r="Z120" s="113">
        <f t="shared" si="25"/>
        <v>0</v>
      </c>
      <c r="AA120" s="113">
        <v>0</v>
      </c>
      <c r="AB120" s="114">
        <v>0</v>
      </c>
      <c r="AC120" s="11">
        <f t="shared" si="26"/>
        <v>0</v>
      </c>
      <c r="AD120" s="115" t="e">
        <f t="shared" si="20"/>
        <v>#REF!</v>
      </c>
      <c r="AE120" s="115">
        <f t="shared" si="21"/>
        <v>0</v>
      </c>
      <c r="AF120" s="115">
        <f t="shared" si="22"/>
        <v>0</v>
      </c>
      <c r="AG120" s="11"/>
      <c r="AH120" s="115">
        <f t="shared" si="27"/>
        <v>10000</v>
      </c>
      <c r="AI120" s="115">
        <f t="shared" si="28"/>
        <v>0</v>
      </c>
      <c r="AJ120" s="115">
        <f t="shared" si="29"/>
        <v>0</v>
      </c>
      <c r="AL120" s="11" t="e">
        <f t="shared" si="30"/>
        <v>#REF!</v>
      </c>
    </row>
    <row r="121" spans="1:38">
      <c r="A121" s="129"/>
      <c r="B121" s="129" t="s">
        <v>49</v>
      </c>
      <c r="C121" s="96"/>
      <c r="D121" s="120" t="s">
        <v>193</v>
      </c>
      <c r="E121" s="98"/>
      <c r="F121" s="99" t="e">
        <f>VLOOKUP(D121,#REF!,19,FALSE)</f>
        <v>#REF!</v>
      </c>
      <c r="G121" s="100"/>
      <c r="H121" s="100"/>
      <c r="I121" s="101"/>
      <c r="J121" s="102" t="e">
        <f t="shared" si="19"/>
        <v>#REF!</v>
      </c>
      <c r="K121" s="103"/>
      <c r="L121" s="104"/>
      <c r="M121" s="105"/>
      <c r="N121" s="103">
        <v>0</v>
      </c>
      <c r="O121" s="106"/>
      <c r="P121" s="103">
        <v>0</v>
      </c>
      <c r="Q121" s="107">
        <f t="shared" si="1"/>
        <v>0</v>
      </c>
      <c r="R121" s="107"/>
      <c r="S121" s="107"/>
      <c r="T121" s="108">
        <v>197489</v>
      </c>
      <c r="U121" s="119"/>
      <c r="V121" s="110">
        <f t="shared" si="18"/>
        <v>197489</v>
      </c>
      <c r="W121" s="103"/>
      <c r="X121" s="112">
        <f t="shared" si="23"/>
        <v>0</v>
      </c>
      <c r="Y121" s="112">
        <f t="shared" si="24"/>
        <v>0</v>
      </c>
      <c r="Z121" s="113">
        <f t="shared" si="25"/>
        <v>0</v>
      </c>
      <c r="AA121" s="113">
        <v>0</v>
      </c>
      <c r="AB121" s="114">
        <v>0</v>
      </c>
      <c r="AC121" s="11">
        <f t="shared" si="26"/>
        <v>0</v>
      </c>
      <c r="AD121" s="115" t="e">
        <f t="shared" si="20"/>
        <v>#REF!</v>
      </c>
      <c r="AE121" s="115">
        <f t="shared" si="21"/>
        <v>0</v>
      </c>
      <c r="AF121" s="115">
        <f t="shared" si="22"/>
        <v>0</v>
      </c>
      <c r="AG121" s="11"/>
      <c r="AH121" s="115">
        <f t="shared" si="27"/>
        <v>0</v>
      </c>
      <c r="AI121" s="115">
        <f t="shared" si="28"/>
        <v>0</v>
      </c>
      <c r="AJ121" s="115">
        <f t="shared" si="29"/>
        <v>0</v>
      </c>
      <c r="AL121" s="11" t="e">
        <f t="shared" si="30"/>
        <v>#REF!</v>
      </c>
    </row>
    <row r="122" spans="1:38">
      <c r="A122" s="129"/>
      <c r="B122" s="129" t="s">
        <v>49</v>
      </c>
      <c r="C122" s="96"/>
      <c r="D122" s="120" t="s">
        <v>194</v>
      </c>
      <c r="E122" s="98">
        <v>6906.17</v>
      </c>
      <c r="F122" s="99"/>
      <c r="G122" s="100"/>
      <c r="H122" s="100"/>
      <c r="I122" s="101"/>
      <c r="J122" s="102">
        <f t="shared" si="19"/>
        <v>6906.17</v>
      </c>
      <c r="K122" s="103"/>
      <c r="L122" s="104"/>
      <c r="M122" s="105"/>
      <c r="N122" s="103">
        <v>0</v>
      </c>
      <c r="O122" s="106"/>
      <c r="P122" s="103">
        <v>0</v>
      </c>
      <c r="Q122" s="107">
        <f t="shared" si="1"/>
        <v>0</v>
      </c>
      <c r="R122" s="107"/>
      <c r="S122" s="107"/>
      <c r="T122" s="108">
        <v>0</v>
      </c>
      <c r="U122" s="119"/>
      <c r="V122" s="110">
        <f t="shared" si="18"/>
        <v>0</v>
      </c>
      <c r="W122" s="103"/>
      <c r="X122" s="112">
        <f t="shared" si="23"/>
        <v>0</v>
      </c>
      <c r="Y122" s="112">
        <f t="shared" si="24"/>
        <v>0</v>
      </c>
      <c r="Z122" s="113">
        <f t="shared" si="25"/>
        <v>0</v>
      </c>
      <c r="AA122" s="113">
        <v>0</v>
      </c>
      <c r="AB122" s="114">
        <v>0</v>
      </c>
      <c r="AC122" s="11">
        <f t="shared" si="26"/>
        <v>0</v>
      </c>
      <c r="AD122" s="115">
        <f t="shared" si="20"/>
        <v>6906.17</v>
      </c>
      <c r="AE122" s="115">
        <f t="shared" si="21"/>
        <v>0</v>
      </c>
      <c r="AF122" s="115">
        <f t="shared" si="22"/>
        <v>0</v>
      </c>
      <c r="AG122" s="11"/>
      <c r="AH122" s="115">
        <f t="shared" si="27"/>
        <v>0</v>
      </c>
      <c r="AI122" s="115">
        <f t="shared" si="28"/>
        <v>0</v>
      </c>
      <c r="AJ122" s="115">
        <f t="shared" si="29"/>
        <v>0</v>
      </c>
      <c r="AL122" s="11">
        <f t="shared" ref="AL122" si="33">SUM(AD122:AJ122)</f>
        <v>6906.17</v>
      </c>
    </row>
    <row r="123" spans="1:38">
      <c r="A123" s="116"/>
      <c r="B123" s="116" t="s">
        <v>49</v>
      </c>
      <c r="C123" s="122"/>
      <c r="D123" s="120" t="s">
        <v>195</v>
      </c>
      <c r="E123" s="98"/>
      <c r="F123" s="99"/>
      <c r="G123" s="100"/>
      <c r="H123" s="100"/>
      <c r="I123" s="101"/>
      <c r="J123" s="102">
        <f t="shared" si="19"/>
        <v>0</v>
      </c>
      <c r="K123" s="103"/>
      <c r="L123" s="104"/>
      <c r="M123" s="105"/>
      <c r="N123" s="103">
        <v>0</v>
      </c>
      <c r="O123" s="106"/>
      <c r="P123" s="103">
        <v>0</v>
      </c>
      <c r="Q123" s="107">
        <f t="shared" si="1"/>
        <v>0</v>
      </c>
      <c r="R123" s="107"/>
      <c r="S123" s="107"/>
      <c r="T123" s="108">
        <v>620.79999999999995</v>
      </c>
      <c r="U123" s="119"/>
      <c r="V123" s="110">
        <f t="shared" si="18"/>
        <v>620.79999999999995</v>
      </c>
      <c r="W123" s="103"/>
      <c r="X123" s="112">
        <f t="shared" si="23"/>
        <v>0</v>
      </c>
      <c r="Y123" s="112">
        <f t="shared" si="24"/>
        <v>0</v>
      </c>
      <c r="Z123" s="113">
        <f t="shared" si="25"/>
        <v>0</v>
      </c>
      <c r="AA123" s="113">
        <v>0</v>
      </c>
      <c r="AB123" s="114">
        <v>0</v>
      </c>
      <c r="AC123" s="11">
        <f t="shared" si="26"/>
        <v>0</v>
      </c>
      <c r="AD123" s="115">
        <f t="shared" si="20"/>
        <v>0</v>
      </c>
      <c r="AE123" s="115">
        <f t="shared" si="21"/>
        <v>0</v>
      </c>
      <c r="AF123" s="115">
        <f t="shared" si="22"/>
        <v>0</v>
      </c>
      <c r="AG123" s="11"/>
      <c r="AH123" s="115">
        <f t="shared" si="27"/>
        <v>0</v>
      </c>
      <c r="AI123" s="115">
        <f t="shared" si="28"/>
        <v>0</v>
      </c>
      <c r="AJ123" s="115">
        <f t="shared" si="29"/>
        <v>0</v>
      </c>
      <c r="AL123" s="11">
        <f t="shared" ref="AL123" si="34">SUM(AD123:AJ123)</f>
        <v>0</v>
      </c>
    </row>
    <row r="124" spans="1:38">
      <c r="A124" s="129"/>
      <c r="B124" s="129" t="s">
        <v>49</v>
      </c>
      <c r="C124" s="96" t="s">
        <v>196</v>
      </c>
      <c r="D124" s="120" t="s">
        <v>197</v>
      </c>
      <c r="E124" s="98"/>
      <c r="F124" s="99" t="e">
        <f>VLOOKUP(D124,#REF!,19,FALSE)</f>
        <v>#REF!</v>
      </c>
      <c r="G124" s="100"/>
      <c r="H124" s="100"/>
      <c r="I124" s="101"/>
      <c r="J124" s="102" t="e">
        <f t="shared" si="19"/>
        <v>#REF!</v>
      </c>
      <c r="K124" s="103"/>
      <c r="L124" s="104"/>
      <c r="M124" s="105">
        <v>50000</v>
      </c>
      <c r="N124" s="103">
        <v>0</v>
      </c>
      <c r="O124" s="106"/>
      <c r="P124" s="103">
        <v>0</v>
      </c>
      <c r="Q124" s="107">
        <f t="shared" si="1"/>
        <v>50000</v>
      </c>
      <c r="R124" s="107"/>
      <c r="S124" s="107"/>
      <c r="T124" s="108">
        <v>47560.29</v>
      </c>
      <c r="U124" s="119"/>
      <c r="V124" s="110">
        <f t="shared" si="18"/>
        <v>-2439.7099999999991</v>
      </c>
      <c r="W124" s="103"/>
      <c r="X124" s="112">
        <f t="shared" si="23"/>
        <v>50000</v>
      </c>
      <c r="Y124" s="112">
        <f t="shared" si="24"/>
        <v>0</v>
      </c>
      <c r="Z124" s="113">
        <f t="shared" si="25"/>
        <v>0</v>
      </c>
      <c r="AA124" s="113">
        <v>0</v>
      </c>
      <c r="AB124" s="114">
        <v>0</v>
      </c>
      <c r="AC124" s="11">
        <f t="shared" si="26"/>
        <v>0</v>
      </c>
      <c r="AD124" s="115" t="e">
        <f t="shared" si="20"/>
        <v>#REF!</v>
      </c>
      <c r="AE124" s="115">
        <f t="shared" si="21"/>
        <v>0</v>
      </c>
      <c r="AF124" s="115">
        <f t="shared" si="22"/>
        <v>0</v>
      </c>
      <c r="AG124" s="11"/>
      <c r="AH124" s="115">
        <f t="shared" si="27"/>
        <v>50000</v>
      </c>
      <c r="AI124" s="115">
        <f t="shared" si="28"/>
        <v>0</v>
      </c>
      <c r="AJ124" s="115">
        <f t="shared" si="29"/>
        <v>0</v>
      </c>
      <c r="AL124" s="11" t="e">
        <f t="shared" si="30"/>
        <v>#REF!</v>
      </c>
    </row>
    <row r="125" spans="1:38">
      <c r="A125" s="129"/>
      <c r="B125" s="129" t="s">
        <v>46</v>
      </c>
      <c r="C125" s="96" t="s">
        <v>198</v>
      </c>
      <c r="D125" s="120" t="s">
        <v>199</v>
      </c>
      <c r="E125" s="98"/>
      <c r="F125" s="99" t="e">
        <f>VLOOKUP(D125,#REF!,19,FALSE)</f>
        <v>#REF!</v>
      </c>
      <c r="G125" s="100"/>
      <c r="H125" s="100"/>
      <c r="I125" s="101"/>
      <c r="J125" s="102" t="e">
        <f t="shared" si="19"/>
        <v>#REF!</v>
      </c>
      <c r="K125" s="103"/>
      <c r="L125" s="104"/>
      <c r="M125" s="105"/>
      <c r="N125" s="103">
        <v>0</v>
      </c>
      <c r="O125" s="106"/>
      <c r="P125" s="103">
        <v>0</v>
      </c>
      <c r="Q125" s="107">
        <f t="shared" si="1"/>
        <v>0</v>
      </c>
      <c r="R125" s="107"/>
      <c r="S125" s="107"/>
      <c r="T125" s="108">
        <v>0</v>
      </c>
      <c r="U125" s="119"/>
      <c r="V125" s="110">
        <f t="shared" si="18"/>
        <v>0</v>
      </c>
      <c r="W125" s="103"/>
      <c r="X125" s="112">
        <f t="shared" si="23"/>
        <v>0</v>
      </c>
      <c r="Y125" s="112">
        <f t="shared" si="24"/>
        <v>0</v>
      </c>
      <c r="Z125" s="113">
        <f t="shared" si="25"/>
        <v>0</v>
      </c>
      <c r="AA125" s="113">
        <v>0</v>
      </c>
      <c r="AB125" s="114">
        <v>0</v>
      </c>
      <c r="AC125" s="11">
        <f t="shared" si="26"/>
        <v>0</v>
      </c>
      <c r="AD125" s="115">
        <f t="shared" si="20"/>
        <v>0</v>
      </c>
      <c r="AE125" s="115" t="e">
        <f t="shared" si="21"/>
        <v>#REF!</v>
      </c>
      <c r="AF125" s="115">
        <f t="shared" si="22"/>
        <v>0</v>
      </c>
      <c r="AG125" s="11"/>
      <c r="AH125" s="115">
        <f t="shared" si="27"/>
        <v>0</v>
      </c>
      <c r="AI125" s="115">
        <f t="shared" si="28"/>
        <v>0</v>
      </c>
      <c r="AJ125" s="115">
        <f t="shared" si="29"/>
        <v>0</v>
      </c>
      <c r="AL125" s="11" t="e">
        <f t="shared" si="30"/>
        <v>#REF!</v>
      </c>
    </row>
    <row r="126" spans="1:38">
      <c r="A126" s="129"/>
      <c r="B126" s="129" t="s">
        <v>49</v>
      </c>
      <c r="C126" s="96"/>
      <c r="D126" s="120" t="s">
        <v>201</v>
      </c>
      <c r="E126" s="98"/>
      <c r="F126" s="99" t="e">
        <f>VLOOKUP(D126,#REF!,19,FALSE)</f>
        <v>#REF!</v>
      </c>
      <c r="G126" s="100"/>
      <c r="H126" s="100"/>
      <c r="I126" s="125">
        <v>11475.8</v>
      </c>
      <c r="J126" s="102" t="e">
        <f t="shared" si="19"/>
        <v>#REF!</v>
      </c>
      <c r="K126" s="103"/>
      <c r="L126" s="104"/>
      <c r="M126" s="105"/>
      <c r="N126" s="103">
        <v>0</v>
      </c>
      <c r="O126" s="106"/>
      <c r="P126" s="103">
        <v>0</v>
      </c>
      <c r="Q126" s="107">
        <f t="shared" si="1"/>
        <v>0</v>
      </c>
      <c r="R126" s="107"/>
      <c r="S126" s="107"/>
      <c r="T126" s="108">
        <v>0</v>
      </c>
      <c r="U126" s="119"/>
      <c r="V126" s="110">
        <f t="shared" si="18"/>
        <v>0</v>
      </c>
      <c r="W126" s="103"/>
      <c r="X126" s="112">
        <f t="shared" si="23"/>
        <v>0</v>
      </c>
      <c r="Y126" s="112">
        <f t="shared" si="24"/>
        <v>0</v>
      </c>
      <c r="Z126" s="113">
        <f t="shared" si="25"/>
        <v>0</v>
      </c>
      <c r="AA126" s="113">
        <v>0</v>
      </c>
      <c r="AB126" s="114">
        <v>0</v>
      </c>
      <c r="AC126" s="11">
        <f t="shared" si="26"/>
        <v>0</v>
      </c>
      <c r="AD126" s="115" t="e">
        <f t="shared" si="20"/>
        <v>#REF!</v>
      </c>
      <c r="AE126" s="115">
        <f t="shared" si="21"/>
        <v>0</v>
      </c>
      <c r="AF126" s="115">
        <f t="shared" si="22"/>
        <v>0</v>
      </c>
      <c r="AG126" s="11"/>
      <c r="AH126" s="115">
        <f t="shared" si="27"/>
        <v>0</v>
      </c>
      <c r="AI126" s="115">
        <f t="shared" si="28"/>
        <v>0</v>
      </c>
      <c r="AJ126" s="115">
        <f t="shared" si="29"/>
        <v>0</v>
      </c>
      <c r="AL126" s="11" t="e">
        <f t="shared" si="30"/>
        <v>#REF!</v>
      </c>
    </row>
    <row r="127" spans="1:38">
      <c r="A127" s="129"/>
      <c r="B127" s="129" t="s">
        <v>81</v>
      </c>
      <c r="C127" s="96" t="s">
        <v>202</v>
      </c>
      <c r="D127" s="120" t="s">
        <v>203</v>
      </c>
      <c r="E127" s="98">
        <v>3246</v>
      </c>
      <c r="F127" s="99" t="e">
        <f>VLOOKUP(D127,#REF!,19,FALSE)</f>
        <v>#REF!</v>
      </c>
      <c r="G127" s="100"/>
      <c r="H127" s="100"/>
      <c r="I127" s="101"/>
      <c r="J127" s="102" t="e">
        <f t="shared" si="19"/>
        <v>#REF!</v>
      </c>
      <c r="K127" s="103"/>
      <c r="L127" s="104"/>
      <c r="M127" s="105">
        <v>6000</v>
      </c>
      <c r="N127" s="103">
        <v>0</v>
      </c>
      <c r="O127" s="106"/>
      <c r="P127" s="103">
        <v>0</v>
      </c>
      <c r="Q127" s="107">
        <f>L127+M127</f>
        <v>6000</v>
      </c>
      <c r="R127" s="107"/>
      <c r="S127" s="107"/>
      <c r="T127" s="108">
        <v>0</v>
      </c>
      <c r="U127" s="119"/>
      <c r="V127" s="110">
        <f t="shared" si="18"/>
        <v>-6000</v>
      </c>
      <c r="W127" s="103"/>
      <c r="X127" s="112">
        <f t="shared" si="23"/>
        <v>0</v>
      </c>
      <c r="Y127" s="112">
        <f t="shared" si="24"/>
        <v>0</v>
      </c>
      <c r="Z127" s="113">
        <f t="shared" si="25"/>
        <v>6000</v>
      </c>
      <c r="AA127" s="113">
        <v>0</v>
      </c>
      <c r="AB127" s="114">
        <v>0</v>
      </c>
      <c r="AC127" s="11">
        <f t="shared" si="26"/>
        <v>0</v>
      </c>
      <c r="AD127" s="115">
        <f t="shared" si="20"/>
        <v>0</v>
      </c>
      <c r="AE127" s="115">
        <f t="shared" si="21"/>
        <v>0</v>
      </c>
      <c r="AF127" s="115" t="e">
        <f t="shared" si="22"/>
        <v>#REF!</v>
      </c>
      <c r="AG127" s="11"/>
      <c r="AH127" s="115">
        <f t="shared" si="27"/>
        <v>0</v>
      </c>
      <c r="AI127" s="115">
        <f t="shared" si="28"/>
        <v>0</v>
      </c>
      <c r="AJ127" s="115">
        <f t="shared" si="29"/>
        <v>6000</v>
      </c>
      <c r="AL127" s="11" t="e">
        <f t="shared" si="30"/>
        <v>#REF!</v>
      </c>
    </row>
    <row r="128" spans="1:38">
      <c r="A128" s="129"/>
      <c r="B128" s="129" t="s">
        <v>46</v>
      </c>
      <c r="C128" s="96" t="s">
        <v>204</v>
      </c>
      <c r="D128" s="120" t="s">
        <v>205</v>
      </c>
      <c r="E128" s="98">
        <v>1077.71</v>
      </c>
      <c r="F128" s="99" t="e">
        <f>VLOOKUP(D128,#REF!,19,FALSE)</f>
        <v>#REF!</v>
      </c>
      <c r="G128" s="100"/>
      <c r="H128" s="100"/>
      <c r="I128" s="101"/>
      <c r="J128" s="102" t="e">
        <f t="shared" si="19"/>
        <v>#REF!</v>
      </c>
      <c r="K128" s="103"/>
      <c r="L128" s="104"/>
      <c r="M128" s="105"/>
      <c r="N128" s="103">
        <v>0</v>
      </c>
      <c r="O128" s="106"/>
      <c r="P128" s="103">
        <v>0</v>
      </c>
      <c r="Q128" s="107">
        <f t="shared" si="1"/>
        <v>0</v>
      </c>
      <c r="R128" s="107"/>
      <c r="S128" s="107"/>
      <c r="T128" s="108">
        <v>974.15</v>
      </c>
      <c r="U128" s="119"/>
      <c r="V128" s="110">
        <f t="shared" si="18"/>
        <v>974.15</v>
      </c>
      <c r="W128" s="103"/>
      <c r="X128" s="112">
        <f t="shared" si="23"/>
        <v>0</v>
      </c>
      <c r="Y128" s="112">
        <f t="shared" si="24"/>
        <v>0</v>
      </c>
      <c r="Z128" s="113">
        <f t="shared" si="25"/>
        <v>0</v>
      </c>
      <c r="AA128" s="113">
        <v>0</v>
      </c>
      <c r="AB128" s="114">
        <v>0</v>
      </c>
      <c r="AC128" s="11">
        <f t="shared" si="26"/>
        <v>0</v>
      </c>
      <c r="AD128" s="115">
        <f t="shared" si="20"/>
        <v>0</v>
      </c>
      <c r="AE128" s="115" t="e">
        <f t="shared" si="21"/>
        <v>#REF!</v>
      </c>
      <c r="AF128" s="115">
        <f t="shared" si="22"/>
        <v>0</v>
      </c>
      <c r="AG128" s="11"/>
      <c r="AH128" s="115">
        <f t="shared" si="27"/>
        <v>0</v>
      </c>
      <c r="AI128" s="115">
        <f t="shared" si="28"/>
        <v>0</v>
      </c>
      <c r="AJ128" s="115">
        <f t="shared" si="29"/>
        <v>0</v>
      </c>
      <c r="AL128" s="11" t="e">
        <f t="shared" si="30"/>
        <v>#REF!</v>
      </c>
    </row>
    <row r="129" spans="1:38" s="124" customFormat="1">
      <c r="A129" s="123" t="s">
        <v>60</v>
      </c>
      <c r="B129" s="123" t="s">
        <v>46</v>
      </c>
      <c r="C129" s="122" t="s">
        <v>206</v>
      </c>
      <c r="D129" s="118" t="s">
        <v>207</v>
      </c>
      <c r="E129" s="98"/>
      <c r="F129" s="99" t="e">
        <f>VLOOKUP(D129,#REF!,19,FALSE)</f>
        <v>#REF!</v>
      </c>
      <c r="G129" s="100"/>
      <c r="H129" s="100"/>
      <c r="I129" s="101"/>
      <c r="J129" s="102" t="e">
        <f t="shared" si="19"/>
        <v>#REF!</v>
      </c>
      <c r="K129" s="103"/>
      <c r="L129" s="104"/>
      <c r="M129" s="105"/>
      <c r="N129" s="103">
        <v>0</v>
      </c>
      <c r="O129" s="106"/>
      <c r="P129" s="103">
        <v>0</v>
      </c>
      <c r="Q129" s="107">
        <f t="shared" si="1"/>
        <v>0</v>
      </c>
      <c r="R129" s="107"/>
      <c r="S129" s="107"/>
      <c r="T129" s="108">
        <v>0</v>
      </c>
      <c r="U129" s="119"/>
      <c r="V129" s="110">
        <f t="shared" si="18"/>
        <v>0</v>
      </c>
      <c r="W129" s="103"/>
      <c r="X129" s="112">
        <f t="shared" si="23"/>
        <v>0</v>
      </c>
      <c r="Y129" s="112">
        <f t="shared" si="24"/>
        <v>0</v>
      </c>
      <c r="Z129" s="113">
        <f t="shared" si="25"/>
        <v>0</v>
      </c>
      <c r="AA129" s="113">
        <v>0</v>
      </c>
      <c r="AB129" s="114">
        <v>0</v>
      </c>
      <c r="AC129" s="11">
        <f t="shared" si="26"/>
        <v>0</v>
      </c>
      <c r="AD129" s="115">
        <f t="shared" si="20"/>
        <v>0</v>
      </c>
      <c r="AE129" s="115" t="e">
        <f t="shared" si="21"/>
        <v>#REF!</v>
      </c>
      <c r="AF129" s="115">
        <f t="shared" si="22"/>
        <v>0</v>
      </c>
      <c r="AG129" s="11"/>
      <c r="AH129" s="115">
        <f t="shared" si="27"/>
        <v>0</v>
      </c>
      <c r="AI129" s="115">
        <f t="shared" si="28"/>
        <v>0</v>
      </c>
      <c r="AJ129" s="115">
        <f t="shared" si="29"/>
        <v>0</v>
      </c>
      <c r="AL129" s="11" t="e">
        <f t="shared" si="30"/>
        <v>#REF!</v>
      </c>
    </row>
    <row r="130" spans="1:38" s="124" customFormat="1">
      <c r="A130" s="123"/>
      <c r="B130" s="123" t="s">
        <v>49</v>
      </c>
      <c r="C130" s="122"/>
      <c r="D130" s="118" t="s">
        <v>208</v>
      </c>
      <c r="E130" s="98"/>
      <c r="F130" s="99" t="e">
        <f>VLOOKUP(D130,#REF!,19,FALSE)</f>
        <v>#REF!</v>
      </c>
      <c r="G130" s="100"/>
      <c r="H130" s="100"/>
      <c r="I130" s="101"/>
      <c r="J130" s="102" t="e">
        <f t="shared" si="19"/>
        <v>#REF!</v>
      </c>
      <c r="K130" s="103"/>
      <c r="L130" s="104"/>
      <c r="M130" s="105">
        <v>5000</v>
      </c>
      <c r="N130" s="103">
        <v>0</v>
      </c>
      <c r="O130" s="106"/>
      <c r="P130" s="103">
        <v>0</v>
      </c>
      <c r="Q130" s="107">
        <f t="shared" si="1"/>
        <v>5000</v>
      </c>
      <c r="R130" s="107"/>
      <c r="S130" s="107"/>
      <c r="T130" s="108">
        <v>2969.78</v>
      </c>
      <c r="U130" s="119"/>
      <c r="V130" s="110">
        <f t="shared" si="18"/>
        <v>-2030.2199999999998</v>
      </c>
      <c r="W130" s="103"/>
      <c r="X130" s="112">
        <f t="shared" si="23"/>
        <v>5000</v>
      </c>
      <c r="Y130" s="112">
        <f t="shared" si="24"/>
        <v>0</v>
      </c>
      <c r="Z130" s="113">
        <f t="shared" si="25"/>
        <v>0</v>
      </c>
      <c r="AA130" s="113">
        <v>0</v>
      </c>
      <c r="AB130" s="114">
        <v>0</v>
      </c>
      <c r="AC130" s="11">
        <f t="shared" si="26"/>
        <v>0</v>
      </c>
      <c r="AD130" s="115" t="e">
        <f t="shared" si="20"/>
        <v>#REF!</v>
      </c>
      <c r="AE130" s="115">
        <f t="shared" si="21"/>
        <v>0</v>
      </c>
      <c r="AF130" s="115">
        <f t="shared" si="22"/>
        <v>0</v>
      </c>
      <c r="AG130" s="11"/>
      <c r="AH130" s="115">
        <f t="shared" si="27"/>
        <v>5000</v>
      </c>
      <c r="AI130" s="115">
        <f t="shared" si="28"/>
        <v>0</v>
      </c>
      <c r="AJ130" s="115">
        <f t="shared" si="29"/>
        <v>0</v>
      </c>
      <c r="AL130" s="11" t="e">
        <f t="shared" si="30"/>
        <v>#REF!</v>
      </c>
    </row>
    <row r="131" spans="1:38" s="124" customFormat="1">
      <c r="A131" s="123"/>
      <c r="B131" s="123" t="s">
        <v>46</v>
      </c>
      <c r="C131" s="122"/>
      <c r="D131" s="118" t="s">
        <v>209</v>
      </c>
      <c r="E131" s="98"/>
      <c r="F131" s="99" t="e">
        <f>VLOOKUP(D131,#REF!,19,FALSE)</f>
        <v>#REF!</v>
      </c>
      <c r="G131" s="100"/>
      <c r="H131" s="100"/>
      <c r="I131" s="101"/>
      <c r="J131" s="102" t="e">
        <f t="shared" si="19"/>
        <v>#REF!</v>
      </c>
      <c r="K131" s="103"/>
      <c r="L131" s="104"/>
      <c r="M131" s="105">
        <v>40000</v>
      </c>
      <c r="N131" s="103">
        <v>0</v>
      </c>
      <c r="O131" s="106"/>
      <c r="P131" s="103">
        <v>0</v>
      </c>
      <c r="Q131" s="107">
        <f t="shared" si="1"/>
        <v>40000</v>
      </c>
      <c r="R131" s="107"/>
      <c r="S131" s="107"/>
      <c r="T131" s="108">
        <f>30892.5+687.86+8066.43</f>
        <v>39646.79</v>
      </c>
      <c r="U131" s="119"/>
      <c r="V131" s="110">
        <f t="shared" si="18"/>
        <v>-353.20999999999913</v>
      </c>
      <c r="W131" s="103"/>
      <c r="X131" s="112">
        <f t="shared" si="23"/>
        <v>0</v>
      </c>
      <c r="Y131" s="112">
        <f t="shared" si="24"/>
        <v>40000</v>
      </c>
      <c r="Z131" s="113">
        <f t="shared" si="25"/>
        <v>0</v>
      </c>
      <c r="AA131" s="113">
        <v>0</v>
      </c>
      <c r="AB131" s="114">
        <v>0</v>
      </c>
      <c r="AC131" s="11">
        <f t="shared" si="26"/>
        <v>0</v>
      </c>
      <c r="AD131" s="115">
        <f t="shared" si="20"/>
        <v>0</v>
      </c>
      <c r="AE131" s="115" t="e">
        <f t="shared" si="21"/>
        <v>#REF!</v>
      </c>
      <c r="AF131" s="115">
        <f t="shared" si="22"/>
        <v>0</v>
      </c>
      <c r="AG131" s="11"/>
      <c r="AH131" s="115">
        <f t="shared" si="27"/>
        <v>0</v>
      </c>
      <c r="AI131" s="115">
        <f t="shared" si="28"/>
        <v>40000</v>
      </c>
      <c r="AJ131" s="115">
        <f t="shared" si="29"/>
        <v>0</v>
      </c>
      <c r="AL131" s="11" t="e">
        <f t="shared" si="30"/>
        <v>#REF!</v>
      </c>
    </row>
    <row r="132" spans="1:38" s="124" customFormat="1">
      <c r="A132" s="127"/>
      <c r="B132" s="127" t="s">
        <v>49</v>
      </c>
      <c r="C132" s="96" t="s">
        <v>210</v>
      </c>
      <c r="D132" s="118" t="s">
        <v>211</v>
      </c>
      <c r="E132" s="98">
        <v>1504.7</v>
      </c>
      <c r="F132" s="99" t="e">
        <f>VLOOKUP(D132,#REF!,19,FALSE)</f>
        <v>#REF!</v>
      </c>
      <c r="G132" s="100"/>
      <c r="H132" s="100"/>
      <c r="I132" s="101"/>
      <c r="J132" s="102" t="e">
        <f t="shared" si="19"/>
        <v>#REF!</v>
      </c>
      <c r="K132" s="103"/>
      <c r="L132" s="104"/>
      <c r="M132" s="105"/>
      <c r="N132" s="103">
        <v>0</v>
      </c>
      <c r="O132" s="106"/>
      <c r="P132" s="103">
        <v>0</v>
      </c>
      <c r="Q132" s="107">
        <f t="shared" si="1"/>
        <v>0</v>
      </c>
      <c r="R132" s="107"/>
      <c r="S132" s="107"/>
      <c r="T132" s="108">
        <v>1419.26</v>
      </c>
      <c r="U132" s="119"/>
      <c r="V132" s="110">
        <f t="shared" si="18"/>
        <v>1419.26</v>
      </c>
      <c r="W132" s="103"/>
      <c r="X132" s="112">
        <f t="shared" si="23"/>
        <v>0</v>
      </c>
      <c r="Y132" s="112">
        <f t="shared" si="24"/>
        <v>0</v>
      </c>
      <c r="Z132" s="113">
        <f t="shared" si="25"/>
        <v>0</v>
      </c>
      <c r="AA132" s="113">
        <v>0</v>
      </c>
      <c r="AB132" s="114">
        <v>0</v>
      </c>
      <c r="AC132" s="11">
        <f t="shared" si="26"/>
        <v>0</v>
      </c>
      <c r="AD132" s="115" t="e">
        <f t="shared" si="20"/>
        <v>#REF!</v>
      </c>
      <c r="AE132" s="115">
        <f t="shared" si="21"/>
        <v>0</v>
      </c>
      <c r="AF132" s="115">
        <f t="shared" si="22"/>
        <v>0</v>
      </c>
      <c r="AG132" s="11"/>
      <c r="AH132" s="115">
        <f t="shared" si="27"/>
        <v>0</v>
      </c>
      <c r="AI132" s="115">
        <f t="shared" si="28"/>
        <v>0</v>
      </c>
      <c r="AJ132" s="115">
        <f t="shared" si="29"/>
        <v>0</v>
      </c>
      <c r="AL132" s="11" t="e">
        <f t="shared" si="30"/>
        <v>#REF!</v>
      </c>
    </row>
    <row r="133" spans="1:38" s="124" customFormat="1">
      <c r="A133" s="123"/>
      <c r="B133" s="123" t="s">
        <v>49</v>
      </c>
      <c r="C133" s="122"/>
      <c r="D133" s="120" t="s">
        <v>212</v>
      </c>
      <c r="E133" s="98"/>
      <c r="F133" s="99" t="e">
        <f>VLOOKUP(D133,#REF!,19,FALSE)</f>
        <v>#REF!</v>
      </c>
      <c r="G133" s="100"/>
      <c r="H133" s="100"/>
      <c r="I133" s="101"/>
      <c r="J133" s="102" t="e">
        <f t="shared" si="19"/>
        <v>#REF!</v>
      </c>
      <c r="K133" s="103"/>
      <c r="L133" s="104"/>
      <c r="M133" s="105"/>
      <c r="N133" s="103">
        <v>0</v>
      </c>
      <c r="O133" s="106"/>
      <c r="P133" s="103">
        <v>0</v>
      </c>
      <c r="Q133" s="107">
        <f t="shared" si="1"/>
        <v>0</v>
      </c>
      <c r="R133" s="107"/>
      <c r="S133" s="107"/>
      <c r="T133" s="108">
        <v>0</v>
      </c>
      <c r="U133" s="119"/>
      <c r="V133" s="110">
        <f t="shared" si="18"/>
        <v>0</v>
      </c>
      <c r="W133" s="103"/>
      <c r="X133" s="112">
        <f t="shared" si="23"/>
        <v>0</v>
      </c>
      <c r="Y133" s="112">
        <f t="shared" si="24"/>
        <v>0</v>
      </c>
      <c r="Z133" s="113">
        <f t="shared" si="25"/>
        <v>0</v>
      </c>
      <c r="AA133" s="113">
        <v>0</v>
      </c>
      <c r="AB133" s="114">
        <v>0</v>
      </c>
      <c r="AC133" s="11">
        <f t="shared" si="26"/>
        <v>0</v>
      </c>
      <c r="AD133" s="115" t="e">
        <f t="shared" si="20"/>
        <v>#REF!</v>
      </c>
      <c r="AE133" s="115">
        <f t="shared" si="21"/>
        <v>0</v>
      </c>
      <c r="AF133" s="115">
        <f t="shared" si="22"/>
        <v>0</v>
      </c>
      <c r="AG133" s="11"/>
      <c r="AH133" s="115">
        <f t="shared" si="27"/>
        <v>0</v>
      </c>
      <c r="AI133" s="115">
        <f t="shared" si="28"/>
        <v>0</v>
      </c>
      <c r="AJ133" s="115">
        <f t="shared" si="29"/>
        <v>0</v>
      </c>
      <c r="AL133" s="11" t="e">
        <f t="shared" si="30"/>
        <v>#REF!</v>
      </c>
    </row>
    <row r="134" spans="1:38" s="124" customFormat="1">
      <c r="A134" s="123"/>
      <c r="B134" s="123" t="s">
        <v>49</v>
      </c>
      <c r="C134" s="122" t="s">
        <v>213</v>
      </c>
      <c r="D134" s="118" t="s">
        <v>214</v>
      </c>
      <c r="E134" s="98"/>
      <c r="F134" s="99" t="e">
        <f>VLOOKUP(D134,#REF!,19,FALSE)</f>
        <v>#REF!</v>
      </c>
      <c r="G134" s="100"/>
      <c r="H134" s="100"/>
      <c r="I134" s="101"/>
      <c r="J134" s="102" t="e">
        <f t="shared" si="19"/>
        <v>#REF!</v>
      </c>
      <c r="K134" s="103"/>
      <c r="L134" s="104"/>
      <c r="M134" s="105">
        <v>15000</v>
      </c>
      <c r="N134" s="103">
        <v>0</v>
      </c>
      <c r="O134" s="106"/>
      <c r="P134" s="103">
        <v>0</v>
      </c>
      <c r="Q134" s="107">
        <f t="shared" si="1"/>
        <v>15000</v>
      </c>
      <c r="R134" s="107"/>
      <c r="S134" s="107"/>
      <c r="T134" s="108">
        <v>0</v>
      </c>
      <c r="U134" s="119"/>
      <c r="V134" s="110">
        <f t="shared" si="18"/>
        <v>-15000</v>
      </c>
      <c r="W134" s="103"/>
      <c r="X134" s="112">
        <f t="shared" si="23"/>
        <v>15000</v>
      </c>
      <c r="Y134" s="112">
        <f t="shared" si="24"/>
        <v>0</v>
      </c>
      <c r="Z134" s="113">
        <f t="shared" si="25"/>
        <v>0</v>
      </c>
      <c r="AA134" s="113">
        <v>0</v>
      </c>
      <c r="AB134" s="114">
        <v>0</v>
      </c>
      <c r="AC134" s="11">
        <f t="shared" si="26"/>
        <v>0</v>
      </c>
      <c r="AD134" s="115" t="e">
        <f t="shared" si="20"/>
        <v>#REF!</v>
      </c>
      <c r="AE134" s="115">
        <f t="shared" si="21"/>
        <v>0</v>
      </c>
      <c r="AF134" s="115">
        <f t="shared" si="22"/>
        <v>0</v>
      </c>
      <c r="AG134" s="11"/>
      <c r="AH134" s="115">
        <f t="shared" si="27"/>
        <v>15000</v>
      </c>
      <c r="AI134" s="115">
        <f t="shared" si="28"/>
        <v>0</v>
      </c>
      <c r="AJ134" s="115">
        <f t="shared" si="29"/>
        <v>0</v>
      </c>
      <c r="AL134" s="11" t="e">
        <f t="shared" si="30"/>
        <v>#REF!</v>
      </c>
    </row>
    <row r="135" spans="1:38" s="124" customFormat="1" hidden="1">
      <c r="A135" s="123"/>
      <c r="B135" s="123" t="s">
        <v>49</v>
      </c>
      <c r="C135" s="122" t="s">
        <v>213</v>
      </c>
      <c r="D135" s="118" t="s">
        <v>215</v>
      </c>
      <c r="E135" s="98"/>
      <c r="F135" s="99" t="e">
        <f>VLOOKUP(D135,#REF!,19,FALSE)</f>
        <v>#REF!</v>
      </c>
      <c r="G135" s="100"/>
      <c r="H135" s="100"/>
      <c r="I135" s="101"/>
      <c r="J135" s="102" t="e">
        <f t="shared" si="19"/>
        <v>#REF!</v>
      </c>
      <c r="K135" s="103"/>
      <c r="L135" s="104"/>
      <c r="M135" s="105"/>
      <c r="N135" s="103">
        <v>0</v>
      </c>
      <c r="O135" s="106"/>
      <c r="P135" s="103">
        <v>0</v>
      </c>
      <c r="Q135" s="107">
        <f t="shared" si="1"/>
        <v>0</v>
      </c>
      <c r="R135" s="107"/>
      <c r="S135" s="107"/>
      <c r="T135" s="108">
        <v>0</v>
      </c>
      <c r="U135" s="119"/>
      <c r="V135" s="110">
        <f t="shared" si="18"/>
        <v>0</v>
      </c>
      <c r="W135" s="103"/>
      <c r="X135" s="112">
        <f t="shared" si="23"/>
        <v>0</v>
      </c>
      <c r="Y135" s="112">
        <f t="shared" si="24"/>
        <v>0</v>
      </c>
      <c r="Z135" s="113">
        <f t="shared" si="25"/>
        <v>0</v>
      </c>
      <c r="AA135" s="113">
        <v>0</v>
      </c>
      <c r="AB135" s="114">
        <v>0</v>
      </c>
      <c r="AC135" s="11">
        <f t="shared" si="26"/>
        <v>0</v>
      </c>
      <c r="AD135" s="115" t="e">
        <f t="shared" si="20"/>
        <v>#REF!</v>
      </c>
      <c r="AE135" s="115">
        <f t="shared" si="21"/>
        <v>0</v>
      </c>
      <c r="AF135" s="115">
        <f t="shared" si="22"/>
        <v>0</v>
      </c>
      <c r="AG135" s="11"/>
      <c r="AH135" s="115">
        <f t="shared" si="27"/>
        <v>0</v>
      </c>
      <c r="AI135" s="115">
        <f t="shared" si="28"/>
        <v>0</v>
      </c>
      <c r="AJ135" s="115">
        <f t="shared" si="29"/>
        <v>0</v>
      </c>
      <c r="AL135" s="11" t="e">
        <f t="shared" si="30"/>
        <v>#REF!</v>
      </c>
    </row>
    <row r="136" spans="1:38" s="124" customFormat="1" hidden="1">
      <c r="A136" s="123"/>
      <c r="B136" s="123" t="s">
        <v>49</v>
      </c>
      <c r="C136" s="122" t="s">
        <v>213</v>
      </c>
      <c r="D136" s="118" t="s">
        <v>216</v>
      </c>
      <c r="E136" s="98"/>
      <c r="F136" s="99" t="e">
        <f>VLOOKUP(D136,#REF!,19,FALSE)</f>
        <v>#REF!</v>
      </c>
      <c r="G136" s="100"/>
      <c r="H136" s="100"/>
      <c r="I136" s="101"/>
      <c r="J136" s="102" t="e">
        <f t="shared" si="19"/>
        <v>#REF!</v>
      </c>
      <c r="K136" s="103"/>
      <c r="L136" s="104"/>
      <c r="M136" s="105"/>
      <c r="N136" s="103">
        <v>0</v>
      </c>
      <c r="O136" s="106"/>
      <c r="P136" s="103">
        <v>0</v>
      </c>
      <c r="Q136" s="107">
        <f t="shared" si="1"/>
        <v>0</v>
      </c>
      <c r="R136" s="107"/>
      <c r="S136" s="107"/>
      <c r="T136" s="108">
        <v>0</v>
      </c>
      <c r="U136" s="119"/>
      <c r="V136" s="110">
        <f t="shared" si="18"/>
        <v>0</v>
      </c>
      <c r="W136" s="103"/>
      <c r="X136" s="112">
        <f t="shared" si="23"/>
        <v>0</v>
      </c>
      <c r="Y136" s="112">
        <f t="shared" si="24"/>
        <v>0</v>
      </c>
      <c r="Z136" s="113">
        <f t="shared" si="25"/>
        <v>0</v>
      </c>
      <c r="AA136" s="113">
        <v>0</v>
      </c>
      <c r="AB136" s="114">
        <v>0</v>
      </c>
      <c r="AC136" s="11">
        <f t="shared" si="26"/>
        <v>0</v>
      </c>
      <c r="AD136" s="115" t="e">
        <f t="shared" si="20"/>
        <v>#REF!</v>
      </c>
      <c r="AE136" s="115">
        <f t="shared" si="21"/>
        <v>0</v>
      </c>
      <c r="AF136" s="115">
        <f t="shared" si="22"/>
        <v>0</v>
      </c>
      <c r="AG136" s="11"/>
      <c r="AH136" s="115">
        <f t="shared" si="27"/>
        <v>0</v>
      </c>
      <c r="AI136" s="115">
        <f t="shared" si="28"/>
        <v>0</v>
      </c>
      <c r="AJ136" s="115">
        <f t="shared" si="29"/>
        <v>0</v>
      </c>
      <c r="AL136" s="11" t="e">
        <f t="shared" si="30"/>
        <v>#REF!</v>
      </c>
    </row>
    <row r="137" spans="1:38" s="124" customFormat="1" hidden="1">
      <c r="A137" s="123"/>
      <c r="B137" s="123" t="s">
        <v>49</v>
      </c>
      <c r="C137" s="122" t="s">
        <v>213</v>
      </c>
      <c r="D137" s="118" t="s">
        <v>217</v>
      </c>
      <c r="E137" s="98"/>
      <c r="F137" s="99" t="e">
        <f>VLOOKUP(D137,#REF!,19,FALSE)</f>
        <v>#REF!</v>
      </c>
      <c r="G137" s="100"/>
      <c r="H137" s="100"/>
      <c r="I137" s="101"/>
      <c r="J137" s="102" t="e">
        <f t="shared" si="19"/>
        <v>#REF!</v>
      </c>
      <c r="K137" s="103"/>
      <c r="L137" s="104"/>
      <c r="M137" s="105"/>
      <c r="N137" s="103">
        <v>0</v>
      </c>
      <c r="O137" s="106"/>
      <c r="P137" s="103">
        <v>0</v>
      </c>
      <c r="Q137" s="107">
        <f t="shared" si="1"/>
        <v>0</v>
      </c>
      <c r="R137" s="107"/>
      <c r="S137" s="107"/>
      <c r="T137" s="108">
        <v>0</v>
      </c>
      <c r="U137" s="119"/>
      <c r="V137" s="110">
        <f t="shared" si="18"/>
        <v>0</v>
      </c>
      <c r="W137" s="103"/>
      <c r="X137" s="112">
        <f t="shared" si="23"/>
        <v>0</v>
      </c>
      <c r="Y137" s="112">
        <f t="shared" si="24"/>
        <v>0</v>
      </c>
      <c r="Z137" s="113">
        <f t="shared" si="25"/>
        <v>0</v>
      </c>
      <c r="AA137" s="113">
        <v>0</v>
      </c>
      <c r="AB137" s="114">
        <v>0</v>
      </c>
      <c r="AC137" s="11">
        <f t="shared" si="26"/>
        <v>0</v>
      </c>
      <c r="AD137" s="115" t="e">
        <f t="shared" si="20"/>
        <v>#REF!</v>
      </c>
      <c r="AE137" s="115">
        <f t="shared" si="21"/>
        <v>0</v>
      </c>
      <c r="AF137" s="115">
        <f t="shared" si="22"/>
        <v>0</v>
      </c>
      <c r="AG137" s="11"/>
      <c r="AH137" s="115">
        <f t="shared" si="27"/>
        <v>0</v>
      </c>
      <c r="AI137" s="115">
        <f t="shared" si="28"/>
        <v>0</v>
      </c>
      <c r="AJ137" s="115">
        <f t="shared" si="29"/>
        <v>0</v>
      </c>
      <c r="AL137" s="11" t="e">
        <f t="shared" si="30"/>
        <v>#REF!</v>
      </c>
    </row>
    <row r="138" spans="1:38" s="124" customFormat="1" hidden="1">
      <c r="A138" s="123"/>
      <c r="B138" s="123" t="s">
        <v>49</v>
      </c>
      <c r="C138" s="122" t="s">
        <v>213</v>
      </c>
      <c r="D138" s="118" t="s">
        <v>218</v>
      </c>
      <c r="E138" s="98"/>
      <c r="F138" s="99" t="e">
        <f>VLOOKUP(D138,#REF!,19,FALSE)</f>
        <v>#REF!</v>
      </c>
      <c r="G138" s="100"/>
      <c r="H138" s="100"/>
      <c r="I138" s="101"/>
      <c r="J138" s="102" t="e">
        <f t="shared" si="19"/>
        <v>#REF!</v>
      </c>
      <c r="K138" s="103"/>
      <c r="L138" s="104"/>
      <c r="M138" s="105"/>
      <c r="N138" s="103">
        <v>0</v>
      </c>
      <c r="O138" s="106"/>
      <c r="P138" s="103">
        <v>0</v>
      </c>
      <c r="Q138" s="107">
        <f t="shared" si="1"/>
        <v>0</v>
      </c>
      <c r="R138" s="107"/>
      <c r="S138" s="107"/>
      <c r="T138" s="108">
        <v>0</v>
      </c>
      <c r="U138" s="119"/>
      <c r="V138" s="110">
        <f t="shared" si="18"/>
        <v>0</v>
      </c>
      <c r="W138" s="103"/>
      <c r="X138" s="112">
        <f t="shared" si="23"/>
        <v>0</v>
      </c>
      <c r="Y138" s="112">
        <f t="shared" si="24"/>
        <v>0</v>
      </c>
      <c r="Z138" s="113">
        <f t="shared" si="25"/>
        <v>0</v>
      </c>
      <c r="AA138" s="113">
        <v>0</v>
      </c>
      <c r="AB138" s="114">
        <v>0</v>
      </c>
      <c r="AC138" s="11">
        <f t="shared" si="26"/>
        <v>0</v>
      </c>
      <c r="AD138" s="115" t="e">
        <f t="shared" si="20"/>
        <v>#REF!</v>
      </c>
      <c r="AE138" s="115">
        <f t="shared" si="21"/>
        <v>0</v>
      </c>
      <c r="AF138" s="115">
        <f t="shared" si="22"/>
        <v>0</v>
      </c>
      <c r="AG138" s="11"/>
      <c r="AH138" s="115">
        <f t="shared" si="27"/>
        <v>0</v>
      </c>
      <c r="AI138" s="115">
        <f t="shared" si="28"/>
        <v>0</v>
      </c>
      <c r="AJ138" s="115">
        <f t="shared" si="29"/>
        <v>0</v>
      </c>
      <c r="AL138" s="11" t="e">
        <f t="shared" si="30"/>
        <v>#REF!</v>
      </c>
    </row>
    <row r="139" spans="1:38" s="124" customFormat="1" hidden="1">
      <c r="A139" s="123"/>
      <c r="B139" s="123" t="s">
        <v>49</v>
      </c>
      <c r="C139" s="122" t="s">
        <v>213</v>
      </c>
      <c r="D139" s="118" t="s">
        <v>219</v>
      </c>
      <c r="E139" s="98"/>
      <c r="F139" s="99" t="e">
        <f>VLOOKUP(D139,#REF!,19,FALSE)</f>
        <v>#REF!</v>
      </c>
      <c r="G139" s="100"/>
      <c r="H139" s="100"/>
      <c r="I139" s="101"/>
      <c r="J139" s="102" t="e">
        <f t="shared" si="19"/>
        <v>#REF!</v>
      </c>
      <c r="K139" s="103"/>
      <c r="L139" s="104"/>
      <c r="M139" s="105"/>
      <c r="N139" s="103">
        <v>0</v>
      </c>
      <c r="O139" s="106"/>
      <c r="P139" s="103">
        <v>0</v>
      </c>
      <c r="Q139" s="107">
        <f t="shared" si="1"/>
        <v>0</v>
      </c>
      <c r="R139" s="107"/>
      <c r="S139" s="107"/>
      <c r="T139" s="108">
        <v>0</v>
      </c>
      <c r="U139" s="119"/>
      <c r="V139" s="110">
        <f t="shared" si="18"/>
        <v>0</v>
      </c>
      <c r="W139" s="103"/>
      <c r="X139" s="112">
        <f t="shared" si="23"/>
        <v>0</v>
      </c>
      <c r="Y139" s="112">
        <f t="shared" si="24"/>
        <v>0</v>
      </c>
      <c r="Z139" s="113">
        <f t="shared" si="25"/>
        <v>0</v>
      </c>
      <c r="AA139" s="113">
        <v>0</v>
      </c>
      <c r="AB139" s="114">
        <v>0</v>
      </c>
      <c r="AC139" s="11">
        <f t="shared" si="26"/>
        <v>0</v>
      </c>
      <c r="AD139" s="115" t="e">
        <f t="shared" si="20"/>
        <v>#REF!</v>
      </c>
      <c r="AE139" s="115">
        <f t="shared" si="21"/>
        <v>0</v>
      </c>
      <c r="AF139" s="115">
        <f t="shared" si="22"/>
        <v>0</v>
      </c>
      <c r="AG139" s="11"/>
      <c r="AH139" s="115">
        <f t="shared" si="27"/>
        <v>0</v>
      </c>
      <c r="AI139" s="115">
        <f t="shared" si="28"/>
        <v>0</v>
      </c>
      <c r="AJ139" s="115">
        <f t="shared" si="29"/>
        <v>0</v>
      </c>
      <c r="AL139" s="11" t="e">
        <f t="shared" si="30"/>
        <v>#REF!</v>
      </c>
    </row>
    <row r="140" spans="1:38" s="124" customFormat="1" hidden="1">
      <c r="A140" s="123"/>
      <c r="B140" s="123" t="s">
        <v>49</v>
      </c>
      <c r="C140" s="122" t="s">
        <v>213</v>
      </c>
      <c r="D140" s="118" t="s">
        <v>220</v>
      </c>
      <c r="E140" s="98"/>
      <c r="F140" s="99" t="e">
        <f>VLOOKUP(D140,#REF!,19,FALSE)</f>
        <v>#REF!</v>
      </c>
      <c r="G140" s="100"/>
      <c r="H140" s="100"/>
      <c r="I140" s="101"/>
      <c r="J140" s="102" t="e">
        <f t="shared" si="19"/>
        <v>#REF!</v>
      </c>
      <c r="K140" s="103"/>
      <c r="L140" s="104"/>
      <c r="M140" s="105"/>
      <c r="N140" s="103">
        <v>0</v>
      </c>
      <c r="O140" s="106"/>
      <c r="P140" s="103">
        <v>0</v>
      </c>
      <c r="Q140" s="107">
        <f t="shared" si="1"/>
        <v>0</v>
      </c>
      <c r="R140" s="107"/>
      <c r="S140" s="107"/>
      <c r="T140" s="108">
        <v>0</v>
      </c>
      <c r="U140" s="119"/>
      <c r="V140" s="110">
        <f t="shared" si="18"/>
        <v>0</v>
      </c>
      <c r="W140" s="103"/>
      <c r="X140" s="112">
        <f t="shared" si="23"/>
        <v>0</v>
      </c>
      <c r="Y140" s="112">
        <f t="shared" si="24"/>
        <v>0</v>
      </c>
      <c r="Z140" s="113">
        <f t="shared" si="25"/>
        <v>0</v>
      </c>
      <c r="AA140" s="113">
        <v>0</v>
      </c>
      <c r="AB140" s="114">
        <v>0</v>
      </c>
      <c r="AC140" s="11">
        <f t="shared" si="26"/>
        <v>0</v>
      </c>
      <c r="AD140" s="115" t="e">
        <f t="shared" si="20"/>
        <v>#REF!</v>
      </c>
      <c r="AE140" s="115">
        <f t="shared" si="21"/>
        <v>0</v>
      </c>
      <c r="AF140" s="115">
        <f t="shared" si="22"/>
        <v>0</v>
      </c>
      <c r="AG140" s="11"/>
      <c r="AH140" s="115">
        <f t="shared" si="27"/>
        <v>0</v>
      </c>
      <c r="AI140" s="115">
        <f t="shared" si="28"/>
        <v>0</v>
      </c>
      <c r="AJ140" s="115">
        <f t="shared" si="29"/>
        <v>0</v>
      </c>
      <c r="AL140" s="11" t="e">
        <f t="shared" si="30"/>
        <v>#REF!</v>
      </c>
    </row>
    <row r="141" spans="1:38" s="124" customFormat="1">
      <c r="A141" s="123"/>
      <c r="B141" s="123" t="s">
        <v>49</v>
      </c>
      <c r="C141" s="122" t="s">
        <v>213</v>
      </c>
      <c r="D141" s="118" t="s">
        <v>221</v>
      </c>
      <c r="E141" s="98"/>
      <c r="F141" s="99" t="e">
        <f>VLOOKUP(D141,#REF!,19,FALSE)</f>
        <v>#REF!</v>
      </c>
      <c r="G141" s="100"/>
      <c r="H141" s="100"/>
      <c r="I141" s="101"/>
      <c r="J141" s="102" t="e">
        <f t="shared" si="19"/>
        <v>#REF!</v>
      </c>
      <c r="K141" s="103"/>
      <c r="L141" s="104"/>
      <c r="M141" s="105"/>
      <c r="N141" s="103">
        <v>0</v>
      </c>
      <c r="O141" s="106"/>
      <c r="P141" s="103">
        <v>0</v>
      </c>
      <c r="Q141" s="107">
        <f t="shared" si="1"/>
        <v>0</v>
      </c>
      <c r="R141" s="107"/>
      <c r="S141" s="107"/>
      <c r="T141" s="108">
        <v>0</v>
      </c>
      <c r="U141" s="119"/>
      <c r="V141" s="110">
        <f t="shared" si="18"/>
        <v>0</v>
      </c>
      <c r="W141" s="103"/>
      <c r="X141" s="112">
        <f t="shared" si="23"/>
        <v>0</v>
      </c>
      <c r="Y141" s="112">
        <f t="shared" si="24"/>
        <v>0</v>
      </c>
      <c r="Z141" s="113">
        <f t="shared" si="25"/>
        <v>0</v>
      </c>
      <c r="AA141" s="113">
        <v>0</v>
      </c>
      <c r="AB141" s="114">
        <v>0</v>
      </c>
      <c r="AC141" s="11">
        <f t="shared" si="26"/>
        <v>0</v>
      </c>
      <c r="AD141" s="115" t="e">
        <f t="shared" si="20"/>
        <v>#REF!</v>
      </c>
      <c r="AE141" s="115">
        <f t="shared" si="21"/>
        <v>0</v>
      </c>
      <c r="AF141" s="115">
        <f t="shared" si="22"/>
        <v>0</v>
      </c>
      <c r="AG141" s="11"/>
      <c r="AH141" s="115">
        <f t="shared" si="27"/>
        <v>0</v>
      </c>
      <c r="AI141" s="115">
        <f t="shared" si="28"/>
        <v>0</v>
      </c>
      <c r="AJ141" s="115">
        <f t="shared" si="29"/>
        <v>0</v>
      </c>
      <c r="AL141" s="11" t="e">
        <f t="shared" si="30"/>
        <v>#REF!</v>
      </c>
    </row>
    <row r="142" spans="1:38" s="124" customFormat="1">
      <c r="A142" s="123"/>
      <c r="B142" s="123" t="s">
        <v>46</v>
      </c>
      <c r="C142" s="122" t="s">
        <v>213</v>
      </c>
      <c r="D142" s="118" t="s">
        <v>222</v>
      </c>
      <c r="E142" s="98"/>
      <c r="F142" s="99" t="e">
        <f>VLOOKUP(D142,#REF!,19,FALSE)</f>
        <v>#REF!</v>
      </c>
      <c r="G142" s="100"/>
      <c r="H142" s="100"/>
      <c r="I142" s="101"/>
      <c r="J142" s="102" t="e">
        <f t="shared" si="19"/>
        <v>#REF!</v>
      </c>
      <c r="K142" s="103"/>
      <c r="L142" s="104"/>
      <c r="M142" s="105"/>
      <c r="N142" s="103">
        <v>0</v>
      </c>
      <c r="O142" s="106"/>
      <c r="P142" s="103">
        <v>0</v>
      </c>
      <c r="Q142" s="107">
        <f t="shared" si="1"/>
        <v>0</v>
      </c>
      <c r="R142" s="107"/>
      <c r="S142" s="107"/>
      <c r="T142" s="108">
        <v>0</v>
      </c>
      <c r="U142" s="119"/>
      <c r="V142" s="110">
        <f t="shared" si="18"/>
        <v>0</v>
      </c>
      <c r="W142" s="103"/>
      <c r="X142" s="112">
        <f t="shared" si="23"/>
        <v>0</v>
      </c>
      <c r="Y142" s="112">
        <f t="shared" si="24"/>
        <v>0</v>
      </c>
      <c r="Z142" s="113">
        <f t="shared" si="25"/>
        <v>0</v>
      </c>
      <c r="AA142" s="113">
        <v>0</v>
      </c>
      <c r="AB142" s="114">
        <v>0</v>
      </c>
      <c r="AC142" s="11">
        <f t="shared" si="26"/>
        <v>0</v>
      </c>
      <c r="AD142" s="115">
        <f t="shared" si="20"/>
        <v>0</v>
      </c>
      <c r="AE142" s="115" t="e">
        <f t="shared" si="21"/>
        <v>#REF!</v>
      </c>
      <c r="AF142" s="115">
        <f t="shared" si="22"/>
        <v>0</v>
      </c>
      <c r="AG142" s="11"/>
      <c r="AH142" s="115">
        <f t="shared" si="27"/>
        <v>0</v>
      </c>
      <c r="AI142" s="115">
        <f t="shared" si="28"/>
        <v>0</v>
      </c>
      <c r="AJ142" s="115">
        <f t="shared" si="29"/>
        <v>0</v>
      </c>
      <c r="AL142" s="11" t="e">
        <f t="shared" si="30"/>
        <v>#REF!</v>
      </c>
    </row>
    <row r="143" spans="1:38" s="124" customFormat="1">
      <c r="A143" s="123"/>
      <c r="B143" s="116" t="s">
        <v>46</v>
      </c>
      <c r="C143" s="122"/>
      <c r="D143" s="120" t="s">
        <v>223</v>
      </c>
      <c r="E143" s="98"/>
      <c r="F143" s="99" t="e">
        <f>VLOOKUP(D143,#REF!,19,FALSE)</f>
        <v>#REF!</v>
      </c>
      <c r="G143" s="100"/>
      <c r="H143" s="100"/>
      <c r="I143" s="101"/>
      <c r="J143" s="102" t="e">
        <f t="shared" si="19"/>
        <v>#REF!</v>
      </c>
      <c r="K143" s="103"/>
      <c r="L143" s="104"/>
      <c r="M143" s="105">
        <v>14000</v>
      </c>
      <c r="N143" s="103">
        <v>0</v>
      </c>
      <c r="O143" s="106"/>
      <c r="P143" s="103">
        <v>0</v>
      </c>
      <c r="Q143" s="107">
        <f t="shared" si="1"/>
        <v>14000</v>
      </c>
      <c r="R143" s="107"/>
      <c r="S143" s="107"/>
      <c r="T143" s="108">
        <v>0</v>
      </c>
      <c r="U143" s="119"/>
      <c r="V143" s="110">
        <f t="shared" si="18"/>
        <v>-14000</v>
      </c>
      <c r="W143" s="103"/>
      <c r="X143" s="112">
        <f t="shared" si="23"/>
        <v>0</v>
      </c>
      <c r="Y143" s="112">
        <f t="shared" si="24"/>
        <v>14000</v>
      </c>
      <c r="Z143" s="113">
        <f t="shared" si="25"/>
        <v>0</v>
      </c>
      <c r="AA143" s="113">
        <v>0</v>
      </c>
      <c r="AB143" s="114">
        <v>0</v>
      </c>
      <c r="AC143" s="11">
        <f t="shared" si="26"/>
        <v>0</v>
      </c>
      <c r="AD143" s="115">
        <f t="shared" si="20"/>
        <v>0</v>
      </c>
      <c r="AE143" s="115" t="e">
        <f t="shared" si="21"/>
        <v>#REF!</v>
      </c>
      <c r="AF143" s="115">
        <f t="shared" si="22"/>
        <v>0</v>
      </c>
      <c r="AG143" s="11"/>
      <c r="AH143" s="115">
        <f t="shared" si="27"/>
        <v>0</v>
      </c>
      <c r="AI143" s="115">
        <f t="shared" si="28"/>
        <v>14000</v>
      </c>
      <c r="AJ143" s="115">
        <f t="shared" si="29"/>
        <v>0</v>
      </c>
      <c r="AL143" s="11" t="e">
        <f t="shared" si="30"/>
        <v>#REF!</v>
      </c>
    </row>
    <row r="144" spans="1:38">
      <c r="A144" s="129"/>
      <c r="B144" s="129" t="s">
        <v>49</v>
      </c>
      <c r="C144" s="96" t="s">
        <v>224</v>
      </c>
      <c r="D144" s="120" t="s">
        <v>225</v>
      </c>
      <c r="E144" s="98"/>
      <c r="F144" s="99" t="e">
        <f>VLOOKUP(D144,#REF!,19,FALSE)</f>
        <v>#REF!</v>
      </c>
      <c r="G144" s="100"/>
      <c r="H144" s="100"/>
      <c r="I144" s="101"/>
      <c r="J144" s="102" t="e">
        <f t="shared" si="19"/>
        <v>#REF!</v>
      </c>
      <c r="K144" s="103"/>
      <c r="L144" s="104"/>
      <c r="M144" s="105">
        <v>285000</v>
      </c>
      <c r="N144" s="103">
        <v>0</v>
      </c>
      <c r="O144" s="106"/>
      <c r="P144" s="103">
        <v>0</v>
      </c>
      <c r="Q144" s="107">
        <f t="shared" si="1"/>
        <v>285000</v>
      </c>
      <c r="R144" s="107"/>
      <c r="S144" s="107"/>
      <c r="T144" s="108">
        <f>280300.63-T145</f>
        <v>262759.91000000003</v>
      </c>
      <c r="U144" s="119"/>
      <c r="V144" s="110">
        <f t="shared" si="18"/>
        <v>-22240.089999999967</v>
      </c>
      <c r="W144" s="103"/>
      <c r="X144" s="112">
        <f t="shared" si="23"/>
        <v>285000</v>
      </c>
      <c r="Y144" s="112">
        <f t="shared" si="24"/>
        <v>0</v>
      </c>
      <c r="Z144" s="113">
        <f t="shared" si="25"/>
        <v>0</v>
      </c>
      <c r="AA144" s="113">
        <v>0</v>
      </c>
      <c r="AB144" s="114">
        <v>0</v>
      </c>
      <c r="AC144" s="11">
        <f t="shared" si="26"/>
        <v>0</v>
      </c>
      <c r="AD144" s="115" t="e">
        <f t="shared" si="20"/>
        <v>#REF!</v>
      </c>
      <c r="AE144" s="115">
        <f t="shared" si="21"/>
        <v>0</v>
      </c>
      <c r="AF144" s="115">
        <f t="shared" si="22"/>
        <v>0</v>
      </c>
      <c r="AG144" s="11"/>
      <c r="AH144" s="115">
        <f t="shared" si="27"/>
        <v>285000</v>
      </c>
      <c r="AI144" s="115">
        <f t="shared" si="28"/>
        <v>0</v>
      </c>
      <c r="AJ144" s="115">
        <f t="shared" si="29"/>
        <v>0</v>
      </c>
      <c r="AL144" s="11" t="e">
        <f t="shared" si="30"/>
        <v>#REF!</v>
      </c>
    </row>
    <row r="145" spans="1:38" s="141" customFormat="1">
      <c r="A145" s="129"/>
      <c r="B145" s="129" t="s">
        <v>49</v>
      </c>
      <c r="C145" s="96" t="s">
        <v>224</v>
      </c>
      <c r="D145" s="120" t="s">
        <v>226</v>
      </c>
      <c r="E145" s="98"/>
      <c r="F145" s="99" t="e">
        <f>VLOOKUP(D145,#REF!,19,FALSE)</f>
        <v>#REF!</v>
      </c>
      <c r="G145" s="100"/>
      <c r="H145" s="100"/>
      <c r="I145" s="101"/>
      <c r="J145" s="102" t="e">
        <f t="shared" si="19"/>
        <v>#REF!</v>
      </c>
      <c r="K145" s="103"/>
      <c r="L145" s="104"/>
      <c r="M145" s="105">
        <v>20000</v>
      </c>
      <c r="N145" s="103">
        <v>0</v>
      </c>
      <c r="O145" s="106"/>
      <c r="P145" s="103">
        <v>0</v>
      </c>
      <c r="Q145" s="107">
        <f t="shared" si="1"/>
        <v>20000</v>
      </c>
      <c r="R145" s="107"/>
      <c r="S145" s="107"/>
      <c r="T145" s="108">
        <v>17540.72</v>
      </c>
      <c r="U145" s="119"/>
      <c r="V145" s="110">
        <f t="shared" si="18"/>
        <v>-2459.2799999999988</v>
      </c>
      <c r="W145" s="103"/>
      <c r="X145" s="112">
        <f t="shared" si="23"/>
        <v>20000</v>
      </c>
      <c r="Y145" s="112">
        <f t="shared" si="24"/>
        <v>0</v>
      </c>
      <c r="Z145" s="113">
        <f t="shared" si="25"/>
        <v>0</v>
      </c>
      <c r="AA145" s="113">
        <v>0</v>
      </c>
      <c r="AB145" s="114">
        <v>0</v>
      </c>
      <c r="AC145" s="11">
        <f t="shared" si="26"/>
        <v>0</v>
      </c>
      <c r="AD145" s="115" t="e">
        <f t="shared" si="20"/>
        <v>#REF!</v>
      </c>
      <c r="AE145" s="115">
        <f t="shared" si="21"/>
        <v>0</v>
      </c>
      <c r="AF145" s="115">
        <f t="shared" si="22"/>
        <v>0</v>
      </c>
      <c r="AG145" s="11"/>
      <c r="AH145" s="115">
        <f t="shared" si="27"/>
        <v>20000</v>
      </c>
      <c r="AI145" s="115">
        <f t="shared" si="28"/>
        <v>0</v>
      </c>
      <c r="AJ145" s="115">
        <f t="shared" si="29"/>
        <v>0</v>
      </c>
      <c r="AL145" s="11" t="e">
        <f t="shared" si="30"/>
        <v>#REF!</v>
      </c>
    </row>
    <row r="146" spans="1:38" s="141" customFormat="1">
      <c r="A146" s="129"/>
      <c r="B146" s="129" t="s">
        <v>81</v>
      </c>
      <c r="C146" s="128" t="s">
        <v>227</v>
      </c>
      <c r="D146" s="120" t="s">
        <v>228</v>
      </c>
      <c r="E146" s="98"/>
      <c r="F146" s="99" t="e">
        <f>VLOOKUP(D146,#REF!,19,FALSE)</f>
        <v>#REF!</v>
      </c>
      <c r="G146" s="100"/>
      <c r="H146" s="100"/>
      <c r="I146" s="101"/>
      <c r="J146" s="102" t="e">
        <f t="shared" si="19"/>
        <v>#REF!</v>
      </c>
      <c r="K146" s="103"/>
      <c r="L146" s="104"/>
      <c r="M146" s="105"/>
      <c r="N146" s="103">
        <v>0</v>
      </c>
      <c r="O146" s="106"/>
      <c r="P146" s="103">
        <v>0</v>
      </c>
      <c r="Q146" s="107">
        <f t="shared" ref="Q146:Q213" si="35">L146+M146</f>
        <v>0</v>
      </c>
      <c r="R146" s="107"/>
      <c r="S146" s="107"/>
      <c r="T146" s="108">
        <v>0</v>
      </c>
      <c r="U146" s="119"/>
      <c r="V146" s="110">
        <f t="shared" si="18"/>
        <v>0</v>
      </c>
      <c r="W146" s="103"/>
      <c r="X146" s="112">
        <f t="shared" si="23"/>
        <v>0</v>
      </c>
      <c r="Y146" s="112">
        <f t="shared" si="24"/>
        <v>0</v>
      </c>
      <c r="Z146" s="113">
        <f t="shared" si="25"/>
        <v>0</v>
      </c>
      <c r="AA146" s="113">
        <v>0</v>
      </c>
      <c r="AB146" s="114">
        <v>0</v>
      </c>
      <c r="AC146" s="11">
        <f t="shared" si="26"/>
        <v>0</v>
      </c>
      <c r="AD146" s="115">
        <f t="shared" si="20"/>
        <v>0</v>
      </c>
      <c r="AE146" s="115">
        <f t="shared" si="21"/>
        <v>0</v>
      </c>
      <c r="AF146" s="115" t="e">
        <f t="shared" si="22"/>
        <v>#REF!</v>
      </c>
      <c r="AG146" s="11"/>
      <c r="AH146" s="115">
        <f t="shared" si="27"/>
        <v>0</v>
      </c>
      <c r="AI146" s="115">
        <f t="shared" si="28"/>
        <v>0</v>
      </c>
      <c r="AJ146" s="115">
        <f t="shared" si="29"/>
        <v>0</v>
      </c>
      <c r="AL146" s="11" t="e">
        <f t="shared" si="30"/>
        <v>#REF!</v>
      </c>
    </row>
    <row r="147" spans="1:38">
      <c r="A147" s="129"/>
      <c r="B147" s="129" t="s">
        <v>46</v>
      </c>
      <c r="C147" s="96"/>
      <c r="D147" s="120" t="s">
        <v>229</v>
      </c>
      <c r="E147" s="98"/>
      <c r="F147" s="99" t="e">
        <f>VLOOKUP(D147,#REF!,19,FALSE)</f>
        <v>#REF!</v>
      </c>
      <c r="G147" s="100"/>
      <c r="H147" s="100"/>
      <c r="I147" s="101"/>
      <c r="J147" s="102" t="e">
        <f t="shared" si="19"/>
        <v>#REF!</v>
      </c>
      <c r="K147" s="103"/>
      <c r="L147" s="104"/>
      <c r="M147" s="105"/>
      <c r="N147" s="103">
        <v>0</v>
      </c>
      <c r="O147" s="106"/>
      <c r="P147" s="103">
        <v>0</v>
      </c>
      <c r="Q147" s="107">
        <f t="shared" si="35"/>
        <v>0</v>
      </c>
      <c r="R147" s="107"/>
      <c r="S147" s="107"/>
      <c r="T147" s="108">
        <v>0</v>
      </c>
      <c r="U147" s="119"/>
      <c r="V147" s="110">
        <f t="shared" si="18"/>
        <v>0</v>
      </c>
      <c r="W147" s="103"/>
      <c r="X147" s="112">
        <f t="shared" si="23"/>
        <v>0</v>
      </c>
      <c r="Y147" s="112">
        <f t="shared" si="24"/>
        <v>0</v>
      </c>
      <c r="Z147" s="113">
        <f t="shared" si="25"/>
        <v>0</v>
      </c>
      <c r="AA147" s="113">
        <v>0</v>
      </c>
      <c r="AB147" s="114">
        <v>0</v>
      </c>
      <c r="AC147" s="11">
        <f t="shared" si="26"/>
        <v>0</v>
      </c>
      <c r="AD147" s="115">
        <f t="shared" si="20"/>
        <v>0</v>
      </c>
      <c r="AE147" s="115" t="e">
        <f t="shared" si="21"/>
        <v>#REF!</v>
      </c>
      <c r="AF147" s="115">
        <f t="shared" si="22"/>
        <v>0</v>
      </c>
      <c r="AG147" s="11"/>
      <c r="AH147" s="115">
        <f t="shared" si="27"/>
        <v>0</v>
      </c>
      <c r="AI147" s="115">
        <f t="shared" si="28"/>
        <v>0</v>
      </c>
      <c r="AJ147" s="115">
        <f t="shared" si="29"/>
        <v>0</v>
      </c>
      <c r="AL147" s="11" t="e">
        <f t="shared" si="30"/>
        <v>#REF!</v>
      </c>
    </row>
    <row r="148" spans="1:38">
      <c r="A148" s="116"/>
      <c r="B148" s="116" t="s">
        <v>46</v>
      </c>
      <c r="C148" s="122" t="s">
        <v>230</v>
      </c>
      <c r="D148" s="120" t="s">
        <v>231</v>
      </c>
      <c r="E148" s="98"/>
      <c r="F148" s="99" t="e">
        <f>VLOOKUP(D148,#REF!,19,FALSE)</f>
        <v>#REF!</v>
      </c>
      <c r="G148" s="100"/>
      <c r="H148" s="100"/>
      <c r="I148" s="101"/>
      <c r="J148" s="102" t="e">
        <f t="shared" si="19"/>
        <v>#REF!</v>
      </c>
      <c r="K148" s="103"/>
      <c r="L148" s="104"/>
      <c r="M148" s="105"/>
      <c r="N148" s="103">
        <v>0</v>
      </c>
      <c r="O148" s="106"/>
      <c r="P148" s="103">
        <v>0</v>
      </c>
      <c r="Q148" s="107">
        <f t="shared" si="35"/>
        <v>0</v>
      </c>
      <c r="R148" s="107"/>
      <c r="S148" s="107"/>
      <c r="T148" s="108">
        <v>41.2</v>
      </c>
      <c r="U148" s="119"/>
      <c r="V148" s="110">
        <f t="shared" ref="V148:V211" si="36">IF(T148="","",T148-Q148)</f>
        <v>41.2</v>
      </c>
      <c r="W148" s="103"/>
      <c r="X148" s="112">
        <f t="shared" si="23"/>
        <v>0</v>
      </c>
      <c r="Y148" s="112">
        <f t="shared" si="24"/>
        <v>0</v>
      </c>
      <c r="Z148" s="113">
        <f t="shared" si="25"/>
        <v>0</v>
      </c>
      <c r="AA148" s="113">
        <v>0</v>
      </c>
      <c r="AB148" s="114">
        <v>0</v>
      </c>
      <c r="AC148" s="11">
        <f t="shared" si="26"/>
        <v>0</v>
      </c>
      <c r="AD148" s="115">
        <f t="shared" si="20"/>
        <v>0</v>
      </c>
      <c r="AE148" s="115" t="e">
        <f t="shared" si="21"/>
        <v>#REF!</v>
      </c>
      <c r="AF148" s="115">
        <f t="shared" si="22"/>
        <v>0</v>
      </c>
      <c r="AG148" s="11"/>
      <c r="AH148" s="115">
        <f t="shared" si="27"/>
        <v>0</v>
      </c>
      <c r="AI148" s="115">
        <f t="shared" si="28"/>
        <v>0</v>
      </c>
      <c r="AJ148" s="115">
        <f t="shared" si="29"/>
        <v>0</v>
      </c>
      <c r="AL148" s="11" t="e">
        <f t="shared" si="30"/>
        <v>#REF!</v>
      </c>
    </row>
    <row r="149" spans="1:38">
      <c r="A149" s="129"/>
      <c r="B149" s="129" t="s">
        <v>49</v>
      </c>
      <c r="C149" s="96"/>
      <c r="D149" s="120" t="s">
        <v>232</v>
      </c>
      <c r="E149" s="98">
        <f>3776.51+3619.83</f>
        <v>7396.34</v>
      </c>
      <c r="F149" s="99" t="e">
        <f>VLOOKUP(D149,#REF!,19,FALSE)</f>
        <v>#REF!</v>
      </c>
      <c r="G149" s="100"/>
      <c r="H149" s="100"/>
      <c r="I149" s="101"/>
      <c r="J149" s="102" t="e">
        <f t="shared" si="19"/>
        <v>#REF!</v>
      </c>
      <c r="K149" s="103"/>
      <c r="L149" s="104"/>
      <c r="M149" s="105"/>
      <c r="N149" s="103">
        <v>0</v>
      </c>
      <c r="O149" s="106"/>
      <c r="P149" s="103">
        <v>0</v>
      </c>
      <c r="Q149" s="107">
        <f t="shared" si="35"/>
        <v>0</v>
      </c>
      <c r="R149" s="107"/>
      <c r="S149" s="107"/>
      <c r="T149" s="108">
        <v>0</v>
      </c>
      <c r="U149" s="119"/>
      <c r="V149" s="110">
        <f t="shared" si="36"/>
        <v>0</v>
      </c>
      <c r="W149" s="103"/>
      <c r="X149" s="112">
        <f t="shared" si="23"/>
        <v>0</v>
      </c>
      <c r="Y149" s="112">
        <f t="shared" si="24"/>
        <v>0</v>
      </c>
      <c r="Z149" s="113">
        <f t="shared" si="25"/>
        <v>0</v>
      </c>
      <c r="AA149" s="113">
        <v>0</v>
      </c>
      <c r="AB149" s="114">
        <v>0</v>
      </c>
      <c r="AC149" s="11">
        <f t="shared" si="26"/>
        <v>0</v>
      </c>
      <c r="AD149" s="115" t="e">
        <f t="shared" si="20"/>
        <v>#REF!</v>
      </c>
      <c r="AE149" s="115">
        <f t="shared" si="21"/>
        <v>0</v>
      </c>
      <c r="AF149" s="115">
        <f t="shared" si="22"/>
        <v>0</v>
      </c>
      <c r="AG149" s="11"/>
      <c r="AH149" s="115">
        <f t="shared" si="27"/>
        <v>0</v>
      </c>
      <c r="AI149" s="115">
        <f t="shared" si="28"/>
        <v>0</v>
      </c>
      <c r="AJ149" s="115">
        <f t="shared" si="29"/>
        <v>0</v>
      </c>
      <c r="AL149" s="11" t="e">
        <f t="shared" si="30"/>
        <v>#REF!</v>
      </c>
    </row>
    <row r="150" spans="1:38">
      <c r="A150" s="129"/>
      <c r="B150" s="129" t="s">
        <v>81</v>
      </c>
      <c r="C150" s="96"/>
      <c r="D150" s="120" t="s">
        <v>233</v>
      </c>
      <c r="E150" s="98"/>
      <c r="F150" s="99" t="e">
        <f>VLOOKUP(D150,#REF!,19,FALSE)</f>
        <v>#REF!</v>
      </c>
      <c r="G150" s="100"/>
      <c r="H150" s="100"/>
      <c r="I150" s="101"/>
      <c r="J150" s="102" t="e">
        <f t="shared" ref="J150:J214" si="37">SUM(E150:I150)</f>
        <v>#REF!</v>
      </c>
      <c r="K150" s="103"/>
      <c r="L150" s="104"/>
      <c r="M150" s="105"/>
      <c r="N150" s="103">
        <v>0</v>
      </c>
      <c r="O150" s="106"/>
      <c r="P150" s="103">
        <v>0</v>
      </c>
      <c r="Q150" s="107">
        <f t="shared" si="35"/>
        <v>0</v>
      </c>
      <c r="R150" s="107"/>
      <c r="S150" s="107"/>
      <c r="T150" s="108">
        <v>6683.2</v>
      </c>
      <c r="U150" s="119"/>
      <c r="V150" s="110">
        <f t="shared" si="36"/>
        <v>6683.2</v>
      </c>
      <c r="W150" s="103"/>
      <c r="X150" s="112">
        <f t="shared" si="23"/>
        <v>0</v>
      </c>
      <c r="Y150" s="112">
        <f t="shared" si="24"/>
        <v>0</v>
      </c>
      <c r="Z150" s="113">
        <f t="shared" si="25"/>
        <v>0</v>
      </c>
      <c r="AA150" s="113">
        <v>0</v>
      </c>
      <c r="AB150" s="114">
        <v>0</v>
      </c>
      <c r="AC150" s="11">
        <f t="shared" si="26"/>
        <v>0</v>
      </c>
      <c r="AD150" s="115">
        <f t="shared" si="20"/>
        <v>0</v>
      </c>
      <c r="AE150" s="115">
        <f t="shared" si="21"/>
        <v>0</v>
      </c>
      <c r="AF150" s="115" t="e">
        <f t="shared" si="22"/>
        <v>#REF!</v>
      </c>
      <c r="AG150" s="11"/>
      <c r="AH150" s="115">
        <f t="shared" si="27"/>
        <v>0</v>
      </c>
      <c r="AI150" s="115">
        <f t="shared" si="28"/>
        <v>0</v>
      </c>
      <c r="AJ150" s="115">
        <f t="shared" si="29"/>
        <v>0</v>
      </c>
      <c r="AL150" s="11" t="e">
        <f t="shared" si="30"/>
        <v>#REF!</v>
      </c>
    </row>
    <row r="151" spans="1:38">
      <c r="A151" s="129"/>
      <c r="B151" s="129" t="s">
        <v>49</v>
      </c>
      <c r="C151" s="96"/>
      <c r="D151" s="120" t="s">
        <v>234</v>
      </c>
      <c r="E151" s="98"/>
      <c r="F151" s="99" t="e">
        <f>VLOOKUP(D151,#REF!,19,FALSE)</f>
        <v>#REF!</v>
      </c>
      <c r="G151" s="100"/>
      <c r="H151" s="100"/>
      <c r="I151" s="101"/>
      <c r="J151" s="102" t="e">
        <f t="shared" si="37"/>
        <v>#REF!</v>
      </c>
      <c r="K151" s="103"/>
      <c r="L151" s="104"/>
      <c r="M151" s="105"/>
      <c r="N151" s="103">
        <v>0</v>
      </c>
      <c r="O151" s="106"/>
      <c r="P151" s="103">
        <v>0</v>
      </c>
      <c r="Q151" s="107">
        <f t="shared" si="35"/>
        <v>0</v>
      </c>
      <c r="R151" s="107"/>
      <c r="S151" s="107"/>
      <c r="T151" s="108">
        <v>0</v>
      </c>
      <c r="U151" s="119"/>
      <c r="V151" s="110">
        <f t="shared" si="36"/>
        <v>0</v>
      </c>
      <c r="W151" s="103"/>
      <c r="X151" s="112">
        <f t="shared" si="23"/>
        <v>0</v>
      </c>
      <c r="Y151" s="112">
        <f t="shared" si="24"/>
        <v>0</v>
      </c>
      <c r="Z151" s="113">
        <f t="shared" si="25"/>
        <v>0</v>
      </c>
      <c r="AA151" s="113">
        <v>0</v>
      </c>
      <c r="AB151" s="114">
        <v>0</v>
      </c>
      <c r="AC151" s="11">
        <f t="shared" si="26"/>
        <v>0</v>
      </c>
      <c r="AD151" s="115" t="e">
        <f t="shared" si="20"/>
        <v>#REF!</v>
      </c>
      <c r="AE151" s="115">
        <f t="shared" si="21"/>
        <v>0</v>
      </c>
      <c r="AF151" s="115">
        <f t="shared" si="22"/>
        <v>0</v>
      </c>
      <c r="AG151" s="11"/>
      <c r="AH151" s="115">
        <f t="shared" si="27"/>
        <v>0</v>
      </c>
      <c r="AI151" s="115">
        <f t="shared" si="28"/>
        <v>0</v>
      </c>
      <c r="AJ151" s="115">
        <f t="shared" si="29"/>
        <v>0</v>
      </c>
      <c r="AL151" s="11" t="e">
        <f t="shared" si="30"/>
        <v>#REF!</v>
      </c>
    </row>
    <row r="152" spans="1:38">
      <c r="A152" s="129"/>
      <c r="B152" s="129" t="s">
        <v>49</v>
      </c>
      <c r="C152" s="96" t="s">
        <v>235</v>
      </c>
      <c r="D152" s="120" t="s">
        <v>236</v>
      </c>
      <c r="E152" s="98"/>
      <c r="F152" s="99" t="e">
        <f>VLOOKUP(D152,#REF!,19,FALSE)</f>
        <v>#REF!</v>
      </c>
      <c r="G152" s="100"/>
      <c r="H152" s="100"/>
      <c r="I152" s="101"/>
      <c r="J152" s="102" t="e">
        <f t="shared" si="37"/>
        <v>#REF!</v>
      </c>
      <c r="K152" s="103"/>
      <c r="L152" s="104"/>
      <c r="M152" s="105"/>
      <c r="N152" s="103">
        <v>0</v>
      </c>
      <c r="O152" s="106"/>
      <c r="P152" s="103">
        <v>0</v>
      </c>
      <c r="Q152" s="107">
        <f t="shared" si="35"/>
        <v>0</v>
      </c>
      <c r="R152" s="107"/>
      <c r="S152" s="107"/>
      <c r="T152" s="108">
        <v>0</v>
      </c>
      <c r="U152" s="119"/>
      <c r="V152" s="110">
        <f t="shared" si="36"/>
        <v>0</v>
      </c>
      <c r="W152" s="103"/>
      <c r="X152" s="112">
        <f t="shared" si="23"/>
        <v>0</v>
      </c>
      <c r="Y152" s="112">
        <f t="shared" si="24"/>
        <v>0</v>
      </c>
      <c r="Z152" s="113">
        <f t="shared" si="25"/>
        <v>0</v>
      </c>
      <c r="AA152" s="113">
        <v>0</v>
      </c>
      <c r="AB152" s="114">
        <v>0</v>
      </c>
      <c r="AC152" s="11">
        <f t="shared" si="26"/>
        <v>0</v>
      </c>
      <c r="AD152" s="115" t="e">
        <f t="shared" si="20"/>
        <v>#REF!</v>
      </c>
      <c r="AE152" s="115">
        <f t="shared" si="21"/>
        <v>0</v>
      </c>
      <c r="AF152" s="115">
        <f t="shared" si="22"/>
        <v>0</v>
      </c>
      <c r="AG152" s="11"/>
      <c r="AH152" s="115">
        <f t="shared" si="27"/>
        <v>0</v>
      </c>
      <c r="AI152" s="115">
        <f t="shared" si="28"/>
        <v>0</v>
      </c>
      <c r="AJ152" s="115">
        <f t="shared" si="29"/>
        <v>0</v>
      </c>
      <c r="AL152" s="11" t="e">
        <f t="shared" si="30"/>
        <v>#REF!</v>
      </c>
    </row>
    <row r="153" spans="1:38">
      <c r="A153" s="129"/>
      <c r="B153" s="129" t="s">
        <v>81</v>
      </c>
      <c r="C153" s="96" t="s">
        <v>235</v>
      </c>
      <c r="D153" s="120" t="s">
        <v>237</v>
      </c>
      <c r="E153" s="98"/>
      <c r="F153" s="99" t="e">
        <f>VLOOKUP(D153,#REF!,19,FALSE)</f>
        <v>#REF!</v>
      </c>
      <c r="G153" s="100"/>
      <c r="H153" s="100"/>
      <c r="I153" s="101"/>
      <c r="J153" s="102" t="e">
        <f t="shared" si="37"/>
        <v>#REF!</v>
      </c>
      <c r="K153" s="103"/>
      <c r="L153" s="104"/>
      <c r="M153" s="105"/>
      <c r="N153" s="103">
        <v>0</v>
      </c>
      <c r="O153" s="106"/>
      <c r="P153" s="103">
        <v>0</v>
      </c>
      <c r="Q153" s="107">
        <f t="shared" si="35"/>
        <v>0</v>
      </c>
      <c r="R153" s="107"/>
      <c r="S153" s="107"/>
      <c r="T153" s="108">
        <v>0</v>
      </c>
      <c r="U153" s="119"/>
      <c r="V153" s="110">
        <f t="shared" si="36"/>
        <v>0</v>
      </c>
      <c r="W153" s="103"/>
      <c r="X153" s="112">
        <f t="shared" si="23"/>
        <v>0</v>
      </c>
      <c r="Y153" s="112">
        <f t="shared" si="24"/>
        <v>0</v>
      </c>
      <c r="Z153" s="113">
        <f t="shared" si="25"/>
        <v>0</v>
      </c>
      <c r="AA153" s="113">
        <v>0</v>
      </c>
      <c r="AB153" s="114">
        <v>0</v>
      </c>
      <c r="AC153" s="11">
        <f t="shared" si="26"/>
        <v>0</v>
      </c>
      <c r="AD153" s="115">
        <f t="shared" ref="AD153:AD217" si="38">IF(B153="D",J153,0)</f>
        <v>0</v>
      </c>
      <c r="AE153" s="115">
        <f t="shared" ref="AE153:AE217" si="39">IF(B153="M",J153,0)</f>
        <v>0</v>
      </c>
      <c r="AF153" s="115" t="e">
        <f t="shared" ref="AF153:AF217" si="40">IF(B153="V",J153,0)</f>
        <v>#REF!</v>
      </c>
      <c r="AG153" s="11"/>
      <c r="AH153" s="115">
        <f t="shared" si="27"/>
        <v>0</v>
      </c>
      <c r="AI153" s="115">
        <f t="shared" si="28"/>
        <v>0</v>
      </c>
      <c r="AJ153" s="115">
        <f t="shared" si="29"/>
        <v>0</v>
      </c>
      <c r="AL153" s="11" t="e">
        <f t="shared" ref="AL153:AL217" si="41">SUM(AD153:AJ153)</f>
        <v>#REF!</v>
      </c>
    </row>
    <row r="154" spans="1:38">
      <c r="A154" s="129"/>
      <c r="B154" s="129" t="s">
        <v>46</v>
      </c>
      <c r="C154" s="96" t="s">
        <v>238</v>
      </c>
      <c r="D154" s="120" t="s">
        <v>239</v>
      </c>
      <c r="E154" s="98"/>
      <c r="F154" s="99" t="e">
        <f>VLOOKUP(D154,#REF!,19,FALSE)</f>
        <v>#REF!</v>
      </c>
      <c r="G154" s="100"/>
      <c r="H154" s="100"/>
      <c r="I154" s="101"/>
      <c r="J154" s="102" t="e">
        <f t="shared" si="37"/>
        <v>#REF!</v>
      </c>
      <c r="K154" s="103"/>
      <c r="L154" s="104"/>
      <c r="M154" s="105"/>
      <c r="N154" s="103">
        <v>0</v>
      </c>
      <c r="O154" s="106"/>
      <c r="P154" s="103">
        <v>0</v>
      </c>
      <c r="Q154" s="107">
        <f t="shared" si="35"/>
        <v>0</v>
      </c>
      <c r="R154" s="107"/>
      <c r="S154" s="107"/>
      <c r="T154" s="108">
        <v>0</v>
      </c>
      <c r="U154" s="119"/>
      <c r="V154" s="110">
        <f t="shared" si="36"/>
        <v>0</v>
      </c>
      <c r="W154" s="103"/>
      <c r="X154" s="112">
        <f t="shared" si="23"/>
        <v>0</v>
      </c>
      <c r="Y154" s="112">
        <f t="shared" si="24"/>
        <v>0</v>
      </c>
      <c r="Z154" s="113">
        <f t="shared" si="25"/>
        <v>0</v>
      </c>
      <c r="AA154" s="113">
        <v>0</v>
      </c>
      <c r="AB154" s="114">
        <v>0</v>
      </c>
      <c r="AC154" s="11">
        <f t="shared" si="26"/>
        <v>0</v>
      </c>
      <c r="AD154" s="115">
        <f t="shared" si="38"/>
        <v>0</v>
      </c>
      <c r="AE154" s="115" t="e">
        <f t="shared" si="39"/>
        <v>#REF!</v>
      </c>
      <c r="AF154" s="115">
        <f t="shared" si="40"/>
        <v>0</v>
      </c>
      <c r="AG154" s="11"/>
      <c r="AH154" s="115">
        <f t="shared" ref="AH154:AH218" si="42">IF(B154="D",Q154,0)</f>
        <v>0</v>
      </c>
      <c r="AI154" s="115">
        <f t="shared" ref="AI154:AI218" si="43">IF(B154="M",Q154,0)</f>
        <v>0</v>
      </c>
      <c r="AJ154" s="115">
        <f t="shared" ref="AJ154:AJ218" si="44">IF(B154="V",Q154,0)</f>
        <v>0</v>
      </c>
      <c r="AL154" s="11" t="e">
        <f t="shared" si="41"/>
        <v>#REF!</v>
      </c>
    </row>
    <row r="155" spans="1:38">
      <c r="A155" s="129"/>
      <c r="B155" s="129" t="s">
        <v>46</v>
      </c>
      <c r="C155" s="96" t="s">
        <v>240</v>
      </c>
      <c r="D155" s="120" t="s">
        <v>241</v>
      </c>
      <c r="E155" s="98"/>
      <c r="F155" s="99" t="e">
        <f>VLOOKUP(D155,#REF!,19,FALSE)</f>
        <v>#REF!</v>
      </c>
      <c r="G155" s="100"/>
      <c r="H155" s="100"/>
      <c r="I155" s="101"/>
      <c r="J155" s="102" t="e">
        <f t="shared" si="37"/>
        <v>#REF!</v>
      </c>
      <c r="K155" s="103"/>
      <c r="L155" s="104"/>
      <c r="M155" s="105"/>
      <c r="N155" s="103">
        <v>0</v>
      </c>
      <c r="O155" s="106"/>
      <c r="P155" s="103">
        <v>0</v>
      </c>
      <c r="Q155" s="107">
        <f t="shared" si="35"/>
        <v>0</v>
      </c>
      <c r="R155" s="107"/>
      <c r="S155" s="107"/>
      <c r="T155" s="108">
        <v>0</v>
      </c>
      <c r="U155" s="119"/>
      <c r="V155" s="110">
        <f t="shared" si="36"/>
        <v>0</v>
      </c>
      <c r="W155" s="103"/>
      <c r="X155" s="112">
        <f t="shared" ref="X155:X219" si="45">IF(B155="D",Q155,0)</f>
        <v>0</v>
      </c>
      <c r="Y155" s="112">
        <f t="shared" ref="Y155:Y219" si="46">IF(B155="M",Q155,0)</f>
        <v>0</v>
      </c>
      <c r="Z155" s="113">
        <f t="shared" ref="Z155:Z219" si="47">IF(B155="V",Q155,0)</f>
        <v>0</v>
      </c>
      <c r="AA155" s="113">
        <v>0</v>
      </c>
      <c r="AB155" s="114">
        <v>0</v>
      </c>
      <c r="AC155" s="11">
        <f t="shared" ref="AC155:AC219" si="48">(L155+M155)-(X155+Y155+Z155+AA155+AB155)</f>
        <v>0</v>
      </c>
      <c r="AD155" s="115">
        <f t="shared" si="38"/>
        <v>0</v>
      </c>
      <c r="AE155" s="115" t="e">
        <f t="shared" si="39"/>
        <v>#REF!</v>
      </c>
      <c r="AF155" s="115">
        <f t="shared" si="40"/>
        <v>0</v>
      </c>
      <c r="AG155" s="11"/>
      <c r="AH155" s="115">
        <f t="shared" si="42"/>
        <v>0</v>
      </c>
      <c r="AI155" s="115">
        <f t="shared" si="43"/>
        <v>0</v>
      </c>
      <c r="AJ155" s="115">
        <f t="shared" si="44"/>
        <v>0</v>
      </c>
      <c r="AL155" s="11" t="e">
        <f t="shared" si="41"/>
        <v>#REF!</v>
      </c>
    </row>
    <row r="156" spans="1:38" s="124" customFormat="1">
      <c r="A156" s="123"/>
      <c r="B156" s="123" t="s">
        <v>81</v>
      </c>
      <c r="C156" s="122"/>
      <c r="D156" s="281" t="s">
        <v>242</v>
      </c>
      <c r="E156" s="98"/>
      <c r="F156" s="99" t="e">
        <f>VLOOKUP(D156,#REF!,19,FALSE)</f>
        <v>#REF!</v>
      </c>
      <c r="G156" s="100"/>
      <c r="H156" s="100"/>
      <c r="I156" s="125">
        <v>7837.5</v>
      </c>
      <c r="J156" s="102" t="e">
        <f t="shared" si="37"/>
        <v>#REF!</v>
      </c>
      <c r="K156" s="103"/>
      <c r="L156" s="104"/>
      <c r="M156" s="105"/>
      <c r="N156" s="103">
        <v>0</v>
      </c>
      <c r="O156" s="106"/>
      <c r="P156" s="103">
        <v>0</v>
      </c>
      <c r="Q156" s="107">
        <f t="shared" si="35"/>
        <v>0</v>
      </c>
      <c r="R156" s="107"/>
      <c r="S156" s="107"/>
      <c r="T156" s="108">
        <v>0</v>
      </c>
      <c r="U156" s="119"/>
      <c r="V156" s="110">
        <f t="shared" si="36"/>
        <v>0</v>
      </c>
      <c r="W156" s="103"/>
      <c r="X156" s="112">
        <f t="shared" si="45"/>
        <v>0</v>
      </c>
      <c r="Y156" s="112">
        <f t="shared" si="46"/>
        <v>0</v>
      </c>
      <c r="Z156" s="113">
        <f t="shared" si="47"/>
        <v>0</v>
      </c>
      <c r="AA156" s="113">
        <v>0</v>
      </c>
      <c r="AB156" s="114">
        <v>0</v>
      </c>
      <c r="AC156" s="11">
        <f t="shared" si="48"/>
        <v>0</v>
      </c>
      <c r="AD156" s="115">
        <f t="shared" si="38"/>
        <v>0</v>
      </c>
      <c r="AE156" s="115">
        <f t="shared" si="39"/>
        <v>0</v>
      </c>
      <c r="AF156" s="115" t="e">
        <f t="shared" si="40"/>
        <v>#REF!</v>
      </c>
      <c r="AG156" s="11"/>
      <c r="AH156" s="115">
        <f t="shared" si="42"/>
        <v>0</v>
      </c>
      <c r="AI156" s="115">
        <f t="shared" si="43"/>
        <v>0</v>
      </c>
      <c r="AJ156" s="115">
        <f t="shared" si="44"/>
        <v>0</v>
      </c>
      <c r="AL156" s="11" t="e">
        <f t="shared" si="41"/>
        <v>#REF!</v>
      </c>
    </row>
    <row r="157" spans="1:38" s="124" customFormat="1">
      <c r="A157" s="123"/>
      <c r="B157" s="123" t="s">
        <v>49</v>
      </c>
      <c r="C157" s="122"/>
      <c r="D157" s="142" t="s">
        <v>244</v>
      </c>
      <c r="E157" s="98"/>
      <c r="F157" s="99" t="e">
        <f>VLOOKUP(D157,#REF!,19,FALSE)</f>
        <v>#REF!</v>
      </c>
      <c r="G157" s="100"/>
      <c r="H157" s="100"/>
      <c r="I157" s="101"/>
      <c r="J157" s="102" t="e">
        <f t="shared" si="37"/>
        <v>#REF!</v>
      </c>
      <c r="K157" s="103"/>
      <c r="L157" s="104"/>
      <c r="M157" s="105"/>
      <c r="N157" s="103">
        <v>0</v>
      </c>
      <c r="O157" s="106"/>
      <c r="P157" s="103">
        <v>0</v>
      </c>
      <c r="Q157" s="107">
        <f t="shared" si="35"/>
        <v>0</v>
      </c>
      <c r="R157" s="107"/>
      <c r="S157" s="107"/>
      <c r="T157" s="108">
        <v>8756</v>
      </c>
      <c r="U157" s="119"/>
      <c r="V157" s="110">
        <f t="shared" si="36"/>
        <v>8756</v>
      </c>
      <c r="W157" s="103"/>
      <c r="X157" s="112">
        <f t="shared" si="45"/>
        <v>0</v>
      </c>
      <c r="Y157" s="112">
        <f t="shared" si="46"/>
        <v>0</v>
      </c>
      <c r="Z157" s="113">
        <f t="shared" si="47"/>
        <v>0</v>
      </c>
      <c r="AA157" s="113">
        <v>0</v>
      </c>
      <c r="AB157" s="114">
        <v>0</v>
      </c>
      <c r="AC157" s="11">
        <f t="shared" si="48"/>
        <v>0</v>
      </c>
      <c r="AD157" s="115" t="e">
        <f t="shared" si="38"/>
        <v>#REF!</v>
      </c>
      <c r="AE157" s="115">
        <f t="shared" si="39"/>
        <v>0</v>
      </c>
      <c r="AF157" s="115">
        <f t="shared" si="40"/>
        <v>0</v>
      </c>
      <c r="AG157" s="11"/>
      <c r="AH157" s="115">
        <f t="shared" si="42"/>
        <v>0</v>
      </c>
      <c r="AI157" s="115">
        <f t="shared" si="43"/>
        <v>0</v>
      </c>
      <c r="AJ157" s="115">
        <f t="shared" si="44"/>
        <v>0</v>
      </c>
      <c r="AL157" s="11" t="e">
        <f t="shared" si="41"/>
        <v>#REF!</v>
      </c>
    </row>
    <row r="158" spans="1:38" s="124" customFormat="1">
      <c r="A158" s="123"/>
      <c r="B158" s="123" t="s">
        <v>46</v>
      </c>
      <c r="C158" s="122" t="s">
        <v>245</v>
      </c>
      <c r="D158" s="142" t="s">
        <v>246</v>
      </c>
      <c r="E158" s="98"/>
      <c r="F158" s="99" t="e">
        <f>VLOOKUP(D158,#REF!,19,FALSE)</f>
        <v>#REF!</v>
      </c>
      <c r="G158" s="100"/>
      <c r="H158" s="100"/>
      <c r="I158" s="125">
        <v>10193.83</v>
      </c>
      <c r="J158" s="102" t="e">
        <f t="shared" si="37"/>
        <v>#REF!</v>
      </c>
      <c r="K158" s="103"/>
      <c r="L158" s="104"/>
      <c r="M158" s="105"/>
      <c r="N158" s="103">
        <v>0</v>
      </c>
      <c r="O158" s="106"/>
      <c r="P158" s="103">
        <v>0</v>
      </c>
      <c r="Q158" s="107">
        <f t="shared" si="35"/>
        <v>0</v>
      </c>
      <c r="R158" s="107"/>
      <c r="S158" s="107"/>
      <c r="T158" s="108">
        <v>0</v>
      </c>
      <c r="U158" s="119"/>
      <c r="V158" s="110">
        <f t="shared" si="36"/>
        <v>0</v>
      </c>
      <c r="W158" s="103"/>
      <c r="X158" s="112">
        <f t="shared" si="45"/>
        <v>0</v>
      </c>
      <c r="Y158" s="112">
        <f t="shared" si="46"/>
        <v>0</v>
      </c>
      <c r="Z158" s="113">
        <f t="shared" si="47"/>
        <v>0</v>
      </c>
      <c r="AA158" s="113">
        <v>0</v>
      </c>
      <c r="AB158" s="114">
        <v>0</v>
      </c>
      <c r="AC158" s="11">
        <f t="shared" si="48"/>
        <v>0</v>
      </c>
      <c r="AD158" s="115">
        <f t="shared" si="38"/>
        <v>0</v>
      </c>
      <c r="AE158" s="115" t="e">
        <f t="shared" si="39"/>
        <v>#REF!</v>
      </c>
      <c r="AF158" s="115">
        <f t="shared" si="40"/>
        <v>0</v>
      </c>
      <c r="AG158" s="11"/>
      <c r="AH158" s="115">
        <f t="shared" si="42"/>
        <v>0</v>
      </c>
      <c r="AI158" s="115">
        <f t="shared" si="43"/>
        <v>0</v>
      </c>
      <c r="AJ158" s="115">
        <f t="shared" si="44"/>
        <v>0</v>
      </c>
      <c r="AL158" s="11" t="e">
        <f t="shared" si="41"/>
        <v>#REF!</v>
      </c>
    </row>
    <row r="159" spans="1:38" s="124" customFormat="1">
      <c r="A159" s="127"/>
      <c r="B159" s="127" t="s">
        <v>46</v>
      </c>
      <c r="C159" s="96" t="s">
        <v>210</v>
      </c>
      <c r="D159" s="143" t="s">
        <v>247</v>
      </c>
      <c r="E159" s="98"/>
      <c r="F159" s="99" t="e">
        <f>VLOOKUP(D159,#REF!,19,FALSE)</f>
        <v>#REF!</v>
      </c>
      <c r="G159" s="100"/>
      <c r="H159" s="100"/>
      <c r="I159" s="101"/>
      <c r="J159" s="102" t="e">
        <f t="shared" si="37"/>
        <v>#REF!</v>
      </c>
      <c r="K159" s="103"/>
      <c r="L159" s="104"/>
      <c r="M159" s="105">
        <v>105000</v>
      </c>
      <c r="N159" s="103">
        <v>0</v>
      </c>
      <c r="O159" s="106"/>
      <c r="P159" s="103">
        <v>0</v>
      </c>
      <c r="Q159" s="107">
        <f t="shared" si="35"/>
        <v>105000</v>
      </c>
      <c r="R159" s="107"/>
      <c r="S159" s="107"/>
      <c r="T159" s="108">
        <v>0</v>
      </c>
      <c r="U159" s="119"/>
      <c r="V159" s="110">
        <f t="shared" si="36"/>
        <v>-105000</v>
      </c>
      <c r="W159" s="103"/>
      <c r="X159" s="112">
        <f t="shared" si="45"/>
        <v>0</v>
      </c>
      <c r="Y159" s="112">
        <f t="shared" si="46"/>
        <v>105000</v>
      </c>
      <c r="Z159" s="113">
        <f t="shared" si="47"/>
        <v>0</v>
      </c>
      <c r="AA159" s="113">
        <v>0</v>
      </c>
      <c r="AB159" s="114">
        <v>0</v>
      </c>
      <c r="AC159" s="11">
        <f t="shared" si="48"/>
        <v>0</v>
      </c>
      <c r="AD159" s="115">
        <f t="shared" si="38"/>
        <v>0</v>
      </c>
      <c r="AE159" s="115" t="e">
        <f t="shared" si="39"/>
        <v>#REF!</v>
      </c>
      <c r="AF159" s="115">
        <f t="shared" si="40"/>
        <v>0</v>
      </c>
      <c r="AG159" s="11"/>
      <c r="AH159" s="115">
        <f t="shared" si="42"/>
        <v>0</v>
      </c>
      <c r="AI159" s="115">
        <f t="shared" si="43"/>
        <v>105000</v>
      </c>
      <c r="AJ159" s="115">
        <f t="shared" si="44"/>
        <v>0</v>
      </c>
      <c r="AL159" s="11" t="e">
        <f t="shared" si="41"/>
        <v>#REF!</v>
      </c>
    </row>
    <row r="160" spans="1:38" s="124" customFormat="1">
      <c r="A160" s="127"/>
      <c r="B160" s="127" t="s">
        <v>49</v>
      </c>
      <c r="C160" s="96" t="s">
        <v>210</v>
      </c>
      <c r="D160" s="118" t="s">
        <v>248</v>
      </c>
      <c r="E160" s="98"/>
      <c r="F160" s="99" t="e">
        <f>VLOOKUP(D160,#REF!,19,FALSE)</f>
        <v>#REF!</v>
      </c>
      <c r="G160" s="100"/>
      <c r="H160" s="100"/>
      <c r="I160" s="101"/>
      <c r="J160" s="102" t="e">
        <f t="shared" si="37"/>
        <v>#REF!</v>
      </c>
      <c r="K160" s="103"/>
      <c r="L160" s="104"/>
      <c r="M160" s="105"/>
      <c r="N160" s="103">
        <v>0</v>
      </c>
      <c r="O160" s="106"/>
      <c r="P160" s="103">
        <v>0</v>
      </c>
      <c r="Q160" s="107">
        <f t="shared" si="35"/>
        <v>0</v>
      </c>
      <c r="R160" s="107"/>
      <c r="S160" s="107"/>
      <c r="T160" s="108">
        <v>0</v>
      </c>
      <c r="U160" s="119"/>
      <c r="V160" s="110">
        <f t="shared" si="36"/>
        <v>0</v>
      </c>
      <c r="W160" s="103"/>
      <c r="X160" s="112">
        <f t="shared" si="45"/>
        <v>0</v>
      </c>
      <c r="Y160" s="112">
        <f t="shared" si="46"/>
        <v>0</v>
      </c>
      <c r="Z160" s="113">
        <f t="shared" si="47"/>
        <v>0</v>
      </c>
      <c r="AA160" s="113">
        <v>0</v>
      </c>
      <c r="AB160" s="114">
        <v>0</v>
      </c>
      <c r="AC160" s="11">
        <f t="shared" si="48"/>
        <v>0</v>
      </c>
      <c r="AD160" s="115" t="e">
        <f t="shared" si="38"/>
        <v>#REF!</v>
      </c>
      <c r="AE160" s="115">
        <f t="shared" si="39"/>
        <v>0</v>
      </c>
      <c r="AF160" s="115">
        <f t="shared" si="40"/>
        <v>0</v>
      </c>
      <c r="AG160" s="11"/>
      <c r="AH160" s="115">
        <f t="shared" si="42"/>
        <v>0</v>
      </c>
      <c r="AI160" s="115">
        <f t="shared" si="43"/>
        <v>0</v>
      </c>
      <c r="AJ160" s="115">
        <f t="shared" si="44"/>
        <v>0</v>
      </c>
      <c r="AL160" s="11" t="e">
        <f t="shared" si="41"/>
        <v>#REF!</v>
      </c>
    </row>
    <row r="161" spans="1:38">
      <c r="A161" s="129" t="s">
        <v>249</v>
      </c>
      <c r="B161" s="129" t="s">
        <v>49</v>
      </c>
      <c r="C161" s="96"/>
      <c r="D161" s="120" t="s">
        <v>250</v>
      </c>
      <c r="E161" s="98">
        <f>10767.52+10658.05</f>
        <v>21425.57</v>
      </c>
      <c r="F161" s="99" t="e">
        <f>VLOOKUP(D161,#REF!,19,FALSE)</f>
        <v>#REF!</v>
      </c>
      <c r="G161" s="100"/>
      <c r="H161" s="100"/>
      <c r="I161" s="101"/>
      <c r="J161" s="102" t="e">
        <f t="shared" si="37"/>
        <v>#REF!</v>
      </c>
      <c r="K161" s="103"/>
      <c r="L161" s="104"/>
      <c r="M161" s="105">
        <v>10000</v>
      </c>
      <c r="N161" s="103">
        <v>0</v>
      </c>
      <c r="O161" s="106"/>
      <c r="P161" s="103">
        <v>0</v>
      </c>
      <c r="Q161" s="107">
        <f t="shared" si="35"/>
        <v>10000</v>
      </c>
      <c r="R161" s="107"/>
      <c r="S161" s="107"/>
      <c r="T161" s="108">
        <v>0</v>
      </c>
      <c r="U161" s="119"/>
      <c r="V161" s="110">
        <f t="shared" si="36"/>
        <v>-10000</v>
      </c>
      <c r="W161" s="103"/>
      <c r="X161" s="112">
        <f t="shared" si="45"/>
        <v>10000</v>
      </c>
      <c r="Y161" s="112">
        <f t="shared" si="46"/>
        <v>0</v>
      </c>
      <c r="Z161" s="113">
        <f t="shared" si="47"/>
        <v>0</v>
      </c>
      <c r="AA161" s="113">
        <v>0</v>
      </c>
      <c r="AB161" s="114">
        <v>0</v>
      </c>
      <c r="AC161" s="11">
        <f t="shared" si="48"/>
        <v>0</v>
      </c>
      <c r="AD161" s="115" t="e">
        <f t="shared" si="38"/>
        <v>#REF!</v>
      </c>
      <c r="AE161" s="115">
        <f t="shared" si="39"/>
        <v>0</v>
      </c>
      <c r="AF161" s="115">
        <f t="shared" si="40"/>
        <v>0</v>
      </c>
      <c r="AG161" s="11"/>
      <c r="AH161" s="115">
        <f t="shared" si="42"/>
        <v>10000</v>
      </c>
      <c r="AI161" s="115">
        <f t="shared" si="43"/>
        <v>0</v>
      </c>
      <c r="AJ161" s="115">
        <f t="shared" si="44"/>
        <v>0</v>
      </c>
      <c r="AL161" s="11" t="e">
        <f t="shared" si="41"/>
        <v>#REF!</v>
      </c>
    </row>
    <row r="162" spans="1:38">
      <c r="A162" s="129"/>
      <c r="B162" s="129" t="s">
        <v>46</v>
      </c>
      <c r="C162" s="96" t="s">
        <v>251</v>
      </c>
      <c r="D162" s="120" t="s">
        <v>252</v>
      </c>
      <c r="E162" s="98"/>
      <c r="F162" s="99" t="e">
        <f>VLOOKUP(D162,#REF!,19,FALSE)</f>
        <v>#REF!</v>
      </c>
      <c r="G162" s="100"/>
      <c r="H162" s="100"/>
      <c r="I162" s="101"/>
      <c r="J162" s="102" t="e">
        <f t="shared" si="37"/>
        <v>#REF!</v>
      </c>
      <c r="K162" s="103"/>
      <c r="L162" s="104"/>
      <c r="M162" s="105"/>
      <c r="N162" s="103">
        <v>0</v>
      </c>
      <c r="O162" s="106"/>
      <c r="P162" s="103">
        <v>0</v>
      </c>
      <c r="Q162" s="107">
        <f t="shared" si="35"/>
        <v>0</v>
      </c>
      <c r="R162" s="107"/>
      <c r="S162" s="107"/>
      <c r="T162" s="108">
        <v>0</v>
      </c>
      <c r="U162" s="119"/>
      <c r="V162" s="110">
        <f t="shared" si="36"/>
        <v>0</v>
      </c>
      <c r="W162" s="103"/>
      <c r="X162" s="112">
        <f t="shared" si="45"/>
        <v>0</v>
      </c>
      <c r="Y162" s="112">
        <f t="shared" si="46"/>
        <v>0</v>
      </c>
      <c r="Z162" s="113">
        <f t="shared" si="47"/>
        <v>0</v>
      </c>
      <c r="AA162" s="113">
        <v>0</v>
      </c>
      <c r="AB162" s="114">
        <v>0</v>
      </c>
      <c r="AC162" s="11">
        <f t="shared" si="48"/>
        <v>0</v>
      </c>
      <c r="AD162" s="115">
        <f t="shared" si="38"/>
        <v>0</v>
      </c>
      <c r="AE162" s="115" t="e">
        <f t="shared" si="39"/>
        <v>#REF!</v>
      </c>
      <c r="AF162" s="115">
        <f t="shared" si="40"/>
        <v>0</v>
      </c>
      <c r="AG162" s="11"/>
      <c r="AH162" s="115">
        <f t="shared" si="42"/>
        <v>0</v>
      </c>
      <c r="AI162" s="115">
        <f t="shared" si="43"/>
        <v>0</v>
      </c>
      <c r="AJ162" s="115">
        <f t="shared" si="44"/>
        <v>0</v>
      </c>
      <c r="AL162" s="11" t="e">
        <f t="shared" si="41"/>
        <v>#REF!</v>
      </c>
    </row>
    <row r="163" spans="1:38">
      <c r="A163" s="129"/>
      <c r="B163" s="129" t="s">
        <v>46</v>
      </c>
      <c r="C163" s="96" t="s">
        <v>251</v>
      </c>
      <c r="D163" s="120" t="s">
        <v>253</v>
      </c>
      <c r="E163" s="98"/>
      <c r="F163" s="99" t="e">
        <f>VLOOKUP(D163,#REF!,19,FALSE)</f>
        <v>#REF!</v>
      </c>
      <c r="G163" s="100"/>
      <c r="H163" s="100"/>
      <c r="I163" s="101"/>
      <c r="J163" s="102" t="e">
        <f t="shared" si="37"/>
        <v>#REF!</v>
      </c>
      <c r="K163" s="103"/>
      <c r="L163" s="104"/>
      <c r="M163" s="105"/>
      <c r="N163" s="103">
        <v>0</v>
      </c>
      <c r="O163" s="106"/>
      <c r="P163" s="103">
        <v>0</v>
      </c>
      <c r="Q163" s="107">
        <f t="shared" si="35"/>
        <v>0</v>
      </c>
      <c r="R163" s="107"/>
      <c r="S163" s="107"/>
      <c r="T163" s="108">
        <v>0</v>
      </c>
      <c r="U163" s="119"/>
      <c r="V163" s="110">
        <f t="shared" si="36"/>
        <v>0</v>
      </c>
      <c r="W163" s="103"/>
      <c r="X163" s="112">
        <f t="shared" si="45"/>
        <v>0</v>
      </c>
      <c r="Y163" s="112">
        <f t="shared" si="46"/>
        <v>0</v>
      </c>
      <c r="Z163" s="113">
        <f t="shared" si="47"/>
        <v>0</v>
      </c>
      <c r="AA163" s="113">
        <v>0</v>
      </c>
      <c r="AB163" s="114">
        <v>0</v>
      </c>
      <c r="AC163" s="11">
        <f t="shared" si="48"/>
        <v>0</v>
      </c>
      <c r="AD163" s="115">
        <f t="shared" si="38"/>
        <v>0</v>
      </c>
      <c r="AE163" s="115" t="e">
        <f t="shared" si="39"/>
        <v>#REF!</v>
      </c>
      <c r="AF163" s="115">
        <f t="shared" si="40"/>
        <v>0</v>
      </c>
      <c r="AG163" s="11"/>
      <c r="AH163" s="115">
        <f t="shared" si="42"/>
        <v>0</v>
      </c>
      <c r="AI163" s="115">
        <f t="shared" si="43"/>
        <v>0</v>
      </c>
      <c r="AJ163" s="115">
        <f t="shared" si="44"/>
        <v>0</v>
      </c>
      <c r="AL163" s="11" t="e">
        <f t="shared" si="41"/>
        <v>#REF!</v>
      </c>
    </row>
    <row r="164" spans="1:38">
      <c r="A164" s="129"/>
      <c r="B164" s="129" t="s">
        <v>46</v>
      </c>
      <c r="C164" s="96" t="s">
        <v>254</v>
      </c>
      <c r="D164" s="120" t="s">
        <v>255</v>
      </c>
      <c r="E164" s="98">
        <f>2438.8+2273.79+5820.17+878.17+10187.92+5840.34+10109.19+1371.87+412.82+1102.99+45592.12</f>
        <v>86028.18</v>
      </c>
      <c r="F164" s="99" t="e">
        <f>VLOOKUP(D164,#REF!,19,FALSE)</f>
        <v>#REF!</v>
      </c>
      <c r="G164" s="100"/>
      <c r="H164" s="100"/>
      <c r="I164" s="101"/>
      <c r="J164" s="102" t="e">
        <f t="shared" si="37"/>
        <v>#REF!</v>
      </c>
      <c r="K164" s="103"/>
      <c r="L164" s="104"/>
      <c r="M164" s="105">
        <v>80000</v>
      </c>
      <c r="N164" s="103"/>
      <c r="O164" s="106"/>
      <c r="P164" s="103"/>
      <c r="Q164" s="107">
        <f t="shared" si="35"/>
        <v>80000</v>
      </c>
      <c r="R164" s="107"/>
      <c r="S164" s="107"/>
      <c r="T164" s="108">
        <v>65173.04</v>
      </c>
      <c r="U164" s="119"/>
      <c r="V164" s="110">
        <f t="shared" si="36"/>
        <v>-14826.96</v>
      </c>
      <c r="W164" s="103"/>
      <c r="X164" s="112">
        <f t="shared" si="45"/>
        <v>0</v>
      </c>
      <c r="Y164" s="112">
        <f t="shared" si="46"/>
        <v>80000</v>
      </c>
      <c r="Z164" s="113">
        <f t="shared" si="47"/>
        <v>0</v>
      </c>
      <c r="AA164" s="113">
        <v>0</v>
      </c>
      <c r="AB164" s="114">
        <v>0</v>
      </c>
      <c r="AC164" s="11">
        <f t="shared" si="48"/>
        <v>0</v>
      </c>
      <c r="AD164" s="115">
        <f t="shared" si="38"/>
        <v>0</v>
      </c>
      <c r="AE164" s="115" t="e">
        <f t="shared" si="39"/>
        <v>#REF!</v>
      </c>
      <c r="AF164" s="115">
        <f t="shared" si="40"/>
        <v>0</v>
      </c>
      <c r="AG164" s="11"/>
      <c r="AH164" s="115">
        <f t="shared" si="42"/>
        <v>0</v>
      </c>
      <c r="AI164" s="115">
        <f t="shared" si="43"/>
        <v>80000</v>
      </c>
      <c r="AJ164" s="115">
        <f t="shared" si="44"/>
        <v>0</v>
      </c>
      <c r="AL164" s="11" t="e">
        <f t="shared" si="41"/>
        <v>#REF!</v>
      </c>
    </row>
    <row r="165" spans="1:38" s="124" customFormat="1">
      <c r="A165" s="127"/>
      <c r="B165" s="127" t="s">
        <v>46</v>
      </c>
      <c r="C165" s="96"/>
      <c r="D165" s="118" t="s">
        <v>256</v>
      </c>
      <c r="E165" s="98"/>
      <c r="F165" s="99" t="e">
        <f>VLOOKUP(D165,#REF!,19,FALSE)</f>
        <v>#REF!</v>
      </c>
      <c r="G165" s="100"/>
      <c r="H165" s="100"/>
      <c r="I165" s="101"/>
      <c r="J165" s="102" t="e">
        <f t="shared" si="37"/>
        <v>#REF!</v>
      </c>
      <c r="K165" s="103"/>
      <c r="L165" s="104"/>
      <c r="M165" s="105"/>
      <c r="N165" s="103">
        <v>0</v>
      </c>
      <c r="O165" s="106"/>
      <c r="P165" s="103">
        <v>0</v>
      </c>
      <c r="Q165" s="107">
        <f t="shared" si="35"/>
        <v>0</v>
      </c>
      <c r="R165" s="107"/>
      <c r="S165" s="107"/>
      <c r="T165" s="108">
        <v>0</v>
      </c>
      <c r="U165" s="119"/>
      <c r="V165" s="110">
        <f t="shared" si="36"/>
        <v>0</v>
      </c>
      <c r="W165" s="103"/>
      <c r="X165" s="112">
        <f t="shared" si="45"/>
        <v>0</v>
      </c>
      <c r="Y165" s="112">
        <f t="shared" si="46"/>
        <v>0</v>
      </c>
      <c r="Z165" s="113">
        <f t="shared" si="47"/>
        <v>0</v>
      </c>
      <c r="AA165" s="113">
        <v>0</v>
      </c>
      <c r="AB165" s="114">
        <v>0</v>
      </c>
      <c r="AC165" s="11">
        <f t="shared" si="48"/>
        <v>0</v>
      </c>
      <c r="AD165" s="115">
        <f t="shared" si="38"/>
        <v>0</v>
      </c>
      <c r="AE165" s="115" t="e">
        <f t="shared" si="39"/>
        <v>#REF!</v>
      </c>
      <c r="AF165" s="115">
        <f t="shared" si="40"/>
        <v>0</v>
      </c>
      <c r="AG165" s="11"/>
      <c r="AH165" s="115">
        <f t="shared" si="42"/>
        <v>0</v>
      </c>
      <c r="AI165" s="115">
        <f t="shared" si="43"/>
        <v>0</v>
      </c>
      <c r="AJ165" s="115">
        <f t="shared" si="44"/>
        <v>0</v>
      </c>
      <c r="AL165" s="11" t="e">
        <f t="shared" si="41"/>
        <v>#REF!</v>
      </c>
    </row>
    <row r="166" spans="1:38" s="14" customFormat="1" hidden="1">
      <c r="A166" s="95"/>
      <c r="B166" s="129" t="s">
        <v>46</v>
      </c>
      <c r="C166" s="96"/>
      <c r="D166" s="120" t="s">
        <v>258</v>
      </c>
      <c r="E166" s="98"/>
      <c r="F166" s="99" t="e">
        <f>VLOOKUP(D166,#REF!,19,FALSE)</f>
        <v>#REF!</v>
      </c>
      <c r="G166" s="100"/>
      <c r="H166" s="100"/>
      <c r="I166" s="101"/>
      <c r="J166" s="102" t="e">
        <f t="shared" si="37"/>
        <v>#REF!</v>
      </c>
      <c r="K166" s="133"/>
      <c r="L166" s="104"/>
      <c r="M166" s="105"/>
      <c r="N166" s="133">
        <v>0</v>
      </c>
      <c r="O166" s="106"/>
      <c r="P166" s="133">
        <v>0</v>
      </c>
      <c r="Q166" s="137">
        <f t="shared" si="35"/>
        <v>0</v>
      </c>
      <c r="R166" s="137"/>
      <c r="S166" s="137"/>
      <c r="T166" s="108">
        <v>0</v>
      </c>
      <c r="U166" s="138"/>
      <c r="V166" s="110">
        <f t="shared" si="36"/>
        <v>0</v>
      </c>
      <c r="W166" s="133"/>
      <c r="X166" s="112">
        <f t="shared" si="45"/>
        <v>0</v>
      </c>
      <c r="Y166" s="112">
        <f t="shared" si="46"/>
        <v>0</v>
      </c>
      <c r="Z166" s="113">
        <f t="shared" si="47"/>
        <v>0</v>
      </c>
      <c r="AA166" s="113">
        <v>0</v>
      </c>
      <c r="AB166" s="114">
        <v>0</v>
      </c>
      <c r="AC166" s="11">
        <f t="shared" si="48"/>
        <v>0</v>
      </c>
      <c r="AD166" s="115">
        <f t="shared" si="38"/>
        <v>0</v>
      </c>
      <c r="AE166" s="115" t="e">
        <f t="shared" si="39"/>
        <v>#REF!</v>
      </c>
      <c r="AF166" s="115">
        <f t="shared" si="40"/>
        <v>0</v>
      </c>
      <c r="AG166" s="11"/>
      <c r="AH166" s="115">
        <f t="shared" si="42"/>
        <v>0</v>
      </c>
      <c r="AI166" s="115">
        <f t="shared" si="43"/>
        <v>0</v>
      </c>
      <c r="AJ166" s="115">
        <f t="shared" si="44"/>
        <v>0</v>
      </c>
      <c r="AL166" s="11" t="e">
        <f t="shared" si="41"/>
        <v>#REF!</v>
      </c>
    </row>
    <row r="167" spans="1:38">
      <c r="A167" s="129"/>
      <c r="B167" s="129" t="s">
        <v>49</v>
      </c>
      <c r="C167" s="96"/>
      <c r="D167" s="120" t="s">
        <v>259</v>
      </c>
      <c r="E167" s="98">
        <v>261.8</v>
      </c>
      <c r="F167" s="99" t="e">
        <f>VLOOKUP(D167,#REF!,19,FALSE)</f>
        <v>#REF!</v>
      </c>
      <c r="G167" s="100"/>
      <c r="H167" s="100"/>
      <c r="I167" s="101"/>
      <c r="J167" s="102" t="e">
        <f t="shared" si="37"/>
        <v>#REF!</v>
      </c>
      <c r="K167" s="103"/>
      <c r="L167" s="104"/>
      <c r="M167" s="105"/>
      <c r="N167" s="103">
        <v>0</v>
      </c>
      <c r="O167" s="106"/>
      <c r="P167" s="103">
        <v>0</v>
      </c>
      <c r="Q167" s="107">
        <f t="shared" si="35"/>
        <v>0</v>
      </c>
      <c r="R167" s="107"/>
      <c r="S167" s="107"/>
      <c r="T167" s="108">
        <v>0</v>
      </c>
      <c r="U167" s="119"/>
      <c r="V167" s="110">
        <f t="shared" si="36"/>
        <v>0</v>
      </c>
      <c r="W167" s="103"/>
      <c r="X167" s="112">
        <f t="shared" si="45"/>
        <v>0</v>
      </c>
      <c r="Y167" s="112">
        <f t="shared" si="46"/>
        <v>0</v>
      </c>
      <c r="Z167" s="113">
        <f t="shared" si="47"/>
        <v>0</v>
      </c>
      <c r="AA167" s="113">
        <v>0</v>
      </c>
      <c r="AB167" s="114">
        <v>0</v>
      </c>
      <c r="AC167" s="11">
        <f t="shared" si="48"/>
        <v>0</v>
      </c>
      <c r="AD167" s="115" t="e">
        <f t="shared" si="38"/>
        <v>#REF!</v>
      </c>
      <c r="AE167" s="115">
        <f t="shared" si="39"/>
        <v>0</v>
      </c>
      <c r="AF167" s="115">
        <f t="shared" si="40"/>
        <v>0</v>
      </c>
      <c r="AG167" s="11"/>
      <c r="AH167" s="115">
        <f t="shared" si="42"/>
        <v>0</v>
      </c>
      <c r="AI167" s="115">
        <f t="shared" si="43"/>
        <v>0</v>
      </c>
      <c r="AJ167" s="115">
        <f t="shared" si="44"/>
        <v>0</v>
      </c>
      <c r="AL167" s="11" t="e">
        <f t="shared" si="41"/>
        <v>#REF!</v>
      </c>
    </row>
    <row r="168" spans="1:38">
      <c r="A168" s="129"/>
      <c r="B168" s="129" t="s">
        <v>49</v>
      </c>
      <c r="C168" s="129"/>
      <c r="D168" s="120" t="s">
        <v>260</v>
      </c>
      <c r="E168" s="98">
        <v>285.95</v>
      </c>
      <c r="F168" s="99" t="e">
        <f>VLOOKUP(D168,#REF!,19,FALSE)</f>
        <v>#REF!</v>
      </c>
      <c r="G168" s="100"/>
      <c r="H168" s="100"/>
      <c r="I168" s="101"/>
      <c r="J168" s="102" t="e">
        <f t="shared" si="37"/>
        <v>#REF!</v>
      </c>
      <c r="K168" s="103"/>
      <c r="L168" s="104"/>
      <c r="M168" s="105"/>
      <c r="N168" s="103">
        <v>0</v>
      </c>
      <c r="O168" s="106"/>
      <c r="P168" s="103">
        <v>0</v>
      </c>
      <c r="Q168" s="107">
        <f t="shared" si="35"/>
        <v>0</v>
      </c>
      <c r="R168" s="107"/>
      <c r="S168" s="107"/>
      <c r="T168" s="108">
        <v>0</v>
      </c>
      <c r="U168" s="119"/>
      <c r="V168" s="110">
        <f t="shared" si="36"/>
        <v>0</v>
      </c>
      <c r="W168" s="103"/>
      <c r="X168" s="112">
        <f t="shared" si="45"/>
        <v>0</v>
      </c>
      <c r="Y168" s="112">
        <f t="shared" si="46"/>
        <v>0</v>
      </c>
      <c r="Z168" s="113">
        <f t="shared" si="47"/>
        <v>0</v>
      </c>
      <c r="AA168" s="113">
        <v>0</v>
      </c>
      <c r="AB168" s="114">
        <v>0</v>
      </c>
      <c r="AC168" s="11">
        <f t="shared" si="48"/>
        <v>0</v>
      </c>
      <c r="AD168" s="115" t="e">
        <f t="shared" si="38"/>
        <v>#REF!</v>
      </c>
      <c r="AE168" s="115">
        <f t="shared" si="39"/>
        <v>0</v>
      </c>
      <c r="AF168" s="115">
        <f t="shared" si="40"/>
        <v>0</v>
      </c>
      <c r="AG168" s="11"/>
      <c r="AH168" s="115">
        <f t="shared" si="42"/>
        <v>0</v>
      </c>
      <c r="AI168" s="115">
        <f t="shared" si="43"/>
        <v>0</v>
      </c>
      <c r="AJ168" s="115">
        <f t="shared" si="44"/>
        <v>0</v>
      </c>
      <c r="AL168" s="11" t="e">
        <f t="shared" si="41"/>
        <v>#REF!</v>
      </c>
    </row>
    <row r="169" spans="1:38">
      <c r="A169" s="129"/>
      <c r="B169" s="129" t="s">
        <v>49</v>
      </c>
      <c r="C169" s="96"/>
      <c r="D169" s="120" t="s">
        <v>261</v>
      </c>
      <c r="E169" s="98"/>
      <c r="F169" s="99" t="e">
        <f>VLOOKUP(D169,#REF!,19,FALSE)</f>
        <v>#REF!</v>
      </c>
      <c r="G169" s="100"/>
      <c r="H169" s="100"/>
      <c r="I169" s="101"/>
      <c r="J169" s="102" t="e">
        <f t="shared" si="37"/>
        <v>#REF!</v>
      </c>
      <c r="K169" s="103"/>
      <c r="L169" s="104"/>
      <c r="M169" s="105"/>
      <c r="N169" s="103">
        <v>0</v>
      </c>
      <c r="O169" s="106"/>
      <c r="P169" s="103">
        <v>0</v>
      </c>
      <c r="Q169" s="107">
        <f t="shared" si="35"/>
        <v>0</v>
      </c>
      <c r="R169" s="107"/>
      <c r="S169" s="107"/>
      <c r="T169" s="108">
        <v>0</v>
      </c>
      <c r="U169" s="119"/>
      <c r="V169" s="110">
        <f t="shared" si="36"/>
        <v>0</v>
      </c>
      <c r="W169" s="103"/>
      <c r="X169" s="112">
        <f t="shared" si="45"/>
        <v>0</v>
      </c>
      <c r="Y169" s="112">
        <f t="shared" si="46"/>
        <v>0</v>
      </c>
      <c r="Z169" s="113">
        <f t="shared" si="47"/>
        <v>0</v>
      </c>
      <c r="AA169" s="113">
        <v>0</v>
      </c>
      <c r="AB169" s="114">
        <v>0</v>
      </c>
      <c r="AC169" s="11">
        <f t="shared" si="48"/>
        <v>0</v>
      </c>
      <c r="AD169" s="115" t="e">
        <f t="shared" si="38"/>
        <v>#REF!</v>
      </c>
      <c r="AE169" s="115">
        <f t="shared" si="39"/>
        <v>0</v>
      </c>
      <c r="AF169" s="115">
        <f t="shared" si="40"/>
        <v>0</v>
      </c>
      <c r="AG169" s="11"/>
      <c r="AH169" s="115">
        <f t="shared" si="42"/>
        <v>0</v>
      </c>
      <c r="AI169" s="115">
        <f t="shared" si="43"/>
        <v>0</v>
      </c>
      <c r="AJ169" s="115">
        <f t="shared" si="44"/>
        <v>0</v>
      </c>
      <c r="AL169" s="11" t="e">
        <f t="shared" si="41"/>
        <v>#REF!</v>
      </c>
    </row>
    <row r="170" spans="1:38">
      <c r="A170" s="129"/>
      <c r="B170" s="129" t="s">
        <v>49</v>
      </c>
      <c r="C170" s="96" t="s">
        <v>262</v>
      </c>
      <c r="D170" s="120" t="s">
        <v>263</v>
      </c>
      <c r="E170" s="98"/>
      <c r="F170" s="99" t="e">
        <f>VLOOKUP(D170,#REF!,19,FALSE)</f>
        <v>#REF!</v>
      </c>
      <c r="G170" s="100"/>
      <c r="H170" s="100"/>
      <c r="I170" s="101"/>
      <c r="J170" s="102" t="e">
        <f t="shared" si="37"/>
        <v>#REF!</v>
      </c>
      <c r="K170" s="103"/>
      <c r="L170" s="104"/>
      <c r="M170" s="105">
        <v>12000</v>
      </c>
      <c r="N170" s="103">
        <v>0</v>
      </c>
      <c r="O170" s="106"/>
      <c r="P170" s="103">
        <v>0</v>
      </c>
      <c r="Q170" s="107">
        <f t="shared" si="35"/>
        <v>12000</v>
      </c>
      <c r="R170" s="107"/>
      <c r="S170" s="107"/>
      <c r="T170" s="108">
        <v>0</v>
      </c>
      <c r="U170" s="119"/>
      <c r="V170" s="110">
        <f t="shared" si="36"/>
        <v>-12000</v>
      </c>
      <c r="W170" s="103"/>
      <c r="X170" s="112">
        <f t="shared" si="45"/>
        <v>12000</v>
      </c>
      <c r="Y170" s="112">
        <f t="shared" si="46"/>
        <v>0</v>
      </c>
      <c r="Z170" s="113">
        <f t="shared" si="47"/>
        <v>0</v>
      </c>
      <c r="AA170" s="113">
        <v>0</v>
      </c>
      <c r="AB170" s="114">
        <v>0</v>
      </c>
      <c r="AC170" s="11">
        <f t="shared" si="48"/>
        <v>0</v>
      </c>
      <c r="AD170" s="115" t="e">
        <f t="shared" si="38"/>
        <v>#REF!</v>
      </c>
      <c r="AE170" s="115">
        <f t="shared" si="39"/>
        <v>0</v>
      </c>
      <c r="AF170" s="115">
        <f t="shared" si="40"/>
        <v>0</v>
      </c>
      <c r="AG170" s="11"/>
      <c r="AH170" s="115">
        <f t="shared" si="42"/>
        <v>12000</v>
      </c>
      <c r="AI170" s="115">
        <f t="shared" si="43"/>
        <v>0</v>
      </c>
      <c r="AJ170" s="115">
        <f t="shared" si="44"/>
        <v>0</v>
      </c>
      <c r="AL170" s="11" t="e">
        <f t="shared" si="41"/>
        <v>#REF!</v>
      </c>
    </row>
    <row r="171" spans="1:38">
      <c r="A171" s="129"/>
      <c r="B171" s="129" t="s">
        <v>49</v>
      </c>
      <c r="C171" s="96" t="s">
        <v>265</v>
      </c>
      <c r="D171" s="120" t="s">
        <v>266</v>
      </c>
      <c r="E171" s="98"/>
      <c r="F171" s="99" t="e">
        <f>VLOOKUP(D171,#REF!,19,FALSE)</f>
        <v>#REF!</v>
      </c>
      <c r="G171" s="100"/>
      <c r="H171" s="100"/>
      <c r="I171" s="101"/>
      <c r="J171" s="102" t="e">
        <f t="shared" si="37"/>
        <v>#REF!</v>
      </c>
      <c r="K171" s="103"/>
      <c r="L171" s="104"/>
      <c r="M171" s="105">
        <v>75000</v>
      </c>
      <c r="N171" s="103">
        <v>0</v>
      </c>
      <c r="O171" s="106"/>
      <c r="P171" s="103">
        <v>0</v>
      </c>
      <c r="Q171" s="107">
        <f t="shared" si="35"/>
        <v>75000</v>
      </c>
      <c r="R171" s="107"/>
      <c r="S171" s="107"/>
      <c r="T171" s="108">
        <v>108546.41</v>
      </c>
      <c r="U171" s="119"/>
      <c r="V171" s="110">
        <f t="shared" si="36"/>
        <v>33546.410000000003</v>
      </c>
      <c r="W171" s="103"/>
      <c r="X171" s="112">
        <f t="shared" si="45"/>
        <v>75000</v>
      </c>
      <c r="Y171" s="112">
        <f t="shared" si="46"/>
        <v>0</v>
      </c>
      <c r="Z171" s="113">
        <f t="shared" si="47"/>
        <v>0</v>
      </c>
      <c r="AA171" s="113">
        <v>0</v>
      </c>
      <c r="AB171" s="114">
        <v>0</v>
      </c>
      <c r="AC171" s="11">
        <f t="shared" si="48"/>
        <v>0</v>
      </c>
      <c r="AD171" s="115" t="e">
        <f t="shared" si="38"/>
        <v>#REF!</v>
      </c>
      <c r="AE171" s="115">
        <f t="shared" si="39"/>
        <v>0</v>
      </c>
      <c r="AF171" s="115">
        <f t="shared" si="40"/>
        <v>0</v>
      </c>
      <c r="AG171" s="11"/>
      <c r="AH171" s="115">
        <f t="shared" si="42"/>
        <v>75000</v>
      </c>
      <c r="AI171" s="115">
        <f t="shared" si="43"/>
        <v>0</v>
      </c>
      <c r="AJ171" s="115">
        <f t="shared" si="44"/>
        <v>0</v>
      </c>
      <c r="AL171" s="11" t="e">
        <f t="shared" si="41"/>
        <v>#REF!</v>
      </c>
    </row>
    <row r="172" spans="1:38">
      <c r="A172" s="129"/>
      <c r="B172" s="129" t="s">
        <v>49</v>
      </c>
      <c r="C172" s="128" t="s">
        <v>267</v>
      </c>
      <c r="D172" s="144" t="s">
        <v>268</v>
      </c>
      <c r="E172" s="98"/>
      <c r="F172" s="99" t="e">
        <f>VLOOKUP(D172,#REF!,19,FALSE)</f>
        <v>#REF!</v>
      </c>
      <c r="G172" s="100"/>
      <c r="H172" s="100"/>
      <c r="I172" s="101"/>
      <c r="J172" s="102" t="e">
        <f t="shared" si="37"/>
        <v>#REF!</v>
      </c>
      <c r="K172" s="103"/>
      <c r="L172" s="104"/>
      <c r="M172" s="105">
        <v>30000</v>
      </c>
      <c r="N172" s="103">
        <v>0</v>
      </c>
      <c r="O172" s="106"/>
      <c r="P172" s="103">
        <v>0</v>
      </c>
      <c r="Q172" s="107">
        <f t="shared" si="35"/>
        <v>30000</v>
      </c>
      <c r="R172" s="107"/>
      <c r="S172" s="107"/>
      <c r="T172" s="108">
        <v>0</v>
      </c>
      <c r="U172" s="119"/>
      <c r="V172" s="110">
        <f t="shared" si="36"/>
        <v>-30000</v>
      </c>
      <c r="W172" s="103"/>
      <c r="X172" s="112">
        <f t="shared" si="45"/>
        <v>30000</v>
      </c>
      <c r="Y172" s="112">
        <f t="shared" si="46"/>
        <v>0</v>
      </c>
      <c r="Z172" s="113">
        <f t="shared" si="47"/>
        <v>0</v>
      </c>
      <c r="AA172" s="113">
        <v>0</v>
      </c>
      <c r="AB172" s="114">
        <v>0</v>
      </c>
      <c r="AC172" s="11">
        <f t="shared" si="48"/>
        <v>0</v>
      </c>
      <c r="AD172" s="115" t="e">
        <f t="shared" si="38"/>
        <v>#REF!</v>
      </c>
      <c r="AE172" s="115">
        <f>IF(B172="M",J172,0)</f>
        <v>0</v>
      </c>
      <c r="AF172" s="115">
        <f t="shared" si="40"/>
        <v>0</v>
      </c>
      <c r="AG172" s="11"/>
      <c r="AH172" s="115">
        <f t="shared" si="42"/>
        <v>30000</v>
      </c>
      <c r="AI172" s="115">
        <f t="shared" si="43"/>
        <v>0</v>
      </c>
      <c r="AJ172" s="115">
        <f t="shared" si="44"/>
        <v>0</v>
      </c>
      <c r="AL172" s="11" t="e">
        <f t="shared" si="41"/>
        <v>#REF!</v>
      </c>
    </row>
    <row r="173" spans="1:38" s="124" customFormat="1">
      <c r="A173" s="127"/>
      <c r="B173" s="127" t="s">
        <v>49</v>
      </c>
      <c r="C173" s="96"/>
      <c r="D173" s="146" t="s">
        <v>269</v>
      </c>
      <c r="E173" s="282">
        <v>146198.60999999999</v>
      </c>
      <c r="F173" s="282" t="e">
        <f>VLOOKUP(D173,#REF!,19,FALSE)</f>
        <v>#REF!</v>
      </c>
      <c r="G173" s="282"/>
      <c r="H173" s="282"/>
      <c r="I173" s="282"/>
      <c r="J173" s="282" t="e">
        <f t="shared" si="37"/>
        <v>#REF!</v>
      </c>
      <c r="K173" s="103"/>
      <c r="L173" s="104"/>
      <c r="M173" s="283">
        <v>300000</v>
      </c>
      <c r="N173" s="103">
        <v>0</v>
      </c>
      <c r="O173" s="106"/>
      <c r="P173" s="103">
        <v>0</v>
      </c>
      <c r="Q173" s="107">
        <f t="shared" si="35"/>
        <v>300000</v>
      </c>
      <c r="R173" s="107"/>
      <c r="S173" s="107"/>
      <c r="T173" s="108">
        <v>0</v>
      </c>
      <c r="U173" s="119"/>
      <c r="V173" s="110">
        <f t="shared" si="36"/>
        <v>-300000</v>
      </c>
      <c r="W173" s="103"/>
      <c r="X173" s="112">
        <f t="shared" si="45"/>
        <v>300000</v>
      </c>
      <c r="Y173" s="112">
        <f t="shared" si="46"/>
        <v>0</v>
      </c>
      <c r="Z173" s="113">
        <f t="shared" si="47"/>
        <v>0</v>
      </c>
      <c r="AA173" s="113">
        <v>0</v>
      </c>
      <c r="AB173" s="114">
        <v>0</v>
      </c>
      <c r="AC173" s="11">
        <f t="shared" si="48"/>
        <v>0</v>
      </c>
      <c r="AD173" s="115" t="e">
        <f t="shared" si="38"/>
        <v>#REF!</v>
      </c>
      <c r="AE173" s="115">
        <f t="shared" si="39"/>
        <v>0</v>
      </c>
      <c r="AF173" s="115">
        <f t="shared" si="40"/>
        <v>0</v>
      </c>
      <c r="AG173" s="11"/>
      <c r="AH173" s="115">
        <f t="shared" si="42"/>
        <v>300000</v>
      </c>
      <c r="AI173" s="115">
        <f t="shared" si="43"/>
        <v>0</v>
      </c>
      <c r="AJ173" s="115">
        <f t="shared" si="44"/>
        <v>0</v>
      </c>
      <c r="AL173" s="11" t="e">
        <f t="shared" si="41"/>
        <v>#REF!</v>
      </c>
    </row>
    <row r="174" spans="1:38" s="124" customFormat="1">
      <c r="A174" s="127"/>
      <c r="B174" s="127" t="s">
        <v>49</v>
      </c>
      <c r="C174" s="96" t="s">
        <v>270</v>
      </c>
      <c r="D174" s="143" t="s">
        <v>271</v>
      </c>
      <c r="E174" s="98">
        <f>SUM(428475.64-E173)</f>
        <v>282277.03000000003</v>
      </c>
      <c r="F174" s="99" t="e">
        <f>VLOOKUP(D174,#REF!,19,FALSE)</f>
        <v>#REF!</v>
      </c>
      <c r="G174" s="100"/>
      <c r="H174" s="100"/>
      <c r="I174" s="101"/>
      <c r="J174" s="102" t="e">
        <f t="shared" si="37"/>
        <v>#REF!</v>
      </c>
      <c r="K174" s="103"/>
      <c r="L174" s="104"/>
      <c r="M174" s="105">
        <v>550000</v>
      </c>
      <c r="N174" s="103">
        <v>0</v>
      </c>
      <c r="O174" s="106"/>
      <c r="P174" s="103">
        <v>0</v>
      </c>
      <c r="Q174" s="107">
        <f t="shared" si="35"/>
        <v>550000</v>
      </c>
      <c r="R174" s="107"/>
      <c r="S174" s="107"/>
      <c r="T174" s="108">
        <v>0</v>
      </c>
      <c r="U174" s="119"/>
      <c r="V174" s="110">
        <f t="shared" si="36"/>
        <v>-550000</v>
      </c>
      <c r="W174" s="103"/>
      <c r="X174" s="112">
        <f t="shared" si="45"/>
        <v>550000</v>
      </c>
      <c r="Y174" s="112">
        <f t="shared" si="46"/>
        <v>0</v>
      </c>
      <c r="Z174" s="113">
        <f t="shared" si="47"/>
        <v>0</v>
      </c>
      <c r="AA174" s="113">
        <v>0</v>
      </c>
      <c r="AB174" s="114">
        <v>0</v>
      </c>
      <c r="AC174" s="11">
        <f t="shared" si="48"/>
        <v>0</v>
      </c>
      <c r="AD174" s="115" t="e">
        <f t="shared" si="38"/>
        <v>#REF!</v>
      </c>
      <c r="AE174" s="115">
        <f t="shared" si="39"/>
        <v>0</v>
      </c>
      <c r="AF174" s="115">
        <f t="shared" si="40"/>
        <v>0</v>
      </c>
      <c r="AG174" s="11"/>
      <c r="AH174" s="115">
        <f t="shared" si="42"/>
        <v>550000</v>
      </c>
      <c r="AI174" s="115">
        <f t="shared" si="43"/>
        <v>0</v>
      </c>
      <c r="AJ174" s="115">
        <f t="shared" si="44"/>
        <v>0</v>
      </c>
      <c r="AL174" s="11" t="e">
        <f t="shared" si="41"/>
        <v>#REF!</v>
      </c>
    </row>
    <row r="175" spans="1:38" s="124" customFormat="1">
      <c r="A175" s="127"/>
      <c r="B175" s="127" t="s">
        <v>49</v>
      </c>
      <c r="C175" s="96"/>
      <c r="D175" s="143" t="s">
        <v>272</v>
      </c>
      <c r="E175" s="98"/>
      <c r="F175" s="99" t="e">
        <f>VLOOKUP(D175,#REF!,19,FALSE)</f>
        <v>#REF!</v>
      </c>
      <c r="G175" s="100"/>
      <c r="H175" s="100"/>
      <c r="I175" s="101"/>
      <c r="J175" s="102" t="e">
        <f t="shared" si="37"/>
        <v>#REF!</v>
      </c>
      <c r="K175" s="103"/>
      <c r="L175" s="104"/>
      <c r="M175" s="105"/>
      <c r="N175" s="103">
        <v>0</v>
      </c>
      <c r="O175" s="106"/>
      <c r="P175" s="103">
        <v>0</v>
      </c>
      <c r="Q175" s="107">
        <f t="shared" si="35"/>
        <v>0</v>
      </c>
      <c r="R175" s="107"/>
      <c r="S175" s="107"/>
      <c r="T175" s="108">
        <v>0</v>
      </c>
      <c r="U175" s="119"/>
      <c r="V175" s="110">
        <f t="shared" si="36"/>
        <v>0</v>
      </c>
      <c r="W175" s="103"/>
      <c r="X175" s="112">
        <f t="shared" si="45"/>
        <v>0</v>
      </c>
      <c r="Y175" s="112">
        <f t="shared" si="46"/>
        <v>0</v>
      </c>
      <c r="Z175" s="113">
        <f t="shared" si="47"/>
        <v>0</v>
      </c>
      <c r="AA175" s="113">
        <v>0</v>
      </c>
      <c r="AB175" s="114">
        <v>0</v>
      </c>
      <c r="AC175" s="11">
        <f t="shared" si="48"/>
        <v>0</v>
      </c>
      <c r="AD175" s="115" t="e">
        <f t="shared" si="38"/>
        <v>#REF!</v>
      </c>
      <c r="AE175" s="115">
        <f t="shared" si="39"/>
        <v>0</v>
      </c>
      <c r="AF175" s="115">
        <f t="shared" si="40"/>
        <v>0</v>
      </c>
      <c r="AG175" s="11"/>
      <c r="AH175" s="115">
        <f t="shared" si="42"/>
        <v>0</v>
      </c>
      <c r="AI175" s="115">
        <f t="shared" si="43"/>
        <v>0</v>
      </c>
      <c r="AJ175" s="115">
        <f t="shared" si="44"/>
        <v>0</v>
      </c>
      <c r="AL175" s="11" t="e">
        <f t="shared" si="41"/>
        <v>#REF!</v>
      </c>
    </row>
    <row r="176" spans="1:38" s="124" customFormat="1">
      <c r="A176" s="127"/>
      <c r="B176" s="127" t="s">
        <v>46</v>
      </c>
      <c r="C176" s="96" t="s">
        <v>273</v>
      </c>
      <c r="D176" s="118" t="s">
        <v>274</v>
      </c>
      <c r="E176" s="98"/>
      <c r="F176" s="99" t="e">
        <f>VLOOKUP(D176,#REF!,19,FALSE)</f>
        <v>#REF!</v>
      </c>
      <c r="G176" s="100"/>
      <c r="H176" s="100"/>
      <c r="I176" s="101"/>
      <c r="J176" s="102" t="e">
        <f t="shared" si="37"/>
        <v>#REF!</v>
      </c>
      <c r="K176" s="103"/>
      <c r="L176" s="104"/>
      <c r="M176" s="105"/>
      <c r="N176" s="103">
        <v>0</v>
      </c>
      <c r="O176" s="106"/>
      <c r="P176" s="103">
        <v>0</v>
      </c>
      <c r="Q176" s="107">
        <f t="shared" si="35"/>
        <v>0</v>
      </c>
      <c r="R176" s="107"/>
      <c r="S176" s="107"/>
      <c r="T176" s="108">
        <v>0</v>
      </c>
      <c r="U176" s="119"/>
      <c r="V176" s="110">
        <f t="shared" si="36"/>
        <v>0</v>
      </c>
      <c r="W176" s="103"/>
      <c r="X176" s="112">
        <f t="shared" si="45"/>
        <v>0</v>
      </c>
      <c r="Y176" s="112">
        <f t="shared" si="46"/>
        <v>0</v>
      </c>
      <c r="Z176" s="113">
        <f t="shared" si="47"/>
        <v>0</v>
      </c>
      <c r="AA176" s="113">
        <v>0</v>
      </c>
      <c r="AB176" s="114">
        <v>0</v>
      </c>
      <c r="AC176" s="11">
        <f t="shared" si="48"/>
        <v>0</v>
      </c>
      <c r="AD176" s="115">
        <f t="shared" si="38"/>
        <v>0</v>
      </c>
      <c r="AE176" s="115" t="e">
        <f t="shared" si="39"/>
        <v>#REF!</v>
      </c>
      <c r="AF176" s="115">
        <f t="shared" si="40"/>
        <v>0</v>
      </c>
      <c r="AG176" s="11"/>
      <c r="AH176" s="115">
        <f t="shared" si="42"/>
        <v>0</v>
      </c>
      <c r="AI176" s="115">
        <f t="shared" si="43"/>
        <v>0</v>
      </c>
      <c r="AJ176" s="115">
        <f t="shared" si="44"/>
        <v>0</v>
      </c>
      <c r="AL176" s="11" t="e">
        <f t="shared" si="41"/>
        <v>#REF!</v>
      </c>
    </row>
    <row r="177" spans="1:38">
      <c r="A177" s="116"/>
      <c r="B177" s="116" t="s">
        <v>49</v>
      </c>
      <c r="C177" s="126" t="s">
        <v>275</v>
      </c>
      <c r="D177" s="120" t="s">
        <v>276</v>
      </c>
      <c r="E177" s="98"/>
      <c r="F177" s="99" t="e">
        <f>VLOOKUP(D177,#REF!,19,FALSE)</f>
        <v>#REF!</v>
      </c>
      <c r="G177" s="100"/>
      <c r="H177" s="100"/>
      <c r="I177" s="101"/>
      <c r="J177" s="102" t="e">
        <f t="shared" si="37"/>
        <v>#REF!</v>
      </c>
      <c r="K177" s="103"/>
      <c r="L177" s="104"/>
      <c r="M177" s="105"/>
      <c r="N177" s="103">
        <v>0</v>
      </c>
      <c r="O177" s="106"/>
      <c r="P177" s="103">
        <v>0</v>
      </c>
      <c r="Q177" s="107">
        <f t="shared" si="35"/>
        <v>0</v>
      </c>
      <c r="R177" s="107"/>
      <c r="S177" s="107"/>
      <c r="T177" s="108">
        <v>0</v>
      </c>
      <c r="U177" s="119"/>
      <c r="V177" s="110">
        <f t="shared" si="36"/>
        <v>0</v>
      </c>
      <c r="W177" s="103"/>
      <c r="X177" s="112">
        <f t="shared" si="45"/>
        <v>0</v>
      </c>
      <c r="Y177" s="112">
        <f t="shared" si="46"/>
        <v>0</v>
      </c>
      <c r="Z177" s="113">
        <f t="shared" si="47"/>
        <v>0</v>
      </c>
      <c r="AA177" s="113">
        <v>0</v>
      </c>
      <c r="AB177" s="114">
        <v>0</v>
      </c>
      <c r="AC177" s="11">
        <f t="shared" si="48"/>
        <v>0</v>
      </c>
      <c r="AD177" s="115" t="e">
        <f t="shared" si="38"/>
        <v>#REF!</v>
      </c>
      <c r="AE177" s="115">
        <f t="shared" si="39"/>
        <v>0</v>
      </c>
      <c r="AF177" s="115">
        <f t="shared" si="40"/>
        <v>0</v>
      </c>
      <c r="AG177" s="11"/>
      <c r="AH177" s="115">
        <f t="shared" si="42"/>
        <v>0</v>
      </c>
      <c r="AI177" s="115">
        <f t="shared" si="43"/>
        <v>0</v>
      </c>
      <c r="AJ177" s="115">
        <f t="shared" si="44"/>
        <v>0</v>
      </c>
      <c r="AL177" s="11" t="e">
        <f t="shared" si="41"/>
        <v>#REF!</v>
      </c>
    </row>
    <row r="178" spans="1:38">
      <c r="A178" s="116"/>
      <c r="B178" s="116" t="s">
        <v>49</v>
      </c>
      <c r="C178" s="126" t="s">
        <v>277</v>
      </c>
      <c r="D178" s="120" t="s">
        <v>278</v>
      </c>
      <c r="E178" s="98"/>
      <c r="F178" s="99" t="e">
        <f>VLOOKUP(D178,#REF!,19,FALSE)</f>
        <v>#REF!</v>
      </c>
      <c r="G178" s="100"/>
      <c r="H178" s="100"/>
      <c r="I178" s="101"/>
      <c r="J178" s="102" t="e">
        <f t="shared" si="37"/>
        <v>#REF!</v>
      </c>
      <c r="K178" s="103"/>
      <c r="L178" s="104"/>
      <c r="M178" s="105">
        <v>20000</v>
      </c>
      <c r="N178" s="103">
        <v>0</v>
      </c>
      <c r="O178" s="106"/>
      <c r="P178" s="103">
        <v>0</v>
      </c>
      <c r="Q178" s="107">
        <f t="shared" si="35"/>
        <v>20000</v>
      </c>
      <c r="R178" s="107"/>
      <c r="S178" s="107"/>
      <c r="T178" s="108">
        <v>0</v>
      </c>
      <c r="U178" s="119"/>
      <c r="V178" s="110">
        <f t="shared" si="36"/>
        <v>-20000</v>
      </c>
      <c r="W178" s="103"/>
      <c r="X178" s="112">
        <f t="shared" si="45"/>
        <v>20000</v>
      </c>
      <c r="Y178" s="112">
        <f t="shared" si="46"/>
        <v>0</v>
      </c>
      <c r="Z178" s="113">
        <f t="shared" si="47"/>
        <v>0</v>
      </c>
      <c r="AA178" s="113">
        <v>0</v>
      </c>
      <c r="AB178" s="114">
        <v>0</v>
      </c>
      <c r="AC178" s="11">
        <f t="shared" si="48"/>
        <v>0</v>
      </c>
      <c r="AD178" s="115" t="e">
        <f t="shared" si="38"/>
        <v>#REF!</v>
      </c>
      <c r="AE178" s="115">
        <f t="shared" si="39"/>
        <v>0</v>
      </c>
      <c r="AF178" s="115">
        <f t="shared" si="40"/>
        <v>0</v>
      </c>
      <c r="AG178" s="11"/>
      <c r="AH178" s="115">
        <f t="shared" si="42"/>
        <v>20000</v>
      </c>
      <c r="AI178" s="115">
        <f t="shared" si="43"/>
        <v>0</v>
      </c>
      <c r="AJ178" s="115">
        <f t="shared" si="44"/>
        <v>0</v>
      </c>
      <c r="AL178" s="11" t="e">
        <f t="shared" si="41"/>
        <v>#REF!</v>
      </c>
    </row>
    <row r="179" spans="1:38">
      <c r="A179" s="116"/>
      <c r="B179" s="116" t="s">
        <v>46</v>
      </c>
      <c r="C179" s="122" t="s">
        <v>279</v>
      </c>
      <c r="D179" s="120" t="s">
        <v>280</v>
      </c>
      <c r="E179" s="98"/>
      <c r="F179" s="99" t="e">
        <f>VLOOKUP(D179,#REF!,19,FALSE)</f>
        <v>#REF!</v>
      </c>
      <c r="G179" s="100"/>
      <c r="H179" s="100"/>
      <c r="I179" s="101"/>
      <c r="J179" s="102" t="e">
        <f t="shared" si="37"/>
        <v>#REF!</v>
      </c>
      <c r="K179" s="103"/>
      <c r="L179" s="104"/>
      <c r="M179" s="105"/>
      <c r="N179" s="103">
        <v>0</v>
      </c>
      <c r="O179" s="106"/>
      <c r="P179" s="103">
        <v>0</v>
      </c>
      <c r="Q179" s="107">
        <f t="shared" si="35"/>
        <v>0</v>
      </c>
      <c r="R179" s="107"/>
      <c r="S179" s="107"/>
      <c r="T179" s="108">
        <v>0</v>
      </c>
      <c r="U179" s="119"/>
      <c r="V179" s="110">
        <f t="shared" si="36"/>
        <v>0</v>
      </c>
      <c r="W179" s="103"/>
      <c r="X179" s="112">
        <f t="shared" si="45"/>
        <v>0</v>
      </c>
      <c r="Y179" s="112">
        <f t="shared" si="46"/>
        <v>0</v>
      </c>
      <c r="Z179" s="113">
        <f t="shared" si="47"/>
        <v>0</v>
      </c>
      <c r="AA179" s="113">
        <v>0</v>
      </c>
      <c r="AB179" s="114">
        <v>0</v>
      </c>
      <c r="AC179" s="11">
        <f t="shared" si="48"/>
        <v>0</v>
      </c>
      <c r="AD179" s="115">
        <f t="shared" si="38"/>
        <v>0</v>
      </c>
      <c r="AE179" s="115" t="e">
        <f t="shared" si="39"/>
        <v>#REF!</v>
      </c>
      <c r="AF179" s="115">
        <f t="shared" si="40"/>
        <v>0</v>
      </c>
      <c r="AG179" s="11"/>
      <c r="AH179" s="115">
        <f t="shared" si="42"/>
        <v>0</v>
      </c>
      <c r="AI179" s="115">
        <f t="shared" si="43"/>
        <v>0</v>
      </c>
      <c r="AJ179" s="115">
        <f t="shared" si="44"/>
        <v>0</v>
      </c>
      <c r="AL179" s="11" t="e">
        <f t="shared" si="41"/>
        <v>#REF!</v>
      </c>
    </row>
    <row r="180" spans="1:38">
      <c r="A180" s="129"/>
      <c r="B180" s="129" t="s">
        <v>49</v>
      </c>
      <c r="C180" s="96"/>
      <c r="D180" s="120" t="s">
        <v>281</v>
      </c>
      <c r="E180" s="98">
        <v>2303.75</v>
      </c>
      <c r="F180" s="99">
        <v>0</v>
      </c>
      <c r="G180" s="100"/>
      <c r="H180" s="100"/>
      <c r="I180" s="101"/>
      <c r="J180" s="102">
        <f t="shared" si="37"/>
        <v>2303.75</v>
      </c>
      <c r="K180" s="103"/>
      <c r="L180" s="104"/>
      <c r="M180" s="105"/>
      <c r="N180" s="103">
        <v>0</v>
      </c>
      <c r="O180" s="106"/>
      <c r="P180" s="103">
        <v>0</v>
      </c>
      <c r="Q180" s="107">
        <f t="shared" si="35"/>
        <v>0</v>
      </c>
      <c r="R180" s="107"/>
      <c r="S180" s="107"/>
      <c r="T180" s="108">
        <v>0</v>
      </c>
      <c r="U180" s="119"/>
      <c r="V180" s="110">
        <f t="shared" si="36"/>
        <v>0</v>
      </c>
      <c r="W180" s="103"/>
      <c r="X180" s="112">
        <f t="shared" si="45"/>
        <v>0</v>
      </c>
      <c r="Y180" s="112">
        <f t="shared" si="46"/>
        <v>0</v>
      </c>
      <c r="Z180" s="113">
        <f t="shared" si="47"/>
        <v>0</v>
      </c>
      <c r="AA180" s="113">
        <v>0</v>
      </c>
      <c r="AB180" s="114">
        <v>0</v>
      </c>
      <c r="AC180" s="11">
        <f t="shared" si="48"/>
        <v>0</v>
      </c>
      <c r="AD180" s="115">
        <f t="shared" si="38"/>
        <v>2303.75</v>
      </c>
      <c r="AE180" s="115">
        <f t="shared" si="39"/>
        <v>0</v>
      </c>
      <c r="AF180" s="115">
        <f t="shared" si="40"/>
        <v>0</v>
      </c>
      <c r="AG180" s="11"/>
      <c r="AH180" s="115">
        <f t="shared" si="42"/>
        <v>0</v>
      </c>
      <c r="AI180" s="115">
        <f t="shared" si="43"/>
        <v>0</v>
      </c>
      <c r="AJ180" s="115">
        <f t="shared" si="44"/>
        <v>0</v>
      </c>
      <c r="AL180" s="11">
        <f t="shared" si="41"/>
        <v>2303.75</v>
      </c>
    </row>
    <row r="181" spans="1:38">
      <c r="A181" s="129"/>
      <c r="B181" s="129" t="s">
        <v>46</v>
      </c>
      <c r="C181" s="96" t="s">
        <v>282</v>
      </c>
      <c r="D181" s="120" t="s">
        <v>283</v>
      </c>
      <c r="E181" s="98"/>
      <c r="F181" s="99" t="e">
        <f>VLOOKUP(D181,#REF!,19,FALSE)</f>
        <v>#REF!</v>
      </c>
      <c r="G181" s="100"/>
      <c r="H181" s="100"/>
      <c r="I181" s="101"/>
      <c r="J181" s="102" t="e">
        <f t="shared" si="37"/>
        <v>#REF!</v>
      </c>
      <c r="K181" s="103"/>
      <c r="L181" s="104"/>
      <c r="M181" s="105">
        <v>25000</v>
      </c>
      <c r="N181" s="103">
        <v>0</v>
      </c>
      <c r="O181" s="106"/>
      <c r="P181" s="103">
        <v>0</v>
      </c>
      <c r="Q181" s="107">
        <f t="shared" si="35"/>
        <v>25000</v>
      </c>
      <c r="R181" s="107"/>
      <c r="S181" s="107"/>
      <c r="T181" s="108">
        <v>0</v>
      </c>
      <c r="U181" s="119"/>
      <c r="V181" s="110">
        <f t="shared" si="36"/>
        <v>-25000</v>
      </c>
      <c r="W181" s="103"/>
      <c r="X181" s="112">
        <f t="shared" si="45"/>
        <v>0</v>
      </c>
      <c r="Y181" s="112">
        <f t="shared" si="46"/>
        <v>25000</v>
      </c>
      <c r="Z181" s="113">
        <f t="shared" si="47"/>
        <v>0</v>
      </c>
      <c r="AA181" s="113">
        <v>0</v>
      </c>
      <c r="AB181" s="114">
        <v>0</v>
      </c>
      <c r="AC181" s="11">
        <f t="shared" si="48"/>
        <v>0</v>
      </c>
      <c r="AD181" s="115">
        <f t="shared" si="38"/>
        <v>0</v>
      </c>
      <c r="AE181" s="115" t="e">
        <f t="shared" si="39"/>
        <v>#REF!</v>
      </c>
      <c r="AF181" s="115">
        <f t="shared" si="40"/>
        <v>0</v>
      </c>
      <c r="AG181" s="11"/>
      <c r="AH181" s="115">
        <f t="shared" si="42"/>
        <v>0</v>
      </c>
      <c r="AI181" s="115">
        <f t="shared" si="43"/>
        <v>25000</v>
      </c>
      <c r="AJ181" s="115">
        <f t="shared" si="44"/>
        <v>0</v>
      </c>
      <c r="AL181" s="11" t="e">
        <f t="shared" si="41"/>
        <v>#REF!</v>
      </c>
    </row>
    <row r="182" spans="1:38">
      <c r="A182" s="129"/>
      <c r="B182" s="129" t="s">
        <v>81</v>
      </c>
      <c r="C182" s="96" t="s">
        <v>282</v>
      </c>
      <c r="D182" s="120" t="s">
        <v>283</v>
      </c>
      <c r="E182" s="98"/>
      <c r="F182" s="99">
        <v>0</v>
      </c>
      <c r="G182" s="100"/>
      <c r="H182" s="100"/>
      <c r="I182" s="101"/>
      <c r="J182" s="102">
        <f t="shared" si="37"/>
        <v>0</v>
      </c>
      <c r="K182" s="103"/>
      <c r="L182" s="104"/>
      <c r="M182" s="105"/>
      <c r="N182" s="103">
        <v>0</v>
      </c>
      <c r="O182" s="106"/>
      <c r="P182" s="103">
        <v>0</v>
      </c>
      <c r="Q182" s="107">
        <f t="shared" si="35"/>
        <v>0</v>
      </c>
      <c r="R182" s="107"/>
      <c r="S182" s="107"/>
      <c r="T182" s="108">
        <v>0</v>
      </c>
      <c r="U182" s="119"/>
      <c r="V182" s="110">
        <f t="shared" si="36"/>
        <v>0</v>
      </c>
      <c r="W182" s="103"/>
      <c r="X182" s="112">
        <f t="shared" si="45"/>
        <v>0</v>
      </c>
      <c r="Y182" s="112">
        <f t="shared" si="46"/>
        <v>0</v>
      </c>
      <c r="Z182" s="113">
        <f t="shared" si="47"/>
        <v>0</v>
      </c>
      <c r="AA182" s="113">
        <v>0</v>
      </c>
      <c r="AB182" s="114">
        <v>0</v>
      </c>
      <c r="AC182" s="11">
        <f t="shared" si="48"/>
        <v>0</v>
      </c>
      <c r="AD182" s="115">
        <f t="shared" si="38"/>
        <v>0</v>
      </c>
      <c r="AE182" s="115">
        <f t="shared" si="39"/>
        <v>0</v>
      </c>
      <c r="AF182" s="115">
        <f t="shared" si="40"/>
        <v>0</v>
      </c>
      <c r="AG182" s="11"/>
      <c r="AH182" s="115">
        <f t="shared" si="42"/>
        <v>0</v>
      </c>
      <c r="AI182" s="115">
        <f t="shared" si="43"/>
        <v>0</v>
      </c>
      <c r="AJ182" s="115">
        <f t="shared" si="44"/>
        <v>0</v>
      </c>
      <c r="AL182" s="11">
        <f t="shared" si="41"/>
        <v>0</v>
      </c>
    </row>
    <row r="183" spans="1:38">
      <c r="A183" s="129"/>
      <c r="B183" s="129" t="s">
        <v>49</v>
      </c>
      <c r="C183" s="96" t="s">
        <v>284</v>
      </c>
      <c r="D183" s="144" t="s">
        <v>285</v>
      </c>
      <c r="E183" s="98"/>
      <c r="F183" s="99" t="e">
        <f>VLOOKUP(D183,#REF!,19,FALSE)</f>
        <v>#REF!</v>
      </c>
      <c r="G183" s="100"/>
      <c r="H183" s="100"/>
      <c r="I183" s="101"/>
      <c r="J183" s="102" t="e">
        <f t="shared" si="37"/>
        <v>#REF!</v>
      </c>
      <c r="K183" s="103"/>
      <c r="L183" s="104"/>
      <c r="M183" s="105">
        <v>40000</v>
      </c>
      <c r="N183" s="103">
        <v>0</v>
      </c>
      <c r="O183" s="106"/>
      <c r="P183" s="103">
        <v>0</v>
      </c>
      <c r="Q183" s="107">
        <f t="shared" si="35"/>
        <v>40000</v>
      </c>
      <c r="R183" s="107"/>
      <c r="S183" s="107"/>
      <c r="T183" s="108">
        <v>0</v>
      </c>
      <c r="U183" s="119"/>
      <c r="V183" s="110">
        <f t="shared" si="36"/>
        <v>-40000</v>
      </c>
      <c r="W183" s="103"/>
      <c r="X183" s="112">
        <f t="shared" si="45"/>
        <v>40000</v>
      </c>
      <c r="Y183" s="112">
        <f t="shared" si="46"/>
        <v>0</v>
      </c>
      <c r="Z183" s="113">
        <f t="shared" si="47"/>
        <v>0</v>
      </c>
      <c r="AA183" s="113">
        <v>0</v>
      </c>
      <c r="AB183" s="114">
        <v>0</v>
      </c>
      <c r="AC183" s="11">
        <f t="shared" si="48"/>
        <v>0</v>
      </c>
      <c r="AD183" s="115" t="e">
        <f t="shared" si="38"/>
        <v>#REF!</v>
      </c>
      <c r="AE183" s="115">
        <f t="shared" si="39"/>
        <v>0</v>
      </c>
      <c r="AF183" s="115">
        <f t="shared" si="40"/>
        <v>0</v>
      </c>
      <c r="AG183" s="11"/>
      <c r="AH183" s="115">
        <f t="shared" si="42"/>
        <v>40000</v>
      </c>
      <c r="AI183" s="115">
        <f t="shared" si="43"/>
        <v>0</v>
      </c>
      <c r="AJ183" s="115">
        <f t="shared" si="44"/>
        <v>0</v>
      </c>
      <c r="AL183" s="11" t="e">
        <f t="shared" si="41"/>
        <v>#REF!</v>
      </c>
    </row>
    <row r="184" spans="1:38">
      <c r="A184" s="116"/>
      <c r="B184" s="116" t="s">
        <v>46</v>
      </c>
      <c r="C184" s="122"/>
      <c r="D184" s="144" t="s">
        <v>286</v>
      </c>
      <c r="E184" s="98"/>
      <c r="F184" s="99" t="e">
        <f>VLOOKUP(D184,#REF!,19,FALSE)</f>
        <v>#REF!</v>
      </c>
      <c r="G184" s="100"/>
      <c r="H184" s="100"/>
      <c r="I184" s="101"/>
      <c r="J184" s="102" t="e">
        <f t="shared" si="37"/>
        <v>#REF!</v>
      </c>
      <c r="K184" s="103"/>
      <c r="L184" s="104"/>
      <c r="M184" s="105">
        <v>105000</v>
      </c>
      <c r="N184" s="103">
        <v>0</v>
      </c>
      <c r="O184" s="106"/>
      <c r="P184" s="103">
        <v>0</v>
      </c>
      <c r="Q184" s="107">
        <f t="shared" si="35"/>
        <v>105000</v>
      </c>
      <c r="R184" s="107"/>
      <c r="S184" s="107"/>
      <c r="T184" s="108">
        <v>0</v>
      </c>
      <c r="U184" s="119"/>
      <c r="V184" s="110">
        <f t="shared" si="36"/>
        <v>-105000</v>
      </c>
      <c r="W184" s="103"/>
      <c r="X184" s="112">
        <f t="shared" si="45"/>
        <v>0</v>
      </c>
      <c r="Y184" s="112">
        <f t="shared" si="46"/>
        <v>105000</v>
      </c>
      <c r="Z184" s="113">
        <f t="shared" si="47"/>
        <v>0</v>
      </c>
      <c r="AA184" s="113">
        <v>0</v>
      </c>
      <c r="AB184" s="114">
        <v>0</v>
      </c>
      <c r="AC184" s="11">
        <f t="shared" si="48"/>
        <v>0</v>
      </c>
      <c r="AD184" s="115">
        <f t="shared" si="38"/>
        <v>0</v>
      </c>
      <c r="AE184" s="115" t="e">
        <f t="shared" si="39"/>
        <v>#REF!</v>
      </c>
      <c r="AF184" s="115">
        <f t="shared" si="40"/>
        <v>0</v>
      </c>
      <c r="AG184" s="11"/>
      <c r="AH184" s="115">
        <f t="shared" si="42"/>
        <v>0</v>
      </c>
      <c r="AI184" s="115">
        <f t="shared" si="43"/>
        <v>105000</v>
      </c>
      <c r="AJ184" s="115">
        <f t="shared" si="44"/>
        <v>0</v>
      </c>
      <c r="AL184" s="11" t="e">
        <f t="shared" si="41"/>
        <v>#REF!</v>
      </c>
    </row>
    <row r="185" spans="1:38">
      <c r="A185" s="129"/>
      <c r="B185" s="129" t="s">
        <v>49</v>
      </c>
      <c r="C185" s="96"/>
      <c r="D185" s="120" t="s">
        <v>287</v>
      </c>
      <c r="E185" s="98"/>
      <c r="F185" s="99" t="e">
        <f>VLOOKUP(D185,#REF!,19,FALSE)</f>
        <v>#REF!</v>
      </c>
      <c r="G185" s="100"/>
      <c r="H185" s="100"/>
      <c r="I185" s="101"/>
      <c r="J185" s="102" t="e">
        <f t="shared" si="37"/>
        <v>#REF!</v>
      </c>
      <c r="K185" s="103"/>
      <c r="L185" s="104"/>
      <c r="M185" s="105">
        <v>75000</v>
      </c>
      <c r="N185" s="103">
        <v>0</v>
      </c>
      <c r="O185" s="106"/>
      <c r="P185" s="103">
        <v>0</v>
      </c>
      <c r="Q185" s="107">
        <f t="shared" si="35"/>
        <v>75000</v>
      </c>
      <c r="R185" s="107"/>
      <c r="S185" s="107"/>
      <c r="T185" s="108">
        <f>70356.01+3929.18</f>
        <v>74285.189999999988</v>
      </c>
      <c r="U185" s="119"/>
      <c r="V185" s="110">
        <f t="shared" si="36"/>
        <v>-714.81000000001222</v>
      </c>
      <c r="W185" s="103"/>
      <c r="X185" s="112">
        <f t="shared" si="45"/>
        <v>75000</v>
      </c>
      <c r="Y185" s="112">
        <f t="shared" si="46"/>
        <v>0</v>
      </c>
      <c r="Z185" s="113">
        <f t="shared" si="47"/>
        <v>0</v>
      </c>
      <c r="AA185" s="113">
        <v>0</v>
      </c>
      <c r="AB185" s="114">
        <v>0</v>
      </c>
      <c r="AC185" s="11">
        <f t="shared" si="48"/>
        <v>0</v>
      </c>
      <c r="AD185" s="115" t="e">
        <f t="shared" si="38"/>
        <v>#REF!</v>
      </c>
      <c r="AE185" s="115">
        <f t="shared" si="39"/>
        <v>0</v>
      </c>
      <c r="AF185" s="115">
        <f t="shared" si="40"/>
        <v>0</v>
      </c>
      <c r="AG185" s="11"/>
      <c r="AH185" s="115">
        <f t="shared" si="42"/>
        <v>75000</v>
      </c>
      <c r="AI185" s="115">
        <f t="shared" si="43"/>
        <v>0</v>
      </c>
      <c r="AJ185" s="115">
        <f t="shared" si="44"/>
        <v>0</v>
      </c>
      <c r="AL185" s="11" t="e">
        <f t="shared" si="41"/>
        <v>#REF!</v>
      </c>
    </row>
    <row r="186" spans="1:38">
      <c r="A186" s="116" t="s">
        <v>60</v>
      </c>
      <c r="B186" s="116" t="s">
        <v>46</v>
      </c>
      <c r="C186" s="122"/>
      <c r="D186" s="120" t="s">
        <v>288</v>
      </c>
      <c r="E186" s="98"/>
      <c r="F186" s="99" t="e">
        <f>VLOOKUP(D186,#REF!,19,FALSE)</f>
        <v>#REF!</v>
      </c>
      <c r="G186" s="100"/>
      <c r="H186" s="100"/>
      <c r="I186" s="101"/>
      <c r="J186" s="102" t="e">
        <f t="shared" si="37"/>
        <v>#REF!</v>
      </c>
      <c r="K186" s="103"/>
      <c r="L186" s="104"/>
      <c r="M186" s="105"/>
      <c r="N186" s="103">
        <v>0</v>
      </c>
      <c r="O186" s="106"/>
      <c r="P186" s="103">
        <v>0</v>
      </c>
      <c r="Q186" s="107">
        <f t="shared" si="35"/>
        <v>0</v>
      </c>
      <c r="R186" s="107"/>
      <c r="S186" s="107"/>
      <c r="T186" s="108">
        <v>0</v>
      </c>
      <c r="U186" s="119"/>
      <c r="V186" s="110">
        <f t="shared" si="36"/>
        <v>0</v>
      </c>
      <c r="W186" s="103"/>
      <c r="X186" s="112">
        <f t="shared" si="45"/>
        <v>0</v>
      </c>
      <c r="Y186" s="112">
        <f t="shared" si="46"/>
        <v>0</v>
      </c>
      <c r="Z186" s="113">
        <f t="shared" si="47"/>
        <v>0</v>
      </c>
      <c r="AA186" s="113">
        <v>0</v>
      </c>
      <c r="AB186" s="114">
        <v>0</v>
      </c>
      <c r="AC186" s="11">
        <f t="shared" si="48"/>
        <v>0</v>
      </c>
      <c r="AD186" s="115">
        <f t="shared" si="38"/>
        <v>0</v>
      </c>
      <c r="AE186" s="115" t="e">
        <f t="shared" si="39"/>
        <v>#REF!</v>
      </c>
      <c r="AF186" s="115">
        <f t="shared" si="40"/>
        <v>0</v>
      </c>
      <c r="AG186" s="11"/>
      <c r="AH186" s="115">
        <f t="shared" si="42"/>
        <v>0</v>
      </c>
      <c r="AI186" s="115">
        <f t="shared" si="43"/>
        <v>0</v>
      </c>
      <c r="AJ186" s="115">
        <f t="shared" si="44"/>
        <v>0</v>
      </c>
      <c r="AL186" s="11" t="e">
        <f t="shared" si="41"/>
        <v>#REF!</v>
      </c>
    </row>
    <row r="187" spans="1:38">
      <c r="A187" s="116"/>
      <c r="B187" s="116" t="s">
        <v>49</v>
      </c>
      <c r="C187" s="122" t="s">
        <v>289</v>
      </c>
      <c r="D187" s="120" t="s">
        <v>290</v>
      </c>
      <c r="E187" s="284">
        <v>55839.53</v>
      </c>
      <c r="F187" s="99" t="e">
        <f>VLOOKUP(D187,#REF!,19,FALSE)</f>
        <v>#REF!</v>
      </c>
      <c r="G187" s="100"/>
      <c r="H187" s="100"/>
      <c r="I187" s="101"/>
      <c r="J187" s="102" t="e">
        <f t="shared" si="37"/>
        <v>#REF!</v>
      </c>
      <c r="K187" s="103"/>
      <c r="L187" s="104"/>
      <c r="M187" s="105">
        <v>2900000</v>
      </c>
      <c r="N187" s="103">
        <v>0</v>
      </c>
      <c r="O187" s="106"/>
      <c r="P187" s="103">
        <v>0</v>
      </c>
      <c r="Q187" s="107">
        <f t="shared" si="35"/>
        <v>2900000</v>
      </c>
      <c r="R187" s="107"/>
      <c r="S187" s="107"/>
      <c r="T187" s="108">
        <f>3461882.71+35504.74+490.15</f>
        <v>3497877.6</v>
      </c>
      <c r="U187" s="119"/>
      <c r="V187" s="110">
        <f t="shared" si="36"/>
        <v>597877.60000000009</v>
      </c>
      <c r="W187" s="103"/>
      <c r="X187" s="112">
        <f t="shared" si="45"/>
        <v>2900000</v>
      </c>
      <c r="Y187" s="112">
        <f t="shared" si="46"/>
        <v>0</v>
      </c>
      <c r="Z187" s="113">
        <f t="shared" si="47"/>
        <v>0</v>
      </c>
      <c r="AA187" s="113">
        <v>0</v>
      </c>
      <c r="AB187" s="114">
        <v>0</v>
      </c>
      <c r="AC187" s="11">
        <f t="shared" si="48"/>
        <v>0</v>
      </c>
      <c r="AD187" s="115" t="e">
        <f t="shared" si="38"/>
        <v>#REF!</v>
      </c>
      <c r="AE187" s="115">
        <f t="shared" si="39"/>
        <v>0</v>
      </c>
      <c r="AF187" s="115">
        <f t="shared" si="40"/>
        <v>0</v>
      </c>
      <c r="AG187" s="11"/>
      <c r="AH187" s="115">
        <f t="shared" si="42"/>
        <v>2900000</v>
      </c>
      <c r="AI187" s="115">
        <f t="shared" si="43"/>
        <v>0</v>
      </c>
      <c r="AJ187" s="115">
        <f t="shared" si="44"/>
        <v>0</v>
      </c>
      <c r="AL187" s="11" t="e">
        <f t="shared" si="41"/>
        <v>#REF!</v>
      </c>
    </row>
    <row r="188" spans="1:38">
      <c r="A188" s="116"/>
      <c r="B188" s="116" t="s">
        <v>49</v>
      </c>
      <c r="C188" s="122" t="s">
        <v>289</v>
      </c>
      <c r="D188" s="120" t="s">
        <v>292</v>
      </c>
      <c r="E188" s="98"/>
      <c r="F188" s="99" t="e">
        <f>VLOOKUP(D188,#REF!,19,FALSE)</f>
        <v>#REF!</v>
      </c>
      <c r="G188" s="100"/>
      <c r="H188" s="100"/>
      <c r="I188" s="101"/>
      <c r="J188" s="102" t="e">
        <f t="shared" si="37"/>
        <v>#REF!</v>
      </c>
      <c r="K188" s="103"/>
      <c r="L188" s="104"/>
      <c r="M188" s="105"/>
      <c r="N188" s="103">
        <v>0</v>
      </c>
      <c r="O188" s="106"/>
      <c r="P188" s="103">
        <v>0</v>
      </c>
      <c r="Q188" s="107">
        <f t="shared" si="35"/>
        <v>0</v>
      </c>
      <c r="R188" s="107"/>
      <c r="S188" s="107"/>
      <c r="T188" s="108">
        <v>387.28</v>
      </c>
      <c r="U188" s="119"/>
      <c r="V188" s="110">
        <f t="shared" si="36"/>
        <v>387.28</v>
      </c>
      <c r="W188" s="103"/>
      <c r="X188" s="112">
        <f t="shared" si="45"/>
        <v>0</v>
      </c>
      <c r="Y188" s="112">
        <f t="shared" si="46"/>
        <v>0</v>
      </c>
      <c r="Z188" s="113">
        <f t="shared" si="47"/>
        <v>0</v>
      </c>
      <c r="AA188" s="113">
        <v>0</v>
      </c>
      <c r="AB188" s="114">
        <v>0</v>
      </c>
      <c r="AC188" s="11">
        <f t="shared" si="48"/>
        <v>0</v>
      </c>
      <c r="AD188" s="115" t="e">
        <f t="shared" si="38"/>
        <v>#REF!</v>
      </c>
      <c r="AE188" s="115">
        <f t="shared" si="39"/>
        <v>0</v>
      </c>
      <c r="AF188" s="115">
        <f t="shared" si="40"/>
        <v>0</v>
      </c>
      <c r="AG188" s="11"/>
      <c r="AH188" s="115">
        <f t="shared" si="42"/>
        <v>0</v>
      </c>
      <c r="AI188" s="115">
        <f t="shared" si="43"/>
        <v>0</v>
      </c>
      <c r="AJ188" s="115">
        <f t="shared" si="44"/>
        <v>0</v>
      </c>
      <c r="AL188" s="11" t="e">
        <f t="shared" si="41"/>
        <v>#REF!</v>
      </c>
    </row>
    <row r="189" spans="1:38">
      <c r="A189" s="129"/>
      <c r="B189" s="129" t="s">
        <v>49</v>
      </c>
      <c r="C189" s="96"/>
      <c r="D189" s="120" t="s">
        <v>293</v>
      </c>
      <c r="E189" s="98"/>
      <c r="F189" s="99" t="e">
        <f>VLOOKUP(D189,#REF!,19,FALSE)</f>
        <v>#REF!</v>
      </c>
      <c r="G189" s="100"/>
      <c r="H189" s="100"/>
      <c r="I189" s="125">
        <v>928.12</v>
      </c>
      <c r="J189" s="102" t="e">
        <f t="shared" si="37"/>
        <v>#REF!</v>
      </c>
      <c r="K189" s="103"/>
      <c r="L189" s="104"/>
      <c r="M189" s="105"/>
      <c r="N189" s="103">
        <v>0</v>
      </c>
      <c r="O189" s="106"/>
      <c r="P189" s="103">
        <v>0</v>
      </c>
      <c r="Q189" s="107">
        <f t="shared" si="35"/>
        <v>0</v>
      </c>
      <c r="R189" s="107"/>
      <c r="S189" s="107"/>
      <c r="T189" s="108">
        <v>0</v>
      </c>
      <c r="U189" s="119"/>
      <c r="V189" s="110">
        <f t="shared" si="36"/>
        <v>0</v>
      </c>
      <c r="W189" s="103"/>
      <c r="X189" s="112">
        <f t="shared" si="45"/>
        <v>0</v>
      </c>
      <c r="Y189" s="112">
        <f t="shared" si="46"/>
        <v>0</v>
      </c>
      <c r="Z189" s="113">
        <f t="shared" si="47"/>
        <v>0</v>
      </c>
      <c r="AA189" s="113">
        <v>0</v>
      </c>
      <c r="AB189" s="114">
        <v>0</v>
      </c>
      <c r="AC189" s="11">
        <f t="shared" si="48"/>
        <v>0</v>
      </c>
      <c r="AD189" s="115" t="e">
        <f t="shared" si="38"/>
        <v>#REF!</v>
      </c>
      <c r="AE189" s="115">
        <f t="shared" si="39"/>
        <v>0</v>
      </c>
      <c r="AF189" s="115">
        <f t="shared" si="40"/>
        <v>0</v>
      </c>
      <c r="AG189" s="11"/>
      <c r="AH189" s="115">
        <f t="shared" si="42"/>
        <v>0</v>
      </c>
      <c r="AI189" s="115">
        <f t="shared" si="43"/>
        <v>0</v>
      </c>
      <c r="AJ189" s="115">
        <f t="shared" si="44"/>
        <v>0</v>
      </c>
      <c r="AL189" s="11" t="e">
        <f t="shared" si="41"/>
        <v>#REF!</v>
      </c>
    </row>
    <row r="190" spans="1:38" hidden="1">
      <c r="A190" s="129"/>
      <c r="B190" s="129" t="s">
        <v>46</v>
      </c>
      <c r="C190" s="96"/>
      <c r="D190" s="120" t="s">
        <v>294</v>
      </c>
      <c r="E190" s="98"/>
      <c r="F190" s="99" t="e">
        <f>VLOOKUP(D190,#REF!,19,FALSE)</f>
        <v>#REF!</v>
      </c>
      <c r="G190" s="100"/>
      <c r="H190" s="100"/>
      <c r="I190" s="101"/>
      <c r="J190" s="102" t="e">
        <f t="shared" si="37"/>
        <v>#REF!</v>
      </c>
      <c r="K190" s="103"/>
      <c r="L190" s="104"/>
      <c r="M190" s="105"/>
      <c r="N190" s="103">
        <v>0</v>
      </c>
      <c r="O190" s="106"/>
      <c r="P190" s="103">
        <v>0</v>
      </c>
      <c r="Q190" s="107">
        <f t="shared" si="35"/>
        <v>0</v>
      </c>
      <c r="R190" s="107"/>
      <c r="S190" s="107"/>
      <c r="T190" s="108">
        <v>0</v>
      </c>
      <c r="U190" s="119"/>
      <c r="V190" s="110">
        <f t="shared" si="36"/>
        <v>0</v>
      </c>
      <c r="W190" s="103"/>
      <c r="X190" s="112">
        <f t="shared" si="45"/>
        <v>0</v>
      </c>
      <c r="Y190" s="112">
        <f t="shared" si="46"/>
        <v>0</v>
      </c>
      <c r="Z190" s="113">
        <f t="shared" si="47"/>
        <v>0</v>
      </c>
      <c r="AA190" s="113">
        <v>0</v>
      </c>
      <c r="AB190" s="114">
        <v>0</v>
      </c>
      <c r="AC190" s="11">
        <f t="shared" si="48"/>
        <v>0</v>
      </c>
      <c r="AD190" s="115">
        <f t="shared" si="38"/>
        <v>0</v>
      </c>
      <c r="AE190" s="115" t="e">
        <f t="shared" si="39"/>
        <v>#REF!</v>
      </c>
      <c r="AF190" s="115">
        <f t="shared" si="40"/>
        <v>0</v>
      </c>
      <c r="AG190" s="11"/>
      <c r="AH190" s="115">
        <f t="shared" si="42"/>
        <v>0</v>
      </c>
      <c r="AI190" s="115">
        <f t="shared" si="43"/>
        <v>0</v>
      </c>
      <c r="AJ190" s="115">
        <f t="shared" si="44"/>
        <v>0</v>
      </c>
      <c r="AL190" s="11" t="e">
        <f t="shared" si="41"/>
        <v>#REF!</v>
      </c>
    </row>
    <row r="191" spans="1:38">
      <c r="A191" s="129"/>
      <c r="B191" s="129" t="s">
        <v>46</v>
      </c>
      <c r="C191" s="96"/>
      <c r="D191" s="120" t="s">
        <v>295</v>
      </c>
      <c r="E191" s="98"/>
      <c r="F191" s="99" t="e">
        <f>VLOOKUP(D191,#REF!,19,FALSE)</f>
        <v>#REF!</v>
      </c>
      <c r="G191" s="100"/>
      <c r="H191" s="100"/>
      <c r="I191" s="101"/>
      <c r="J191" s="102" t="e">
        <f t="shared" si="37"/>
        <v>#REF!</v>
      </c>
      <c r="K191" s="103"/>
      <c r="L191" s="104"/>
      <c r="M191" s="105"/>
      <c r="N191" s="103">
        <v>0</v>
      </c>
      <c r="O191" s="106"/>
      <c r="P191" s="103">
        <v>0</v>
      </c>
      <c r="Q191" s="107">
        <f t="shared" si="35"/>
        <v>0</v>
      </c>
      <c r="R191" s="107"/>
      <c r="S191" s="107"/>
      <c r="T191" s="108">
        <v>0</v>
      </c>
      <c r="U191" s="119"/>
      <c r="V191" s="110">
        <f t="shared" si="36"/>
        <v>0</v>
      </c>
      <c r="W191" s="103"/>
      <c r="X191" s="112">
        <f t="shared" si="45"/>
        <v>0</v>
      </c>
      <c r="Y191" s="112">
        <f t="shared" si="46"/>
        <v>0</v>
      </c>
      <c r="Z191" s="113">
        <f t="shared" si="47"/>
        <v>0</v>
      </c>
      <c r="AA191" s="113">
        <v>0</v>
      </c>
      <c r="AB191" s="114">
        <v>0</v>
      </c>
      <c r="AC191" s="11">
        <f t="shared" si="48"/>
        <v>0</v>
      </c>
      <c r="AD191" s="115">
        <f t="shared" si="38"/>
        <v>0</v>
      </c>
      <c r="AE191" s="115" t="e">
        <f t="shared" si="39"/>
        <v>#REF!</v>
      </c>
      <c r="AF191" s="115">
        <f t="shared" si="40"/>
        <v>0</v>
      </c>
      <c r="AG191" s="11"/>
      <c r="AH191" s="115">
        <f t="shared" si="42"/>
        <v>0</v>
      </c>
      <c r="AI191" s="115">
        <f t="shared" si="43"/>
        <v>0</v>
      </c>
      <c r="AJ191" s="115">
        <f t="shared" si="44"/>
        <v>0</v>
      </c>
      <c r="AL191" s="11" t="e">
        <f t="shared" si="41"/>
        <v>#REF!</v>
      </c>
    </row>
    <row r="192" spans="1:38" hidden="1">
      <c r="A192" s="129"/>
      <c r="B192" s="129" t="s">
        <v>46</v>
      </c>
      <c r="C192" s="96"/>
      <c r="D192" s="120" t="s">
        <v>296</v>
      </c>
      <c r="E192" s="98"/>
      <c r="F192" s="99" t="e">
        <f>VLOOKUP(D192,#REF!,19,FALSE)</f>
        <v>#REF!</v>
      </c>
      <c r="G192" s="100"/>
      <c r="H192" s="100"/>
      <c r="I192" s="101"/>
      <c r="J192" s="102" t="e">
        <f t="shared" si="37"/>
        <v>#REF!</v>
      </c>
      <c r="K192" s="103"/>
      <c r="L192" s="104"/>
      <c r="M192" s="105"/>
      <c r="N192" s="103">
        <v>0</v>
      </c>
      <c r="O192" s="106"/>
      <c r="P192" s="103">
        <v>0</v>
      </c>
      <c r="Q192" s="107">
        <f t="shared" si="35"/>
        <v>0</v>
      </c>
      <c r="R192" s="107"/>
      <c r="S192" s="107"/>
      <c r="T192" s="108">
        <v>0</v>
      </c>
      <c r="U192" s="119"/>
      <c r="V192" s="110">
        <f t="shared" si="36"/>
        <v>0</v>
      </c>
      <c r="W192" s="103"/>
      <c r="X192" s="112">
        <f t="shared" si="45"/>
        <v>0</v>
      </c>
      <c r="Y192" s="112">
        <f t="shared" si="46"/>
        <v>0</v>
      </c>
      <c r="Z192" s="113">
        <f t="shared" si="47"/>
        <v>0</v>
      </c>
      <c r="AA192" s="113">
        <v>0</v>
      </c>
      <c r="AB192" s="114">
        <v>0</v>
      </c>
      <c r="AC192" s="11">
        <f t="shared" si="48"/>
        <v>0</v>
      </c>
      <c r="AD192" s="115">
        <f t="shared" si="38"/>
        <v>0</v>
      </c>
      <c r="AE192" s="115" t="e">
        <f t="shared" si="39"/>
        <v>#REF!</v>
      </c>
      <c r="AF192" s="115">
        <f t="shared" si="40"/>
        <v>0</v>
      </c>
      <c r="AG192" s="11"/>
      <c r="AH192" s="115">
        <f t="shared" si="42"/>
        <v>0</v>
      </c>
      <c r="AI192" s="115">
        <f t="shared" si="43"/>
        <v>0</v>
      </c>
      <c r="AJ192" s="115">
        <f t="shared" si="44"/>
        <v>0</v>
      </c>
      <c r="AL192" s="11" t="e">
        <f t="shared" si="41"/>
        <v>#REF!</v>
      </c>
    </row>
    <row r="193" spans="1:38">
      <c r="A193" s="129"/>
      <c r="B193" s="129" t="s">
        <v>49</v>
      </c>
      <c r="C193" s="96"/>
      <c r="D193" s="120" t="s">
        <v>297</v>
      </c>
      <c r="E193" s="98"/>
      <c r="F193" s="99">
        <v>0</v>
      </c>
      <c r="G193" s="100"/>
      <c r="H193" s="100"/>
      <c r="I193" s="101"/>
      <c r="J193" s="102">
        <f t="shared" si="37"/>
        <v>0</v>
      </c>
      <c r="K193" s="103"/>
      <c r="L193" s="104"/>
      <c r="M193" s="105"/>
      <c r="N193" s="103">
        <v>0</v>
      </c>
      <c r="O193" s="106"/>
      <c r="P193" s="103">
        <v>0</v>
      </c>
      <c r="Q193" s="107">
        <f t="shared" si="35"/>
        <v>0</v>
      </c>
      <c r="R193" s="107"/>
      <c r="S193" s="107"/>
      <c r="T193" s="108">
        <v>0</v>
      </c>
      <c r="U193" s="119"/>
      <c r="V193" s="110">
        <f t="shared" si="36"/>
        <v>0</v>
      </c>
      <c r="W193" s="103"/>
      <c r="X193" s="112">
        <f t="shared" si="45"/>
        <v>0</v>
      </c>
      <c r="Y193" s="112">
        <f t="shared" si="46"/>
        <v>0</v>
      </c>
      <c r="Z193" s="113">
        <f t="shared" si="47"/>
        <v>0</v>
      </c>
      <c r="AA193" s="113">
        <v>0</v>
      </c>
      <c r="AB193" s="114">
        <v>0</v>
      </c>
      <c r="AC193" s="11">
        <f t="shared" si="48"/>
        <v>0</v>
      </c>
      <c r="AD193" s="115">
        <f t="shared" si="38"/>
        <v>0</v>
      </c>
      <c r="AE193" s="115">
        <f t="shared" si="39"/>
        <v>0</v>
      </c>
      <c r="AF193" s="115">
        <f t="shared" si="40"/>
        <v>0</v>
      </c>
      <c r="AG193" s="11"/>
      <c r="AH193" s="115">
        <f t="shared" si="42"/>
        <v>0</v>
      </c>
      <c r="AI193" s="115">
        <f t="shared" si="43"/>
        <v>0</v>
      </c>
      <c r="AJ193" s="115">
        <f t="shared" si="44"/>
        <v>0</v>
      </c>
      <c r="AL193" s="11">
        <f t="shared" si="41"/>
        <v>0</v>
      </c>
    </row>
    <row r="194" spans="1:38">
      <c r="A194" s="129"/>
      <c r="B194" s="129" t="s">
        <v>46</v>
      </c>
      <c r="C194" s="96" t="s">
        <v>298</v>
      </c>
      <c r="D194" s="120" t="s">
        <v>299</v>
      </c>
      <c r="E194" s="98"/>
      <c r="F194" s="99" t="e">
        <f>VLOOKUP(D194,#REF!,19,FALSE)</f>
        <v>#REF!</v>
      </c>
      <c r="G194" s="100"/>
      <c r="H194" s="100"/>
      <c r="I194" s="101"/>
      <c r="J194" s="102" t="e">
        <f t="shared" si="37"/>
        <v>#REF!</v>
      </c>
      <c r="K194" s="103"/>
      <c r="L194" s="104"/>
      <c r="M194" s="105"/>
      <c r="N194" s="103">
        <v>0</v>
      </c>
      <c r="O194" s="106"/>
      <c r="P194" s="103">
        <v>0</v>
      </c>
      <c r="Q194" s="107">
        <f t="shared" si="35"/>
        <v>0</v>
      </c>
      <c r="R194" s="107"/>
      <c r="S194" s="107"/>
      <c r="T194" s="108">
        <v>1175.0999999999999</v>
      </c>
      <c r="U194" s="119"/>
      <c r="V194" s="110">
        <f t="shared" si="36"/>
        <v>1175.0999999999999</v>
      </c>
      <c r="W194" s="103"/>
      <c r="X194" s="112">
        <f t="shared" si="45"/>
        <v>0</v>
      </c>
      <c r="Y194" s="112">
        <f t="shared" si="46"/>
        <v>0</v>
      </c>
      <c r="Z194" s="113">
        <f t="shared" si="47"/>
        <v>0</v>
      </c>
      <c r="AA194" s="113">
        <v>0</v>
      </c>
      <c r="AB194" s="114">
        <v>0</v>
      </c>
      <c r="AC194" s="11">
        <f t="shared" si="48"/>
        <v>0</v>
      </c>
      <c r="AD194" s="115">
        <f t="shared" si="38"/>
        <v>0</v>
      </c>
      <c r="AE194" s="115" t="e">
        <f t="shared" si="39"/>
        <v>#REF!</v>
      </c>
      <c r="AF194" s="115">
        <f t="shared" si="40"/>
        <v>0</v>
      </c>
      <c r="AG194" s="11"/>
      <c r="AH194" s="115">
        <f t="shared" si="42"/>
        <v>0</v>
      </c>
      <c r="AI194" s="115">
        <f t="shared" si="43"/>
        <v>0</v>
      </c>
      <c r="AJ194" s="115">
        <f t="shared" si="44"/>
        <v>0</v>
      </c>
      <c r="AL194" s="11" t="e">
        <f t="shared" si="41"/>
        <v>#REF!</v>
      </c>
    </row>
    <row r="195" spans="1:38" hidden="1">
      <c r="A195" s="116"/>
      <c r="B195" s="116" t="s">
        <v>49</v>
      </c>
      <c r="C195" s="122" t="s">
        <v>300</v>
      </c>
      <c r="D195" s="120" t="s">
        <v>301</v>
      </c>
      <c r="E195" s="98"/>
      <c r="F195" s="99" t="e">
        <f>VLOOKUP(D195,#REF!,19,FALSE)</f>
        <v>#REF!</v>
      </c>
      <c r="G195" s="100"/>
      <c r="H195" s="100"/>
      <c r="I195" s="101"/>
      <c r="J195" s="102" t="e">
        <f t="shared" si="37"/>
        <v>#REF!</v>
      </c>
      <c r="K195" s="103"/>
      <c r="L195" s="104"/>
      <c r="M195" s="105"/>
      <c r="N195" s="103">
        <v>0</v>
      </c>
      <c r="O195" s="106"/>
      <c r="P195" s="103">
        <v>0</v>
      </c>
      <c r="Q195" s="107">
        <f t="shared" si="35"/>
        <v>0</v>
      </c>
      <c r="R195" s="107"/>
      <c r="S195" s="107"/>
      <c r="T195" s="108">
        <v>0</v>
      </c>
      <c r="U195" s="119"/>
      <c r="V195" s="110">
        <f t="shared" si="36"/>
        <v>0</v>
      </c>
      <c r="W195" s="103"/>
      <c r="X195" s="112">
        <f t="shared" si="45"/>
        <v>0</v>
      </c>
      <c r="Y195" s="112">
        <f t="shared" si="46"/>
        <v>0</v>
      </c>
      <c r="Z195" s="113">
        <f t="shared" si="47"/>
        <v>0</v>
      </c>
      <c r="AA195" s="113">
        <v>0</v>
      </c>
      <c r="AB195" s="114">
        <v>0</v>
      </c>
      <c r="AC195" s="11">
        <f t="shared" si="48"/>
        <v>0</v>
      </c>
      <c r="AD195" s="115" t="e">
        <f t="shared" si="38"/>
        <v>#REF!</v>
      </c>
      <c r="AE195" s="115">
        <f t="shared" si="39"/>
        <v>0</v>
      </c>
      <c r="AF195" s="115">
        <f t="shared" si="40"/>
        <v>0</v>
      </c>
      <c r="AG195" s="11"/>
      <c r="AH195" s="115">
        <f t="shared" si="42"/>
        <v>0</v>
      </c>
      <c r="AI195" s="115">
        <f t="shared" si="43"/>
        <v>0</v>
      </c>
      <c r="AJ195" s="115">
        <f t="shared" si="44"/>
        <v>0</v>
      </c>
      <c r="AL195" s="11" t="e">
        <f t="shared" si="41"/>
        <v>#REF!</v>
      </c>
    </row>
    <row r="196" spans="1:38">
      <c r="A196" s="116"/>
      <c r="B196" s="116" t="s">
        <v>49</v>
      </c>
      <c r="C196" s="122"/>
      <c r="D196" s="120" t="s">
        <v>302</v>
      </c>
      <c r="E196" s="98"/>
      <c r="F196" s="99" t="e">
        <f>VLOOKUP(D196,#REF!,19,FALSE)</f>
        <v>#REF!</v>
      </c>
      <c r="G196" s="100"/>
      <c r="H196" s="100"/>
      <c r="I196" s="101"/>
      <c r="J196" s="102" t="e">
        <f t="shared" si="37"/>
        <v>#REF!</v>
      </c>
      <c r="K196" s="103"/>
      <c r="L196" s="104"/>
      <c r="M196" s="105"/>
      <c r="N196" s="103">
        <v>0</v>
      </c>
      <c r="O196" s="106"/>
      <c r="P196" s="103">
        <v>0</v>
      </c>
      <c r="Q196" s="107">
        <f t="shared" si="35"/>
        <v>0</v>
      </c>
      <c r="R196" s="107"/>
      <c r="S196" s="107"/>
      <c r="T196" s="108">
        <v>452.25</v>
      </c>
      <c r="U196" s="119"/>
      <c r="V196" s="110">
        <f t="shared" si="36"/>
        <v>452.25</v>
      </c>
      <c r="W196" s="103"/>
      <c r="X196" s="112">
        <f t="shared" si="45"/>
        <v>0</v>
      </c>
      <c r="Y196" s="112">
        <f t="shared" si="46"/>
        <v>0</v>
      </c>
      <c r="Z196" s="113">
        <f t="shared" si="47"/>
        <v>0</v>
      </c>
      <c r="AA196" s="113">
        <v>0</v>
      </c>
      <c r="AB196" s="114">
        <v>0</v>
      </c>
      <c r="AC196" s="11">
        <f t="shared" si="48"/>
        <v>0</v>
      </c>
      <c r="AD196" s="115" t="e">
        <f t="shared" si="38"/>
        <v>#REF!</v>
      </c>
      <c r="AE196" s="115">
        <f t="shared" si="39"/>
        <v>0</v>
      </c>
      <c r="AF196" s="115">
        <f t="shared" si="40"/>
        <v>0</v>
      </c>
      <c r="AG196" s="11"/>
      <c r="AH196" s="115">
        <f t="shared" si="42"/>
        <v>0</v>
      </c>
      <c r="AI196" s="115">
        <f t="shared" si="43"/>
        <v>0</v>
      </c>
      <c r="AJ196" s="115">
        <f t="shared" si="44"/>
        <v>0</v>
      </c>
      <c r="AL196" s="11" t="e">
        <f t="shared" si="41"/>
        <v>#REF!</v>
      </c>
    </row>
    <row r="197" spans="1:38">
      <c r="A197" s="116"/>
      <c r="B197" s="116" t="s">
        <v>49</v>
      </c>
      <c r="C197" s="126" t="s">
        <v>304</v>
      </c>
      <c r="D197" s="120" t="s">
        <v>305</v>
      </c>
      <c r="E197" s="98"/>
      <c r="F197" s="99" t="e">
        <f>VLOOKUP(D197,#REF!,19,FALSE)</f>
        <v>#REF!</v>
      </c>
      <c r="G197" s="100"/>
      <c r="H197" s="100"/>
      <c r="I197" s="101"/>
      <c r="J197" s="102" t="e">
        <f t="shared" si="37"/>
        <v>#REF!</v>
      </c>
      <c r="K197" s="103"/>
      <c r="L197" s="104"/>
      <c r="M197" s="105"/>
      <c r="N197" s="103">
        <v>0</v>
      </c>
      <c r="O197" s="106"/>
      <c r="P197" s="103">
        <v>0</v>
      </c>
      <c r="Q197" s="107">
        <f t="shared" si="35"/>
        <v>0</v>
      </c>
      <c r="R197" s="107"/>
      <c r="S197" s="107"/>
      <c r="T197" s="108">
        <v>747.8</v>
      </c>
      <c r="U197" s="119"/>
      <c r="V197" s="110">
        <f t="shared" si="36"/>
        <v>747.8</v>
      </c>
      <c r="W197" s="103"/>
      <c r="X197" s="112">
        <f t="shared" si="45"/>
        <v>0</v>
      </c>
      <c r="Y197" s="112">
        <f t="shared" si="46"/>
        <v>0</v>
      </c>
      <c r="Z197" s="113">
        <f t="shared" si="47"/>
        <v>0</v>
      </c>
      <c r="AA197" s="113">
        <v>0</v>
      </c>
      <c r="AB197" s="114">
        <v>0</v>
      </c>
      <c r="AC197" s="11">
        <f t="shared" si="48"/>
        <v>0</v>
      </c>
      <c r="AD197" s="115" t="e">
        <f t="shared" si="38"/>
        <v>#REF!</v>
      </c>
      <c r="AE197" s="115">
        <f t="shared" si="39"/>
        <v>0</v>
      </c>
      <c r="AF197" s="115">
        <f t="shared" si="40"/>
        <v>0</v>
      </c>
      <c r="AG197" s="11"/>
      <c r="AH197" s="115">
        <f t="shared" si="42"/>
        <v>0</v>
      </c>
      <c r="AI197" s="115">
        <f t="shared" si="43"/>
        <v>0</v>
      </c>
      <c r="AJ197" s="115">
        <f t="shared" si="44"/>
        <v>0</v>
      </c>
      <c r="AL197" s="11" t="e">
        <f t="shared" si="41"/>
        <v>#REF!</v>
      </c>
    </row>
    <row r="198" spans="1:38">
      <c r="A198" s="116"/>
      <c r="B198" s="116" t="s">
        <v>46</v>
      </c>
      <c r="C198" s="122" t="s">
        <v>307</v>
      </c>
      <c r="D198" s="120" t="s">
        <v>308</v>
      </c>
      <c r="E198" s="98"/>
      <c r="F198" s="99" t="e">
        <f>VLOOKUP(D198,#REF!,19,FALSE)</f>
        <v>#REF!</v>
      </c>
      <c r="G198" s="100"/>
      <c r="H198" s="100"/>
      <c r="I198" s="125">
        <v>13154.32</v>
      </c>
      <c r="J198" s="102" t="e">
        <f t="shared" si="37"/>
        <v>#REF!</v>
      </c>
      <c r="K198" s="103"/>
      <c r="L198" s="104"/>
      <c r="M198" s="105"/>
      <c r="N198" s="103">
        <v>0</v>
      </c>
      <c r="O198" s="106"/>
      <c r="P198" s="103">
        <v>0</v>
      </c>
      <c r="Q198" s="107">
        <f t="shared" si="35"/>
        <v>0</v>
      </c>
      <c r="R198" s="107"/>
      <c r="S198" s="107"/>
      <c r="T198" s="108">
        <v>0</v>
      </c>
      <c r="U198" s="119"/>
      <c r="V198" s="110">
        <f t="shared" si="36"/>
        <v>0</v>
      </c>
      <c r="W198" s="103"/>
      <c r="X198" s="112">
        <f t="shared" si="45"/>
        <v>0</v>
      </c>
      <c r="Y198" s="112">
        <f t="shared" si="46"/>
        <v>0</v>
      </c>
      <c r="Z198" s="113">
        <f t="shared" si="47"/>
        <v>0</v>
      </c>
      <c r="AA198" s="113">
        <v>0</v>
      </c>
      <c r="AB198" s="114">
        <v>0</v>
      </c>
      <c r="AC198" s="11">
        <f t="shared" si="48"/>
        <v>0</v>
      </c>
      <c r="AD198" s="115">
        <f t="shared" si="38"/>
        <v>0</v>
      </c>
      <c r="AE198" s="115" t="e">
        <f t="shared" si="39"/>
        <v>#REF!</v>
      </c>
      <c r="AF198" s="115">
        <f t="shared" si="40"/>
        <v>0</v>
      </c>
      <c r="AG198" s="11"/>
      <c r="AH198" s="115">
        <f t="shared" si="42"/>
        <v>0</v>
      </c>
      <c r="AI198" s="115">
        <f t="shared" si="43"/>
        <v>0</v>
      </c>
      <c r="AJ198" s="115">
        <f t="shared" si="44"/>
        <v>0</v>
      </c>
      <c r="AL198" s="11" t="e">
        <f t="shared" si="41"/>
        <v>#REF!</v>
      </c>
    </row>
    <row r="199" spans="1:38">
      <c r="A199" s="116"/>
      <c r="B199" s="116" t="s">
        <v>46</v>
      </c>
      <c r="C199" s="122" t="s">
        <v>307</v>
      </c>
      <c r="D199" s="120" t="s">
        <v>309</v>
      </c>
      <c r="E199" s="98"/>
      <c r="F199" s="99" t="e">
        <f>VLOOKUP(D199,#REF!,19,FALSE)</f>
        <v>#REF!</v>
      </c>
      <c r="G199" s="100"/>
      <c r="H199" s="100"/>
      <c r="I199" s="101"/>
      <c r="J199" s="102" t="e">
        <f t="shared" si="37"/>
        <v>#REF!</v>
      </c>
      <c r="K199" s="103"/>
      <c r="L199" s="104"/>
      <c r="M199" s="105">
        <v>10000</v>
      </c>
      <c r="N199" s="103">
        <v>0</v>
      </c>
      <c r="O199" s="106"/>
      <c r="P199" s="103">
        <v>0</v>
      </c>
      <c r="Q199" s="107">
        <f t="shared" si="35"/>
        <v>10000</v>
      </c>
      <c r="R199" s="107"/>
      <c r="S199" s="107"/>
      <c r="T199" s="108">
        <v>9636.7999999999993</v>
      </c>
      <c r="U199" s="119"/>
      <c r="V199" s="110">
        <f t="shared" si="36"/>
        <v>-363.20000000000073</v>
      </c>
      <c r="W199" s="103"/>
      <c r="X199" s="112">
        <f t="shared" si="45"/>
        <v>0</v>
      </c>
      <c r="Y199" s="112">
        <f t="shared" si="46"/>
        <v>10000</v>
      </c>
      <c r="Z199" s="113">
        <f t="shared" si="47"/>
        <v>0</v>
      </c>
      <c r="AA199" s="113">
        <v>0</v>
      </c>
      <c r="AB199" s="114">
        <v>0</v>
      </c>
      <c r="AC199" s="11">
        <f t="shared" si="48"/>
        <v>0</v>
      </c>
      <c r="AD199" s="115">
        <f t="shared" si="38"/>
        <v>0</v>
      </c>
      <c r="AE199" s="115" t="e">
        <f t="shared" si="39"/>
        <v>#REF!</v>
      </c>
      <c r="AF199" s="115">
        <f t="shared" si="40"/>
        <v>0</v>
      </c>
      <c r="AG199" s="11"/>
      <c r="AH199" s="115">
        <f t="shared" si="42"/>
        <v>0</v>
      </c>
      <c r="AI199" s="115">
        <f t="shared" si="43"/>
        <v>10000</v>
      </c>
      <c r="AJ199" s="115">
        <f t="shared" si="44"/>
        <v>0</v>
      </c>
      <c r="AL199" s="11" t="e">
        <f t="shared" si="41"/>
        <v>#REF!</v>
      </c>
    </row>
    <row r="200" spans="1:38" hidden="1">
      <c r="A200" s="129"/>
      <c r="B200" s="129" t="s">
        <v>46</v>
      </c>
      <c r="C200" s="122" t="s">
        <v>307</v>
      </c>
      <c r="D200" s="120" t="s">
        <v>310</v>
      </c>
      <c r="E200" s="98"/>
      <c r="F200" s="99" t="e">
        <f>VLOOKUP(D200,#REF!,19,FALSE)</f>
        <v>#REF!</v>
      </c>
      <c r="G200" s="100"/>
      <c r="H200" s="100"/>
      <c r="I200" s="101"/>
      <c r="J200" s="102" t="e">
        <f t="shared" si="37"/>
        <v>#REF!</v>
      </c>
      <c r="K200" s="103"/>
      <c r="L200" s="104"/>
      <c r="M200" s="105"/>
      <c r="N200" s="103">
        <v>0</v>
      </c>
      <c r="O200" s="106"/>
      <c r="P200" s="103">
        <v>0</v>
      </c>
      <c r="Q200" s="107">
        <f t="shared" si="35"/>
        <v>0</v>
      </c>
      <c r="R200" s="107"/>
      <c r="S200" s="107"/>
      <c r="T200" s="108">
        <v>0</v>
      </c>
      <c r="U200" s="119"/>
      <c r="V200" s="110">
        <f t="shared" si="36"/>
        <v>0</v>
      </c>
      <c r="W200" s="103"/>
      <c r="X200" s="112">
        <f t="shared" si="45"/>
        <v>0</v>
      </c>
      <c r="Y200" s="112">
        <f t="shared" si="46"/>
        <v>0</v>
      </c>
      <c r="Z200" s="113">
        <f t="shared" si="47"/>
        <v>0</v>
      </c>
      <c r="AA200" s="113">
        <v>0</v>
      </c>
      <c r="AB200" s="114">
        <v>0</v>
      </c>
      <c r="AC200" s="11">
        <f t="shared" si="48"/>
        <v>0</v>
      </c>
      <c r="AD200" s="115">
        <f t="shared" si="38"/>
        <v>0</v>
      </c>
      <c r="AE200" s="115" t="e">
        <f t="shared" si="39"/>
        <v>#REF!</v>
      </c>
      <c r="AF200" s="115">
        <f t="shared" si="40"/>
        <v>0</v>
      </c>
      <c r="AG200" s="11"/>
      <c r="AH200" s="115">
        <f t="shared" si="42"/>
        <v>0</v>
      </c>
      <c r="AI200" s="115">
        <f t="shared" si="43"/>
        <v>0</v>
      </c>
      <c r="AJ200" s="115">
        <f t="shared" si="44"/>
        <v>0</v>
      </c>
      <c r="AL200" s="11" t="e">
        <f t="shared" si="41"/>
        <v>#REF!</v>
      </c>
    </row>
    <row r="201" spans="1:38" hidden="1">
      <c r="A201" s="129"/>
      <c r="B201" s="129" t="s">
        <v>46</v>
      </c>
      <c r="C201" s="122" t="s">
        <v>307</v>
      </c>
      <c r="D201" s="120" t="s">
        <v>311</v>
      </c>
      <c r="E201" s="98"/>
      <c r="F201" s="99" t="e">
        <f>VLOOKUP(D201,#REF!,19,FALSE)</f>
        <v>#REF!</v>
      </c>
      <c r="G201" s="100"/>
      <c r="H201" s="100"/>
      <c r="I201" s="101"/>
      <c r="J201" s="102" t="e">
        <f t="shared" si="37"/>
        <v>#REF!</v>
      </c>
      <c r="K201" s="103"/>
      <c r="L201" s="104"/>
      <c r="M201" s="105"/>
      <c r="N201" s="103">
        <v>0</v>
      </c>
      <c r="O201" s="106"/>
      <c r="P201" s="103">
        <v>0</v>
      </c>
      <c r="Q201" s="107">
        <f t="shared" si="35"/>
        <v>0</v>
      </c>
      <c r="R201" s="107"/>
      <c r="S201" s="107"/>
      <c r="T201" s="108">
        <v>0</v>
      </c>
      <c r="U201" s="119"/>
      <c r="V201" s="110">
        <f t="shared" si="36"/>
        <v>0</v>
      </c>
      <c r="W201" s="103"/>
      <c r="X201" s="112">
        <f t="shared" si="45"/>
        <v>0</v>
      </c>
      <c r="Y201" s="112">
        <f t="shared" si="46"/>
        <v>0</v>
      </c>
      <c r="Z201" s="113">
        <f t="shared" si="47"/>
        <v>0</v>
      </c>
      <c r="AA201" s="113">
        <v>0</v>
      </c>
      <c r="AB201" s="114">
        <v>0</v>
      </c>
      <c r="AC201" s="11">
        <f t="shared" si="48"/>
        <v>0</v>
      </c>
      <c r="AD201" s="115">
        <f t="shared" si="38"/>
        <v>0</v>
      </c>
      <c r="AE201" s="115" t="e">
        <f t="shared" si="39"/>
        <v>#REF!</v>
      </c>
      <c r="AF201" s="115">
        <f t="shared" si="40"/>
        <v>0</v>
      </c>
      <c r="AG201" s="11"/>
      <c r="AH201" s="115">
        <f t="shared" si="42"/>
        <v>0</v>
      </c>
      <c r="AI201" s="115">
        <f t="shared" si="43"/>
        <v>0</v>
      </c>
      <c r="AJ201" s="115">
        <f t="shared" si="44"/>
        <v>0</v>
      </c>
      <c r="AL201" s="11" t="e">
        <f t="shared" si="41"/>
        <v>#REF!</v>
      </c>
    </row>
    <row r="202" spans="1:38">
      <c r="A202" s="129"/>
      <c r="B202" s="129" t="s">
        <v>46</v>
      </c>
      <c r="C202" s="96"/>
      <c r="D202" s="120" t="s">
        <v>312</v>
      </c>
      <c r="E202" s="98">
        <v>1595.57</v>
      </c>
      <c r="F202" s="99" t="e">
        <f>VLOOKUP(D202,#REF!,19,FALSE)</f>
        <v>#REF!</v>
      </c>
      <c r="G202" s="100"/>
      <c r="H202" s="100"/>
      <c r="I202" s="101"/>
      <c r="J202" s="102" t="e">
        <f t="shared" si="37"/>
        <v>#REF!</v>
      </c>
      <c r="K202" s="103"/>
      <c r="L202" s="104"/>
      <c r="M202" s="105"/>
      <c r="N202" s="103">
        <v>0</v>
      </c>
      <c r="O202" s="106"/>
      <c r="P202" s="103">
        <v>0</v>
      </c>
      <c r="Q202" s="107">
        <f t="shared" si="35"/>
        <v>0</v>
      </c>
      <c r="R202" s="107"/>
      <c r="S202" s="107"/>
      <c r="T202" s="108">
        <v>3737.61</v>
      </c>
      <c r="U202" s="119"/>
      <c r="V202" s="110">
        <f t="shared" si="36"/>
        <v>3737.61</v>
      </c>
      <c r="W202" s="133"/>
      <c r="X202" s="112">
        <f t="shared" si="45"/>
        <v>0</v>
      </c>
      <c r="Y202" s="112">
        <f t="shared" si="46"/>
        <v>0</v>
      </c>
      <c r="Z202" s="113">
        <f t="shared" si="47"/>
        <v>0</v>
      </c>
      <c r="AA202" s="113">
        <v>0</v>
      </c>
      <c r="AB202" s="114">
        <v>0</v>
      </c>
      <c r="AC202" s="11">
        <f t="shared" si="48"/>
        <v>0</v>
      </c>
      <c r="AD202" s="115">
        <f t="shared" si="38"/>
        <v>0</v>
      </c>
      <c r="AE202" s="115" t="e">
        <f t="shared" si="39"/>
        <v>#REF!</v>
      </c>
      <c r="AF202" s="115">
        <f t="shared" si="40"/>
        <v>0</v>
      </c>
      <c r="AG202" s="11"/>
      <c r="AH202" s="115">
        <f t="shared" si="42"/>
        <v>0</v>
      </c>
      <c r="AI202" s="115">
        <f t="shared" si="43"/>
        <v>0</v>
      </c>
      <c r="AJ202" s="115">
        <f t="shared" si="44"/>
        <v>0</v>
      </c>
      <c r="AL202" s="11" t="e">
        <f t="shared" si="41"/>
        <v>#REF!</v>
      </c>
    </row>
    <row r="203" spans="1:38">
      <c r="A203" s="129"/>
      <c r="B203" s="129" t="s">
        <v>46</v>
      </c>
      <c r="C203" s="96"/>
      <c r="D203" s="148" t="s">
        <v>313</v>
      </c>
      <c r="E203" s="98"/>
      <c r="F203" s="99" t="e">
        <f>VLOOKUP(D203,#REF!,19,FALSE)</f>
        <v>#REF!</v>
      </c>
      <c r="G203" s="100"/>
      <c r="H203" s="100"/>
      <c r="I203" s="101"/>
      <c r="J203" s="102" t="e">
        <f t="shared" si="37"/>
        <v>#REF!</v>
      </c>
      <c r="K203" s="103"/>
      <c r="L203" s="104"/>
      <c r="M203" s="105"/>
      <c r="N203" s="103">
        <v>0</v>
      </c>
      <c r="O203" s="106"/>
      <c r="P203" s="103">
        <v>0</v>
      </c>
      <c r="Q203" s="107">
        <f t="shared" si="35"/>
        <v>0</v>
      </c>
      <c r="R203" s="107"/>
      <c r="S203" s="107"/>
      <c r="T203" s="108">
        <v>0</v>
      </c>
      <c r="U203" s="119"/>
      <c r="V203" s="110">
        <f t="shared" si="36"/>
        <v>0</v>
      </c>
      <c r="W203" s="133"/>
      <c r="X203" s="112">
        <f t="shared" si="45"/>
        <v>0</v>
      </c>
      <c r="Y203" s="112">
        <f t="shared" si="46"/>
        <v>0</v>
      </c>
      <c r="Z203" s="113">
        <f t="shared" si="47"/>
        <v>0</v>
      </c>
      <c r="AA203" s="113">
        <v>0</v>
      </c>
      <c r="AB203" s="114">
        <v>0</v>
      </c>
      <c r="AC203" s="11">
        <f t="shared" si="48"/>
        <v>0</v>
      </c>
      <c r="AD203" s="115">
        <f t="shared" si="38"/>
        <v>0</v>
      </c>
      <c r="AE203" s="115" t="e">
        <f t="shared" si="39"/>
        <v>#REF!</v>
      </c>
      <c r="AF203" s="115">
        <f t="shared" si="40"/>
        <v>0</v>
      </c>
      <c r="AG203" s="11"/>
      <c r="AH203" s="115">
        <f t="shared" si="42"/>
        <v>0</v>
      </c>
      <c r="AI203" s="115">
        <f t="shared" si="43"/>
        <v>0</v>
      </c>
      <c r="AJ203" s="115">
        <f t="shared" si="44"/>
        <v>0</v>
      </c>
      <c r="AL203" s="11" t="e">
        <f t="shared" si="41"/>
        <v>#REF!</v>
      </c>
    </row>
    <row r="204" spans="1:38">
      <c r="A204" s="129" t="s">
        <v>46</v>
      </c>
      <c r="B204" s="129" t="s">
        <v>81</v>
      </c>
      <c r="C204" s="96" t="s">
        <v>314</v>
      </c>
      <c r="D204" s="148" t="s">
        <v>315</v>
      </c>
      <c r="E204" s="98">
        <v>40420.910000000003</v>
      </c>
      <c r="F204" s="99" t="e">
        <f>VLOOKUP(D204,#REF!,19,FALSE)</f>
        <v>#REF!</v>
      </c>
      <c r="G204" s="100"/>
      <c r="H204" s="100"/>
      <c r="I204" s="101"/>
      <c r="J204" s="102" t="e">
        <f t="shared" si="37"/>
        <v>#REF!</v>
      </c>
      <c r="K204" s="103"/>
      <c r="L204" s="104"/>
      <c r="M204" s="105">
        <v>80000</v>
      </c>
      <c r="N204" s="103">
        <v>0</v>
      </c>
      <c r="O204" s="106"/>
      <c r="P204" s="103">
        <v>0</v>
      </c>
      <c r="Q204" s="107">
        <f t="shared" si="35"/>
        <v>80000</v>
      </c>
      <c r="R204" s="107"/>
      <c r="S204" s="107"/>
      <c r="T204" s="108">
        <v>61107.58</v>
      </c>
      <c r="U204" s="119"/>
      <c r="V204" s="110">
        <f t="shared" si="36"/>
        <v>-18892.419999999998</v>
      </c>
      <c r="W204" s="103"/>
      <c r="X204" s="112">
        <f t="shared" si="45"/>
        <v>0</v>
      </c>
      <c r="Y204" s="112">
        <f t="shared" si="46"/>
        <v>0</v>
      </c>
      <c r="Z204" s="113">
        <f t="shared" si="47"/>
        <v>80000</v>
      </c>
      <c r="AA204" s="113">
        <v>0</v>
      </c>
      <c r="AB204" s="114">
        <v>0</v>
      </c>
      <c r="AC204" s="11">
        <f t="shared" si="48"/>
        <v>0</v>
      </c>
      <c r="AD204" s="115">
        <f t="shared" si="38"/>
        <v>0</v>
      </c>
      <c r="AE204" s="115">
        <f t="shared" si="39"/>
        <v>0</v>
      </c>
      <c r="AF204" s="115" t="e">
        <f t="shared" si="40"/>
        <v>#REF!</v>
      </c>
      <c r="AG204" s="11"/>
      <c r="AH204" s="115">
        <f t="shared" si="42"/>
        <v>0</v>
      </c>
      <c r="AI204" s="115">
        <f t="shared" si="43"/>
        <v>0</v>
      </c>
      <c r="AJ204" s="115">
        <f t="shared" si="44"/>
        <v>80000</v>
      </c>
      <c r="AL204" s="11" t="e">
        <f t="shared" si="41"/>
        <v>#REF!</v>
      </c>
    </row>
    <row r="205" spans="1:38">
      <c r="A205" s="116" t="s">
        <v>60</v>
      </c>
      <c r="B205" s="116" t="s">
        <v>46</v>
      </c>
      <c r="C205" s="122"/>
      <c r="D205" s="120" t="s">
        <v>316</v>
      </c>
      <c r="E205" s="98"/>
      <c r="F205" s="99" t="e">
        <f>VLOOKUP(D205,#REF!,19,FALSE)</f>
        <v>#REF!</v>
      </c>
      <c r="G205" s="100"/>
      <c r="H205" s="100"/>
      <c r="I205" s="101"/>
      <c r="J205" s="102" t="e">
        <f t="shared" si="37"/>
        <v>#REF!</v>
      </c>
      <c r="K205" s="103"/>
      <c r="L205" s="104"/>
      <c r="M205" s="105"/>
      <c r="N205" s="103">
        <v>0</v>
      </c>
      <c r="O205" s="106"/>
      <c r="P205" s="103">
        <v>0</v>
      </c>
      <c r="Q205" s="107">
        <f t="shared" si="35"/>
        <v>0</v>
      </c>
      <c r="R205" s="107"/>
      <c r="S205" s="107"/>
      <c r="T205" s="108">
        <v>0</v>
      </c>
      <c r="U205" s="119"/>
      <c r="V205" s="110">
        <f t="shared" si="36"/>
        <v>0</v>
      </c>
      <c r="W205" s="103"/>
      <c r="X205" s="112">
        <f t="shared" si="45"/>
        <v>0</v>
      </c>
      <c r="Y205" s="112">
        <f t="shared" si="46"/>
        <v>0</v>
      </c>
      <c r="Z205" s="113">
        <f t="shared" si="47"/>
        <v>0</v>
      </c>
      <c r="AA205" s="113">
        <v>0</v>
      </c>
      <c r="AB205" s="114">
        <v>0</v>
      </c>
      <c r="AC205" s="11">
        <f t="shared" si="48"/>
        <v>0</v>
      </c>
      <c r="AD205" s="115">
        <f t="shared" si="38"/>
        <v>0</v>
      </c>
      <c r="AE205" s="115" t="e">
        <f t="shared" si="39"/>
        <v>#REF!</v>
      </c>
      <c r="AF205" s="115">
        <f t="shared" si="40"/>
        <v>0</v>
      </c>
      <c r="AG205" s="11"/>
      <c r="AH205" s="115">
        <f t="shared" si="42"/>
        <v>0</v>
      </c>
      <c r="AI205" s="115">
        <f t="shared" si="43"/>
        <v>0</v>
      </c>
      <c r="AJ205" s="115">
        <f t="shared" si="44"/>
        <v>0</v>
      </c>
      <c r="AL205" s="11" t="e">
        <f t="shared" si="41"/>
        <v>#REF!</v>
      </c>
    </row>
    <row r="206" spans="1:38">
      <c r="A206" s="116"/>
      <c r="B206" s="116" t="s">
        <v>81</v>
      </c>
      <c r="C206" s="126" t="s">
        <v>318</v>
      </c>
      <c r="D206" s="120" t="s">
        <v>319</v>
      </c>
      <c r="E206" s="98"/>
      <c r="F206" s="99" t="e">
        <f>VLOOKUP(D206,#REF!,19,FALSE)</f>
        <v>#REF!</v>
      </c>
      <c r="G206" s="100"/>
      <c r="H206" s="100"/>
      <c r="I206" s="101"/>
      <c r="J206" s="102" t="e">
        <f t="shared" si="37"/>
        <v>#REF!</v>
      </c>
      <c r="K206" s="103"/>
      <c r="L206" s="104"/>
      <c r="M206" s="105"/>
      <c r="N206" s="103">
        <v>0</v>
      </c>
      <c r="O206" s="106"/>
      <c r="P206" s="103">
        <v>0</v>
      </c>
      <c r="Q206" s="107">
        <f t="shared" si="35"/>
        <v>0</v>
      </c>
      <c r="R206" s="107"/>
      <c r="S206" s="107"/>
      <c r="T206" s="108">
        <v>0</v>
      </c>
      <c r="U206" s="119"/>
      <c r="V206" s="110">
        <f t="shared" si="36"/>
        <v>0</v>
      </c>
      <c r="W206" s="103"/>
      <c r="X206" s="112">
        <f t="shared" si="45"/>
        <v>0</v>
      </c>
      <c r="Y206" s="112">
        <f t="shared" si="46"/>
        <v>0</v>
      </c>
      <c r="Z206" s="113">
        <f t="shared" si="47"/>
        <v>0</v>
      </c>
      <c r="AA206" s="113">
        <v>0</v>
      </c>
      <c r="AB206" s="114">
        <v>0</v>
      </c>
      <c r="AC206" s="11">
        <f t="shared" si="48"/>
        <v>0</v>
      </c>
      <c r="AD206" s="115">
        <f t="shared" si="38"/>
        <v>0</v>
      </c>
      <c r="AE206" s="115">
        <f t="shared" si="39"/>
        <v>0</v>
      </c>
      <c r="AF206" s="115" t="e">
        <f t="shared" si="40"/>
        <v>#REF!</v>
      </c>
      <c r="AG206" s="11"/>
      <c r="AH206" s="115">
        <f t="shared" si="42"/>
        <v>0</v>
      </c>
      <c r="AI206" s="115">
        <f t="shared" si="43"/>
        <v>0</v>
      </c>
      <c r="AJ206" s="115">
        <f t="shared" si="44"/>
        <v>0</v>
      </c>
      <c r="AL206" s="11" t="e">
        <f t="shared" si="41"/>
        <v>#REF!</v>
      </c>
    </row>
    <row r="207" spans="1:38">
      <c r="A207" s="116"/>
      <c r="B207" s="116" t="s">
        <v>49</v>
      </c>
      <c r="C207" s="122"/>
      <c r="D207" s="120" t="s">
        <v>320</v>
      </c>
      <c r="E207" s="98"/>
      <c r="F207" s="99" t="e">
        <f>VLOOKUP(D207,#REF!,19,FALSE)</f>
        <v>#REF!</v>
      </c>
      <c r="G207" s="100"/>
      <c r="H207" s="100"/>
      <c r="I207" s="101"/>
      <c r="J207" s="102" t="e">
        <f t="shared" si="37"/>
        <v>#REF!</v>
      </c>
      <c r="K207" s="103"/>
      <c r="L207" s="104"/>
      <c r="M207" s="105"/>
      <c r="N207" s="103">
        <v>0</v>
      </c>
      <c r="O207" s="106"/>
      <c r="P207" s="103">
        <v>0</v>
      </c>
      <c r="Q207" s="107">
        <f t="shared" si="35"/>
        <v>0</v>
      </c>
      <c r="R207" s="107"/>
      <c r="S207" s="107"/>
      <c r="T207" s="108">
        <v>0</v>
      </c>
      <c r="U207" s="119"/>
      <c r="V207" s="110">
        <f t="shared" si="36"/>
        <v>0</v>
      </c>
      <c r="W207" s="103"/>
      <c r="X207" s="112">
        <f t="shared" si="45"/>
        <v>0</v>
      </c>
      <c r="Y207" s="112">
        <f t="shared" si="46"/>
        <v>0</v>
      </c>
      <c r="Z207" s="113">
        <f t="shared" si="47"/>
        <v>0</v>
      </c>
      <c r="AA207" s="113">
        <v>0</v>
      </c>
      <c r="AB207" s="114">
        <v>0</v>
      </c>
      <c r="AC207" s="11">
        <f t="shared" si="48"/>
        <v>0</v>
      </c>
      <c r="AD207" s="115" t="e">
        <f t="shared" si="38"/>
        <v>#REF!</v>
      </c>
      <c r="AE207" s="115">
        <f t="shared" si="39"/>
        <v>0</v>
      </c>
      <c r="AF207" s="115">
        <f t="shared" si="40"/>
        <v>0</v>
      </c>
      <c r="AG207" s="11"/>
      <c r="AH207" s="115">
        <f t="shared" si="42"/>
        <v>0</v>
      </c>
      <c r="AI207" s="115">
        <f t="shared" si="43"/>
        <v>0</v>
      </c>
      <c r="AJ207" s="115">
        <f t="shared" si="44"/>
        <v>0</v>
      </c>
      <c r="AL207" s="11" t="e">
        <f t="shared" si="41"/>
        <v>#REF!</v>
      </c>
    </row>
    <row r="208" spans="1:38">
      <c r="A208" s="116"/>
      <c r="B208" s="116" t="s">
        <v>49</v>
      </c>
      <c r="C208" s="122"/>
      <c r="D208" s="120" t="s">
        <v>321</v>
      </c>
      <c r="E208" s="98"/>
      <c r="F208" s="99" t="e">
        <f>VLOOKUP(D208,#REF!,19,FALSE)</f>
        <v>#REF!</v>
      </c>
      <c r="G208" s="100"/>
      <c r="H208" s="100"/>
      <c r="I208" s="101"/>
      <c r="J208" s="102" t="e">
        <f t="shared" si="37"/>
        <v>#REF!</v>
      </c>
      <c r="K208" s="103"/>
      <c r="L208" s="104"/>
      <c r="M208" s="105">
        <v>30000</v>
      </c>
      <c r="N208" s="103"/>
      <c r="O208" s="106"/>
      <c r="P208" s="103"/>
      <c r="Q208" s="107">
        <f t="shared" si="35"/>
        <v>30000</v>
      </c>
      <c r="R208" s="107"/>
      <c r="S208" s="107"/>
      <c r="T208" s="108">
        <v>0</v>
      </c>
      <c r="U208" s="119"/>
      <c r="V208" s="110">
        <f t="shared" si="36"/>
        <v>-30000</v>
      </c>
      <c r="W208" s="103"/>
      <c r="X208" s="112">
        <f t="shared" si="45"/>
        <v>30000</v>
      </c>
      <c r="Y208" s="112">
        <f t="shared" si="46"/>
        <v>0</v>
      </c>
      <c r="Z208" s="113">
        <f t="shared" si="47"/>
        <v>0</v>
      </c>
      <c r="AA208" s="113">
        <v>0</v>
      </c>
      <c r="AB208" s="114">
        <v>0</v>
      </c>
      <c r="AC208" s="11">
        <f t="shared" si="48"/>
        <v>0</v>
      </c>
      <c r="AD208" s="115" t="e">
        <f t="shared" si="38"/>
        <v>#REF!</v>
      </c>
      <c r="AE208" s="115">
        <f t="shared" si="39"/>
        <v>0</v>
      </c>
      <c r="AF208" s="115">
        <f t="shared" si="40"/>
        <v>0</v>
      </c>
      <c r="AG208" s="11"/>
      <c r="AH208" s="115">
        <f t="shared" si="42"/>
        <v>30000</v>
      </c>
      <c r="AI208" s="115">
        <f t="shared" si="43"/>
        <v>0</v>
      </c>
      <c r="AJ208" s="115">
        <f t="shared" si="44"/>
        <v>0</v>
      </c>
      <c r="AL208" s="11" t="e">
        <f t="shared" si="41"/>
        <v>#REF!</v>
      </c>
    </row>
    <row r="209" spans="1:38" s="124" customFormat="1">
      <c r="A209" s="123"/>
      <c r="B209" s="123" t="s">
        <v>49</v>
      </c>
      <c r="C209" s="122" t="s">
        <v>322</v>
      </c>
      <c r="D209" s="149" t="s">
        <v>323</v>
      </c>
      <c r="E209" s="98"/>
      <c r="F209" s="99" t="e">
        <f>VLOOKUP(D209,#REF!,19,FALSE)</f>
        <v>#REF!</v>
      </c>
      <c r="G209" s="100"/>
      <c r="H209" s="100"/>
      <c r="I209" s="101"/>
      <c r="J209" s="102" t="e">
        <f t="shared" si="37"/>
        <v>#REF!</v>
      </c>
      <c r="K209" s="103"/>
      <c r="L209" s="104"/>
      <c r="M209" s="105"/>
      <c r="N209" s="103">
        <v>0</v>
      </c>
      <c r="O209" s="106"/>
      <c r="P209" s="103">
        <v>0</v>
      </c>
      <c r="Q209" s="107">
        <f t="shared" si="35"/>
        <v>0</v>
      </c>
      <c r="R209" s="107"/>
      <c r="S209" s="107"/>
      <c r="T209" s="108">
        <v>0</v>
      </c>
      <c r="U209" s="119"/>
      <c r="V209" s="110">
        <f t="shared" si="36"/>
        <v>0</v>
      </c>
      <c r="W209" s="103"/>
      <c r="X209" s="112">
        <f t="shared" si="45"/>
        <v>0</v>
      </c>
      <c r="Y209" s="112">
        <f t="shared" si="46"/>
        <v>0</v>
      </c>
      <c r="Z209" s="113">
        <f t="shared" si="47"/>
        <v>0</v>
      </c>
      <c r="AA209" s="113">
        <v>0</v>
      </c>
      <c r="AB209" s="114">
        <v>0</v>
      </c>
      <c r="AC209" s="11">
        <f t="shared" si="48"/>
        <v>0</v>
      </c>
      <c r="AD209" s="115" t="e">
        <f t="shared" si="38"/>
        <v>#REF!</v>
      </c>
      <c r="AE209" s="115">
        <f t="shared" si="39"/>
        <v>0</v>
      </c>
      <c r="AF209" s="115">
        <f t="shared" si="40"/>
        <v>0</v>
      </c>
      <c r="AG209" s="11"/>
      <c r="AH209" s="115">
        <f t="shared" si="42"/>
        <v>0</v>
      </c>
      <c r="AI209" s="115">
        <f t="shared" si="43"/>
        <v>0</v>
      </c>
      <c r="AJ209" s="115">
        <f t="shared" si="44"/>
        <v>0</v>
      </c>
      <c r="AL209" s="11" t="e">
        <f t="shared" si="41"/>
        <v>#REF!</v>
      </c>
    </row>
    <row r="210" spans="1:38" s="124" customFormat="1">
      <c r="A210" s="123"/>
      <c r="B210" s="123" t="s">
        <v>81</v>
      </c>
      <c r="C210" s="122" t="s">
        <v>322</v>
      </c>
      <c r="D210" s="118" t="s">
        <v>324</v>
      </c>
      <c r="E210" s="98"/>
      <c r="F210" s="99" t="e">
        <f>VLOOKUP(D210,#REF!,19,FALSE)</f>
        <v>#REF!</v>
      </c>
      <c r="G210" s="100"/>
      <c r="H210" s="100"/>
      <c r="I210" s="101"/>
      <c r="J210" s="102" t="e">
        <f t="shared" si="37"/>
        <v>#REF!</v>
      </c>
      <c r="K210" s="103"/>
      <c r="L210" s="104"/>
      <c r="M210" s="105">
        <v>10600</v>
      </c>
      <c r="N210" s="103">
        <v>0</v>
      </c>
      <c r="O210" s="106"/>
      <c r="P210" s="103">
        <v>0</v>
      </c>
      <c r="Q210" s="107">
        <f>L210+M210</f>
        <v>10600</v>
      </c>
      <c r="R210" s="107"/>
      <c r="S210" s="107"/>
      <c r="T210" s="108">
        <v>12631.09</v>
      </c>
      <c r="U210" s="119"/>
      <c r="V210" s="110">
        <f t="shared" si="36"/>
        <v>2031.0900000000001</v>
      </c>
      <c r="W210" s="103"/>
      <c r="X210" s="112">
        <f t="shared" si="45"/>
        <v>0</v>
      </c>
      <c r="Y210" s="112">
        <f t="shared" si="46"/>
        <v>0</v>
      </c>
      <c r="Z210" s="113">
        <f t="shared" si="47"/>
        <v>10600</v>
      </c>
      <c r="AA210" s="113">
        <v>0</v>
      </c>
      <c r="AB210" s="114">
        <v>0</v>
      </c>
      <c r="AC210" s="11">
        <f>(L210+M210)-(X210+Y210+Z210+AA210+AB210)</f>
        <v>0</v>
      </c>
      <c r="AD210" s="115">
        <f t="shared" si="38"/>
        <v>0</v>
      </c>
      <c r="AE210" s="115">
        <f t="shared" si="39"/>
        <v>0</v>
      </c>
      <c r="AF210" s="115" t="e">
        <f t="shared" si="40"/>
        <v>#REF!</v>
      </c>
      <c r="AG210" s="11"/>
      <c r="AH210" s="115">
        <f t="shared" si="42"/>
        <v>0</v>
      </c>
      <c r="AI210" s="115">
        <f t="shared" si="43"/>
        <v>0</v>
      </c>
      <c r="AJ210" s="115">
        <f t="shared" si="44"/>
        <v>10600</v>
      </c>
      <c r="AL210" s="11" t="e">
        <f t="shared" si="41"/>
        <v>#REF!</v>
      </c>
    </row>
    <row r="211" spans="1:38" s="124" customFormat="1">
      <c r="A211" s="123"/>
      <c r="B211" s="123" t="s">
        <v>49</v>
      </c>
      <c r="C211" s="122" t="s">
        <v>322</v>
      </c>
      <c r="D211" s="118" t="s">
        <v>325</v>
      </c>
      <c r="E211" s="98"/>
      <c r="F211" s="99" t="e">
        <f>VLOOKUP(D211,#REF!,19,FALSE)</f>
        <v>#REF!</v>
      </c>
      <c r="G211" s="100"/>
      <c r="H211" s="100"/>
      <c r="I211" s="101"/>
      <c r="J211" s="102" t="e">
        <f t="shared" si="37"/>
        <v>#REF!</v>
      </c>
      <c r="K211" s="103"/>
      <c r="L211" s="104"/>
      <c r="M211" s="105"/>
      <c r="N211" s="103">
        <v>0</v>
      </c>
      <c r="O211" s="106"/>
      <c r="P211" s="103">
        <v>0</v>
      </c>
      <c r="Q211" s="107">
        <f t="shared" si="35"/>
        <v>0</v>
      </c>
      <c r="R211" s="107"/>
      <c r="S211" s="107"/>
      <c r="T211" s="108">
        <v>0</v>
      </c>
      <c r="U211" s="119"/>
      <c r="V211" s="110">
        <f t="shared" si="36"/>
        <v>0</v>
      </c>
      <c r="W211" s="103"/>
      <c r="X211" s="112">
        <f t="shared" si="45"/>
        <v>0</v>
      </c>
      <c r="Y211" s="112">
        <f t="shared" si="46"/>
        <v>0</v>
      </c>
      <c r="Z211" s="113">
        <f t="shared" si="47"/>
        <v>0</v>
      </c>
      <c r="AA211" s="113">
        <v>0</v>
      </c>
      <c r="AB211" s="114">
        <v>0</v>
      </c>
      <c r="AC211" s="11">
        <f t="shared" si="48"/>
        <v>0</v>
      </c>
      <c r="AD211" s="115" t="e">
        <f t="shared" si="38"/>
        <v>#REF!</v>
      </c>
      <c r="AE211" s="115">
        <f t="shared" si="39"/>
        <v>0</v>
      </c>
      <c r="AF211" s="115">
        <f t="shared" si="40"/>
        <v>0</v>
      </c>
      <c r="AG211" s="11"/>
      <c r="AH211" s="115">
        <f t="shared" si="42"/>
        <v>0</v>
      </c>
      <c r="AI211" s="115">
        <f t="shared" si="43"/>
        <v>0</v>
      </c>
      <c r="AJ211" s="115">
        <f t="shared" si="44"/>
        <v>0</v>
      </c>
      <c r="AL211" s="11" t="e">
        <f t="shared" si="41"/>
        <v>#REF!</v>
      </c>
    </row>
    <row r="212" spans="1:38" s="124" customFormat="1">
      <c r="A212" s="123"/>
      <c r="B212" s="123" t="s">
        <v>49</v>
      </c>
      <c r="C212" s="122" t="s">
        <v>322</v>
      </c>
      <c r="D212" s="118" t="s">
        <v>326</v>
      </c>
      <c r="E212" s="98"/>
      <c r="F212" s="99" t="e">
        <f>VLOOKUP(D212,#REF!,19,FALSE)</f>
        <v>#REF!</v>
      </c>
      <c r="G212" s="100"/>
      <c r="H212" s="100"/>
      <c r="I212" s="101"/>
      <c r="J212" s="102" t="e">
        <f t="shared" si="37"/>
        <v>#REF!</v>
      </c>
      <c r="K212" s="103"/>
      <c r="L212" s="104"/>
      <c r="M212" s="105">
        <v>1202500</v>
      </c>
      <c r="N212" s="103">
        <v>0</v>
      </c>
      <c r="O212" s="106"/>
      <c r="P212" s="103">
        <v>0</v>
      </c>
      <c r="Q212" s="107">
        <f>L212+M212</f>
        <v>1202500</v>
      </c>
      <c r="R212" s="107"/>
      <c r="S212" s="107"/>
      <c r="T212" s="108">
        <f>595974.41+605157.19</f>
        <v>1201131.6000000001</v>
      </c>
      <c r="U212" s="119"/>
      <c r="V212" s="110">
        <f t="shared" ref="V212:V228" si="49">IF(T212="","",T212-Q212)</f>
        <v>-1368.3999999999069</v>
      </c>
      <c r="W212" s="103"/>
      <c r="X212" s="112">
        <f t="shared" si="45"/>
        <v>1202500</v>
      </c>
      <c r="Y212" s="112">
        <f t="shared" si="46"/>
        <v>0</v>
      </c>
      <c r="Z212" s="113">
        <f t="shared" si="47"/>
        <v>0</v>
      </c>
      <c r="AA212" s="113">
        <v>0</v>
      </c>
      <c r="AB212" s="114">
        <v>0</v>
      </c>
      <c r="AC212" s="11">
        <f>(L212+M212)-(X212+Y212+Z212+AA212+AB212)</f>
        <v>0</v>
      </c>
      <c r="AD212" s="115" t="e">
        <f t="shared" si="38"/>
        <v>#REF!</v>
      </c>
      <c r="AE212" s="115">
        <f t="shared" si="39"/>
        <v>0</v>
      </c>
      <c r="AF212" s="115">
        <f t="shared" si="40"/>
        <v>0</v>
      </c>
      <c r="AG212" s="11"/>
      <c r="AH212" s="115">
        <f t="shared" si="42"/>
        <v>1202500</v>
      </c>
      <c r="AI212" s="115">
        <f t="shared" si="43"/>
        <v>0</v>
      </c>
      <c r="AJ212" s="115">
        <f t="shared" si="44"/>
        <v>0</v>
      </c>
      <c r="AL212" s="11" t="e">
        <f t="shared" si="41"/>
        <v>#REF!</v>
      </c>
    </row>
    <row r="213" spans="1:38" hidden="1">
      <c r="A213" s="129" t="s">
        <v>154</v>
      </c>
      <c r="B213" s="129" t="s">
        <v>46</v>
      </c>
      <c r="C213" s="96"/>
      <c r="D213" s="120" t="s">
        <v>327</v>
      </c>
      <c r="E213" s="98"/>
      <c r="F213" s="99" t="e">
        <f>VLOOKUP(D213,#REF!,19,FALSE)</f>
        <v>#REF!</v>
      </c>
      <c r="G213" s="100"/>
      <c r="H213" s="100"/>
      <c r="I213" s="101"/>
      <c r="J213" s="102" t="e">
        <f t="shared" si="37"/>
        <v>#REF!</v>
      </c>
      <c r="K213" s="103"/>
      <c r="L213" s="104"/>
      <c r="M213" s="105"/>
      <c r="N213" s="103">
        <v>0</v>
      </c>
      <c r="O213" s="106"/>
      <c r="P213" s="103">
        <v>0</v>
      </c>
      <c r="Q213" s="107">
        <f t="shared" si="35"/>
        <v>0</v>
      </c>
      <c r="R213" s="107"/>
      <c r="S213" s="107"/>
      <c r="T213" s="108">
        <v>0</v>
      </c>
      <c r="U213" s="119"/>
      <c r="V213" s="110">
        <f t="shared" si="49"/>
        <v>0</v>
      </c>
      <c r="W213" s="103"/>
      <c r="X213" s="112">
        <f t="shared" si="45"/>
        <v>0</v>
      </c>
      <c r="Y213" s="112">
        <f t="shared" si="46"/>
        <v>0</v>
      </c>
      <c r="Z213" s="113">
        <f t="shared" si="47"/>
        <v>0</v>
      </c>
      <c r="AA213" s="113">
        <v>0</v>
      </c>
      <c r="AB213" s="114">
        <v>0</v>
      </c>
      <c r="AC213" s="11">
        <f t="shared" si="48"/>
        <v>0</v>
      </c>
      <c r="AD213" s="115">
        <f t="shared" si="38"/>
        <v>0</v>
      </c>
      <c r="AE213" s="115" t="e">
        <f t="shared" si="39"/>
        <v>#REF!</v>
      </c>
      <c r="AF213" s="115">
        <f t="shared" si="40"/>
        <v>0</v>
      </c>
      <c r="AG213" s="11"/>
      <c r="AH213" s="115">
        <f t="shared" si="42"/>
        <v>0</v>
      </c>
      <c r="AI213" s="115">
        <f t="shared" si="43"/>
        <v>0</v>
      </c>
      <c r="AJ213" s="115">
        <f t="shared" si="44"/>
        <v>0</v>
      </c>
      <c r="AL213" s="11" t="e">
        <f t="shared" si="41"/>
        <v>#REF!</v>
      </c>
    </row>
    <row r="214" spans="1:38" hidden="1">
      <c r="A214" s="129" t="s">
        <v>154</v>
      </c>
      <c r="B214" s="129" t="s">
        <v>81</v>
      </c>
      <c r="C214" s="96"/>
      <c r="D214" s="120" t="s">
        <v>328</v>
      </c>
      <c r="E214" s="98"/>
      <c r="F214" s="99" t="e">
        <f>VLOOKUP(D214,#REF!,19,FALSE)</f>
        <v>#REF!</v>
      </c>
      <c r="G214" s="100"/>
      <c r="H214" s="100"/>
      <c r="I214" s="101"/>
      <c r="J214" s="102" t="e">
        <f t="shared" si="37"/>
        <v>#REF!</v>
      </c>
      <c r="K214" s="103"/>
      <c r="L214" s="104"/>
      <c r="M214" s="105"/>
      <c r="N214" s="103">
        <v>0</v>
      </c>
      <c r="O214" s="106"/>
      <c r="P214" s="103">
        <v>0</v>
      </c>
      <c r="Q214" s="107">
        <f t="shared" ref="Q214:Q228" si="50">L214+M214</f>
        <v>0</v>
      </c>
      <c r="R214" s="107"/>
      <c r="S214" s="107"/>
      <c r="T214" s="108">
        <v>0</v>
      </c>
      <c r="U214" s="119"/>
      <c r="V214" s="110">
        <f t="shared" si="49"/>
        <v>0</v>
      </c>
      <c r="W214" s="103"/>
      <c r="X214" s="112">
        <f t="shared" si="45"/>
        <v>0</v>
      </c>
      <c r="Y214" s="112">
        <f t="shared" si="46"/>
        <v>0</v>
      </c>
      <c r="Z214" s="113">
        <f t="shared" si="47"/>
        <v>0</v>
      </c>
      <c r="AA214" s="113">
        <v>0</v>
      </c>
      <c r="AB214" s="114">
        <v>0</v>
      </c>
      <c r="AC214" s="11">
        <f t="shared" si="48"/>
        <v>0</v>
      </c>
      <c r="AD214" s="115">
        <f t="shared" si="38"/>
        <v>0</v>
      </c>
      <c r="AE214" s="115">
        <f t="shared" si="39"/>
        <v>0</v>
      </c>
      <c r="AF214" s="115" t="e">
        <f t="shared" si="40"/>
        <v>#REF!</v>
      </c>
      <c r="AG214" s="11"/>
      <c r="AH214" s="115">
        <f t="shared" si="42"/>
        <v>0</v>
      </c>
      <c r="AI214" s="115">
        <f t="shared" si="43"/>
        <v>0</v>
      </c>
      <c r="AJ214" s="115">
        <f t="shared" si="44"/>
        <v>0</v>
      </c>
      <c r="AL214" s="11" t="e">
        <f t="shared" si="41"/>
        <v>#REF!</v>
      </c>
    </row>
    <row r="215" spans="1:38">
      <c r="A215" s="116"/>
      <c r="B215" s="116" t="s">
        <v>49</v>
      </c>
      <c r="C215" s="122"/>
      <c r="D215" s="120" t="s">
        <v>330</v>
      </c>
      <c r="E215" s="98"/>
      <c r="F215" s="99" t="e">
        <f>VLOOKUP(D215,#REF!,19,FALSE)</f>
        <v>#REF!</v>
      </c>
      <c r="G215" s="100"/>
      <c r="H215" s="100"/>
      <c r="I215" s="101"/>
      <c r="J215" s="102" t="e">
        <f t="shared" ref="J215:J228" si="51">SUM(E215:I215)</f>
        <v>#REF!</v>
      </c>
      <c r="K215" s="103"/>
      <c r="L215" s="104"/>
      <c r="M215" s="105"/>
      <c r="N215" s="103">
        <v>0</v>
      </c>
      <c r="O215" s="106"/>
      <c r="P215" s="103">
        <v>0</v>
      </c>
      <c r="Q215" s="107">
        <f>L215+M215</f>
        <v>0</v>
      </c>
      <c r="R215" s="107"/>
      <c r="S215" s="107"/>
      <c r="T215" s="108">
        <v>0</v>
      </c>
      <c r="U215" s="119"/>
      <c r="V215" s="110">
        <f t="shared" si="49"/>
        <v>0</v>
      </c>
      <c r="W215" s="103"/>
      <c r="X215" s="112">
        <f t="shared" si="45"/>
        <v>0</v>
      </c>
      <c r="Y215" s="112">
        <f t="shared" si="46"/>
        <v>0</v>
      </c>
      <c r="Z215" s="113">
        <f t="shared" si="47"/>
        <v>0</v>
      </c>
      <c r="AA215" s="113">
        <v>0</v>
      </c>
      <c r="AB215" s="114">
        <v>0</v>
      </c>
      <c r="AC215" s="11">
        <f>(L215+M215)-(X215+Y215+Z215+AA215+AB215)</f>
        <v>0</v>
      </c>
      <c r="AD215" s="115" t="e">
        <f t="shared" si="38"/>
        <v>#REF!</v>
      </c>
      <c r="AE215" s="115">
        <f t="shared" si="39"/>
        <v>0</v>
      </c>
      <c r="AF215" s="115">
        <f t="shared" si="40"/>
        <v>0</v>
      </c>
      <c r="AG215" s="11"/>
      <c r="AH215" s="115">
        <f t="shared" si="42"/>
        <v>0</v>
      </c>
      <c r="AI215" s="115">
        <f t="shared" si="43"/>
        <v>0</v>
      </c>
      <c r="AJ215" s="115">
        <f t="shared" si="44"/>
        <v>0</v>
      </c>
      <c r="AL215" s="11" t="e">
        <f t="shared" si="41"/>
        <v>#REF!</v>
      </c>
    </row>
    <row r="216" spans="1:38">
      <c r="A216" s="116"/>
      <c r="B216" s="116" t="s">
        <v>49</v>
      </c>
      <c r="C216" s="122" t="s">
        <v>331</v>
      </c>
      <c r="D216" s="118" t="s">
        <v>332</v>
      </c>
      <c r="E216" s="98"/>
      <c r="F216" s="99" t="e">
        <f>VLOOKUP(D216,#REF!,19,FALSE)</f>
        <v>#REF!</v>
      </c>
      <c r="G216" s="100"/>
      <c r="H216" s="100"/>
      <c r="I216" s="101"/>
      <c r="J216" s="102" t="e">
        <f t="shared" si="51"/>
        <v>#REF!</v>
      </c>
      <c r="K216" s="103"/>
      <c r="L216" s="104"/>
      <c r="M216" s="105"/>
      <c r="N216" s="103">
        <v>0</v>
      </c>
      <c r="O216" s="106"/>
      <c r="P216" s="103">
        <v>0</v>
      </c>
      <c r="Q216" s="107">
        <f t="shared" si="50"/>
        <v>0</v>
      </c>
      <c r="R216" s="107"/>
      <c r="S216" s="107"/>
      <c r="T216" s="108">
        <v>0</v>
      </c>
      <c r="U216" s="119"/>
      <c r="V216" s="110">
        <f t="shared" si="49"/>
        <v>0</v>
      </c>
      <c r="W216" s="103"/>
      <c r="X216" s="112">
        <f t="shared" si="45"/>
        <v>0</v>
      </c>
      <c r="Y216" s="112">
        <f t="shared" si="46"/>
        <v>0</v>
      </c>
      <c r="Z216" s="113">
        <f t="shared" si="47"/>
        <v>0</v>
      </c>
      <c r="AA216" s="113">
        <v>0</v>
      </c>
      <c r="AB216" s="114">
        <v>0</v>
      </c>
      <c r="AC216" s="11">
        <f t="shared" si="48"/>
        <v>0</v>
      </c>
      <c r="AD216" s="115" t="e">
        <f t="shared" si="38"/>
        <v>#REF!</v>
      </c>
      <c r="AE216" s="115">
        <f t="shared" si="39"/>
        <v>0</v>
      </c>
      <c r="AF216" s="115">
        <f t="shared" si="40"/>
        <v>0</v>
      </c>
      <c r="AG216" s="11"/>
      <c r="AH216" s="115">
        <f t="shared" si="42"/>
        <v>0</v>
      </c>
      <c r="AI216" s="115">
        <f t="shared" si="43"/>
        <v>0</v>
      </c>
      <c r="AJ216" s="115">
        <f t="shared" si="44"/>
        <v>0</v>
      </c>
      <c r="AL216" s="11" t="e">
        <f t="shared" si="41"/>
        <v>#REF!</v>
      </c>
    </row>
    <row r="217" spans="1:38">
      <c r="A217" s="116"/>
      <c r="B217" s="116" t="s">
        <v>46</v>
      </c>
      <c r="C217" s="122" t="s">
        <v>331</v>
      </c>
      <c r="D217" s="118" t="s">
        <v>333</v>
      </c>
      <c r="E217" s="98"/>
      <c r="F217" s="99" t="e">
        <f>VLOOKUP(D217,#REF!,19,FALSE)</f>
        <v>#REF!</v>
      </c>
      <c r="G217" s="100"/>
      <c r="H217" s="100"/>
      <c r="I217" s="101"/>
      <c r="J217" s="102" t="e">
        <f t="shared" si="51"/>
        <v>#REF!</v>
      </c>
      <c r="K217" s="103"/>
      <c r="L217" s="104"/>
      <c r="M217" s="105"/>
      <c r="N217" s="103">
        <v>0</v>
      </c>
      <c r="O217" s="106"/>
      <c r="P217" s="103">
        <v>0</v>
      </c>
      <c r="Q217" s="107">
        <f t="shared" si="50"/>
        <v>0</v>
      </c>
      <c r="R217" s="107"/>
      <c r="S217" s="107"/>
      <c r="T217" s="108">
        <v>0</v>
      </c>
      <c r="U217" s="119"/>
      <c r="V217" s="110">
        <f t="shared" si="49"/>
        <v>0</v>
      </c>
      <c r="W217" s="103"/>
      <c r="X217" s="112">
        <f t="shared" si="45"/>
        <v>0</v>
      </c>
      <c r="Y217" s="112">
        <f t="shared" si="46"/>
        <v>0</v>
      </c>
      <c r="Z217" s="113">
        <f t="shared" si="47"/>
        <v>0</v>
      </c>
      <c r="AA217" s="113">
        <v>0</v>
      </c>
      <c r="AB217" s="114">
        <v>0</v>
      </c>
      <c r="AC217" s="11">
        <f t="shared" si="48"/>
        <v>0</v>
      </c>
      <c r="AD217" s="115">
        <f t="shared" si="38"/>
        <v>0</v>
      </c>
      <c r="AE217" s="115" t="e">
        <f t="shared" si="39"/>
        <v>#REF!</v>
      </c>
      <c r="AF217" s="115">
        <f t="shared" si="40"/>
        <v>0</v>
      </c>
      <c r="AG217" s="11"/>
      <c r="AH217" s="115">
        <f t="shared" si="42"/>
        <v>0</v>
      </c>
      <c r="AI217" s="115">
        <f t="shared" si="43"/>
        <v>0</v>
      </c>
      <c r="AJ217" s="115">
        <f t="shared" si="44"/>
        <v>0</v>
      </c>
      <c r="AL217" s="11" t="e">
        <f t="shared" si="41"/>
        <v>#REF!</v>
      </c>
    </row>
    <row r="218" spans="1:38" hidden="1">
      <c r="A218" s="116"/>
      <c r="B218" s="116" t="s">
        <v>46</v>
      </c>
      <c r="C218" s="122"/>
      <c r="D218" s="118" t="s">
        <v>334</v>
      </c>
      <c r="E218" s="98"/>
      <c r="F218" s="99" t="e">
        <f>VLOOKUP(D218,#REF!,19,FALSE)</f>
        <v>#REF!</v>
      </c>
      <c r="G218" s="100"/>
      <c r="H218" s="100"/>
      <c r="I218" s="101"/>
      <c r="J218" s="102" t="e">
        <f t="shared" si="51"/>
        <v>#REF!</v>
      </c>
      <c r="K218" s="103"/>
      <c r="L218" s="104"/>
      <c r="M218" s="105"/>
      <c r="N218" s="103">
        <v>0</v>
      </c>
      <c r="O218" s="106"/>
      <c r="P218" s="103">
        <v>0</v>
      </c>
      <c r="Q218" s="107">
        <f t="shared" si="50"/>
        <v>0</v>
      </c>
      <c r="R218" s="107"/>
      <c r="S218" s="107"/>
      <c r="T218" s="108">
        <v>0</v>
      </c>
      <c r="U218" s="119"/>
      <c r="V218" s="110">
        <f t="shared" si="49"/>
        <v>0</v>
      </c>
      <c r="W218" s="103"/>
      <c r="X218" s="112">
        <f t="shared" si="45"/>
        <v>0</v>
      </c>
      <c r="Y218" s="112">
        <f t="shared" si="46"/>
        <v>0</v>
      </c>
      <c r="Z218" s="113">
        <f t="shared" si="47"/>
        <v>0</v>
      </c>
      <c r="AA218" s="113">
        <v>0</v>
      </c>
      <c r="AB218" s="114">
        <v>0</v>
      </c>
      <c r="AC218" s="11">
        <f t="shared" si="48"/>
        <v>0</v>
      </c>
      <c r="AD218" s="115">
        <f t="shared" ref="AD218:AD228" si="52">IF(B218="D",J218,0)</f>
        <v>0</v>
      </c>
      <c r="AE218" s="115" t="e">
        <f t="shared" ref="AE218:AE228" si="53">IF(B218="M",J218,0)</f>
        <v>#REF!</v>
      </c>
      <c r="AF218" s="115">
        <f t="shared" ref="AF218:AF228" si="54">IF(B218="V",J218,0)</f>
        <v>0</v>
      </c>
      <c r="AG218" s="11"/>
      <c r="AH218" s="115">
        <f t="shared" si="42"/>
        <v>0</v>
      </c>
      <c r="AI218" s="115">
        <f t="shared" si="43"/>
        <v>0</v>
      </c>
      <c r="AJ218" s="115">
        <f t="shared" si="44"/>
        <v>0</v>
      </c>
      <c r="AL218" s="11" t="e">
        <f t="shared" ref="AL218:AL228" si="55">SUM(AD218:AJ218)</f>
        <v>#REF!</v>
      </c>
    </row>
    <row r="219" spans="1:38" hidden="1">
      <c r="A219" s="116"/>
      <c r="B219" s="116" t="s">
        <v>46</v>
      </c>
      <c r="C219" s="122"/>
      <c r="D219" s="118" t="s">
        <v>335</v>
      </c>
      <c r="E219" s="98"/>
      <c r="F219" s="99" t="e">
        <f>VLOOKUP(D219,#REF!,19,FALSE)</f>
        <v>#REF!</v>
      </c>
      <c r="G219" s="100"/>
      <c r="H219" s="100"/>
      <c r="I219" s="101"/>
      <c r="J219" s="102" t="e">
        <f t="shared" si="51"/>
        <v>#REF!</v>
      </c>
      <c r="K219" s="103"/>
      <c r="L219" s="104"/>
      <c r="M219" s="105"/>
      <c r="N219" s="103">
        <v>0</v>
      </c>
      <c r="O219" s="106"/>
      <c r="P219" s="103">
        <v>0</v>
      </c>
      <c r="Q219" s="107">
        <f t="shared" si="50"/>
        <v>0</v>
      </c>
      <c r="R219" s="107"/>
      <c r="S219" s="107"/>
      <c r="T219" s="108">
        <v>0</v>
      </c>
      <c r="U219" s="119"/>
      <c r="V219" s="110">
        <f t="shared" si="49"/>
        <v>0</v>
      </c>
      <c r="W219" s="103"/>
      <c r="X219" s="112">
        <f t="shared" si="45"/>
        <v>0</v>
      </c>
      <c r="Y219" s="112">
        <f t="shared" si="46"/>
        <v>0</v>
      </c>
      <c r="Z219" s="113">
        <f t="shared" si="47"/>
        <v>0</v>
      </c>
      <c r="AA219" s="113">
        <v>0</v>
      </c>
      <c r="AB219" s="114">
        <v>0</v>
      </c>
      <c r="AC219" s="11">
        <f t="shared" si="48"/>
        <v>0</v>
      </c>
      <c r="AD219" s="115">
        <f t="shared" si="52"/>
        <v>0</v>
      </c>
      <c r="AE219" s="115" t="e">
        <f t="shared" si="53"/>
        <v>#REF!</v>
      </c>
      <c r="AF219" s="115">
        <f t="shared" si="54"/>
        <v>0</v>
      </c>
      <c r="AG219" s="11"/>
      <c r="AH219" s="115">
        <f t="shared" ref="AH219:AH228" si="56">IF(B219="D",Q219,0)</f>
        <v>0</v>
      </c>
      <c r="AI219" s="115">
        <f t="shared" ref="AI219:AI228" si="57">IF(B219="M",Q219,0)</f>
        <v>0</v>
      </c>
      <c r="AJ219" s="115">
        <f t="shared" ref="AJ219:AJ228" si="58">IF(B219="V",Q219,0)</f>
        <v>0</v>
      </c>
      <c r="AL219" s="11" t="e">
        <f t="shared" si="55"/>
        <v>#REF!</v>
      </c>
    </row>
    <row r="220" spans="1:38">
      <c r="A220" s="116"/>
      <c r="B220" s="116" t="s">
        <v>46</v>
      </c>
      <c r="C220" s="122"/>
      <c r="D220" s="120" t="s">
        <v>336</v>
      </c>
      <c r="E220" s="98"/>
      <c r="F220" s="99" t="e">
        <f>VLOOKUP(D220,#REF!,19,FALSE)</f>
        <v>#REF!</v>
      </c>
      <c r="G220" s="100"/>
      <c r="H220" s="100"/>
      <c r="I220" s="101"/>
      <c r="J220" s="102" t="e">
        <f t="shared" si="51"/>
        <v>#REF!</v>
      </c>
      <c r="K220" s="103"/>
      <c r="L220" s="104"/>
      <c r="M220" s="105"/>
      <c r="N220" s="103">
        <v>0</v>
      </c>
      <c r="O220" s="106"/>
      <c r="P220" s="103">
        <v>0</v>
      </c>
      <c r="Q220" s="107">
        <f t="shared" si="50"/>
        <v>0</v>
      </c>
      <c r="R220" s="107"/>
      <c r="S220" s="107"/>
      <c r="T220" s="108">
        <v>0</v>
      </c>
      <c r="U220" s="119"/>
      <c r="V220" s="110">
        <f t="shared" si="49"/>
        <v>0</v>
      </c>
      <c r="W220" s="103"/>
      <c r="X220" s="112">
        <f t="shared" ref="X220:X228" si="59">IF(B220="D",Q220,0)</f>
        <v>0</v>
      </c>
      <c r="Y220" s="112">
        <f t="shared" ref="Y220:Y228" si="60">IF(B220="M",Q220,0)</f>
        <v>0</v>
      </c>
      <c r="Z220" s="113">
        <f t="shared" ref="Z220:Z228" si="61">IF(B220="V",Q220,0)</f>
        <v>0</v>
      </c>
      <c r="AA220" s="113">
        <v>0</v>
      </c>
      <c r="AB220" s="114">
        <v>0</v>
      </c>
      <c r="AC220" s="11">
        <f t="shared" ref="AC220:AC228" si="62">(L220+M220)-(X220+Y220+Z220+AA220+AB220)</f>
        <v>0</v>
      </c>
      <c r="AD220" s="115">
        <f t="shared" si="52"/>
        <v>0</v>
      </c>
      <c r="AE220" s="115" t="e">
        <f t="shared" si="53"/>
        <v>#REF!</v>
      </c>
      <c r="AF220" s="115">
        <f t="shared" si="54"/>
        <v>0</v>
      </c>
      <c r="AG220" s="11"/>
      <c r="AH220" s="115">
        <f t="shared" si="56"/>
        <v>0</v>
      </c>
      <c r="AI220" s="115">
        <f t="shared" si="57"/>
        <v>0</v>
      </c>
      <c r="AJ220" s="115">
        <f t="shared" si="58"/>
        <v>0</v>
      </c>
      <c r="AL220" s="11" t="e">
        <f t="shared" si="55"/>
        <v>#REF!</v>
      </c>
    </row>
    <row r="221" spans="1:38">
      <c r="A221" s="116"/>
      <c r="B221" s="116" t="s">
        <v>49</v>
      </c>
      <c r="C221" s="122"/>
      <c r="D221" s="120" t="s">
        <v>337</v>
      </c>
      <c r="E221" s="98"/>
      <c r="F221" s="99" t="e">
        <f>VLOOKUP(D221,#REF!,19,FALSE)</f>
        <v>#REF!</v>
      </c>
      <c r="G221" s="100"/>
      <c r="H221" s="100"/>
      <c r="I221" s="101"/>
      <c r="J221" s="102" t="e">
        <f t="shared" si="51"/>
        <v>#REF!</v>
      </c>
      <c r="K221" s="103"/>
      <c r="L221" s="104"/>
      <c r="M221" s="105"/>
      <c r="N221" s="103">
        <v>0</v>
      </c>
      <c r="O221" s="106"/>
      <c r="P221" s="103">
        <v>0</v>
      </c>
      <c r="Q221" s="107">
        <f t="shared" si="50"/>
        <v>0</v>
      </c>
      <c r="R221" s="107"/>
      <c r="S221" s="107"/>
      <c r="T221" s="108">
        <v>0</v>
      </c>
      <c r="U221" s="119"/>
      <c r="V221" s="110">
        <f t="shared" si="49"/>
        <v>0</v>
      </c>
      <c r="W221" s="103"/>
      <c r="X221" s="112">
        <f t="shared" si="59"/>
        <v>0</v>
      </c>
      <c r="Y221" s="112">
        <f t="shared" si="60"/>
        <v>0</v>
      </c>
      <c r="Z221" s="113">
        <f t="shared" si="61"/>
        <v>0</v>
      </c>
      <c r="AA221" s="113">
        <v>0</v>
      </c>
      <c r="AB221" s="114">
        <v>0</v>
      </c>
      <c r="AC221" s="11">
        <f t="shared" si="62"/>
        <v>0</v>
      </c>
      <c r="AD221" s="115" t="e">
        <f t="shared" si="52"/>
        <v>#REF!</v>
      </c>
      <c r="AE221" s="115">
        <f t="shared" si="53"/>
        <v>0</v>
      </c>
      <c r="AF221" s="115">
        <f t="shared" si="54"/>
        <v>0</v>
      </c>
      <c r="AG221" s="11"/>
      <c r="AH221" s="115">
        <f t="shared" si="56"/>
        <v>0</v>
      </c>
      <c r="AI221" s="115">
        <f t="shared" si="57"/>
        <v>0</v>
      </c>
      <c r="AJ221" s="115">
        <f t="shared" si="58"/>
        <v>0</v>
      </c>
      <c r="AL221" s="11" t="e">
        <f t="shared" si="55"/>
        <v>#REF!</v>
      </c>
    </row>
    <row r="222" spans="1:38">
      <c r="A222" s="116"/>
      <c r="B222" s="116" t="s">
        <v>46</v>
      </c>
      <c r="C222" s="122" t="s">
        <v>338</v>
      </c>
      <c r="D222" s="120" t="s">
        <v>339</v>
      </c>
      <c r="E222" s="98"/>
      <c r="F222" s="99" t="e">
        <f>VLOOKUP(D222,#REF!,19,FALSE)</f>
        <v>#REF!</v>
      </c>
      <c r="G222" s="100"/>
      <c r="H222" s="100"/>
      <c r="I222" s="101"/>
      <c r="J222" s="102" t="e">
        <f t="shared" si="51"/>
        <v>#REF!</v>
      </c>
      <c r="K222" s="103"/>
      <c r="L222" s="104"/>
      <c r="M222" s="105"/>
      <c r="N222" s="103">
        <v>0</v>
      </c>
      <c r="O222" s="106"/>
      <c r="P222" s="103">
        <v>0</v>
      </c>
      <c r="Q222" s="107">
        <f t="shared" si="50"/>
        <v>0</v>
      </c>
      <c r="R222" s="107"/>
      <c r="S222" s="107"/>
      <c r="T222" s="108">
        <v>0</v>
      </c>
      <c r="U222" s="119"/>
      <c r="V222" s="110">
        <f t="shared" si="49"/>
        <v>0</v>
      </c>
      <c r="W222" s="103"/>
      <c r="X222" s="112">
        <f t="shared" si="59"/>
        <v>0</v>
      </c>
      <c r="Y222" s="112">
        <f t="shared" si="60"/>
        <v>0</v>
      </c>
      <c r="Z222" s="113">
        <f t="shared" si="61"/>
        <v>0</v>
      </c>
      <c r="AA222" s="113">
        <v>0</v>
      </c>
      <c r="AB222" s="114">
        <v>0</v>
      </c>
      <c r="AC222" s="11">
        <f t="shared" si="62"/>
        <v>0</v>
      </c>
      <c r="AD222" s="115">
        <f t="shared" si="52"/>
        <v>0</v>
      </c>
      <c r="AE222" s="115" t="e">
        <f t="shared" si="53"/>
        <v>#REF!</v>
      </c>
      <c r="AF222" s="115">
        <f t="shared" si="54"/>
        <v>0</v>
      </c>
      <c r="AG222" s="11"/>
      <c r="AH222" s="115">
        <f t="shared" si="56"/>
        <v>0</v>
      </c>
      <c r="AI222" s="115">
        <f t="shared" si="57"/>
        <v>0</v>
      </c>
      <c r="AJ222" s="115">
        <f t="shared" si="58"/>
        <v>0</v>
      </c>
      <c r="AL222" s="11" t="e">
        <f t="shared" si="55"/>
        <v>#REF!</v>
      </c>
    </row>
    <row r="223" spans="1:38">
      <c r="A223" s="116" t="s">
        <v>340</v>
      </c>
      <c r="B223" s="116" t="s">
        <v>49</v>
      </c>
      <c r="C223" s="122"/>
      <c r="D223" s="120" t="s">
        <v>341</v>
      </c>
      <c r="E223" s="98"/>
      <c r="F223" s="99" t="e">
        <f>VLOOKUP(D223,#REF!,19,FALSE)</f>
        <v>#REF!</v>
      </c>
      <c r="G223" s="100"/>
      <c r="H223" s="100"/>
      <c r="I223" s="101"/>
      <c r="J223" s="102" t="e">
        <f t="shared" si="51"/>
        <v>#REF!</v>
      </c>
      <c r="K223" s="103"/>
      <c r="L223" s="104"/>
      <c r="M223" s="105">
        <v>10000</v>
      </c>
      <c r="N223" s="103">
        <v>0</v>
      </c>
      <c r="O223" s="106"/>
      <c r="P223" s="103">
        <v>0</v>
      </c>
      <c r="Q223" s="107">
        <f t="shared" si="50"/>
        <v>10000</v>
      </c>
      <c r="R223" s="107"/>
      <c r="S223" s="107"/>
      <c r="T223" s="108">
        <v>0</v>
      </c>
      <c r="U223" s="119"/>
      <c r="V223" s="110">
        <f t="shared" si="49"/>
        <v>-10000</v>
      </c>
      <c r="W223" s="103"/>
      <c r="X223" s="112">
        <f t="shared" si="59"/>
        <v>10000</v>
      </c>
      <c r="Y223" s="112">
        <f t="shared" si="60"/>
        <v>0</v>
      </c>
      <c r="Z223" s="113">
        <f t="shared" si="61"/>
        <v>0</v>
      </c>
      <c r="AA223" s="113">
        <v>0</v>
      </c>
      <c r="AB223" s="114">
        <v>0</v>
      </c>
      <c r="AC223" s="11">
        <f t="shared" si="62"/>
        <v>0</v>
      </c>
      <c r="AD223" s="115" t="e">
        <f t="shared" si="52"/>
        <v>#REF!</v>
      </c>
      <c r="AE223" s="115">
        <f t="shared" si="53"/>
        <v>0</v>
      </c>
      <c r="AF223" s="115">
        <f t="shared" si="54"/>
        <v>0</v>
      </c>
      <c r="AG223" s="11"/>
      <c r="AH223" s="115">
        <f t="shared" si="56"/>
        <v>10000</v>
      </c>
      <c r="AI223" s="115">
        <f t="shared" si="57"/>
        <v>0</v>
      </c>
      <c r="AJ223" s="115">
        <f t="shared" si="58"/>
        <v>0</v>
      </c>
      <c r="AL223" s="11" t="e">
        <f t="shared" si="55"/>
        <v>#REF!</v>
      </c>
    </row>
    <row r="224" spans="1:38">
      <c r="A224" s="116"/>
      <c r="B224" s="116" t="s">
        <v>49</v>
      </c>
      <c r="C224" s="122" t="s">
        <v>342</v>
      </c>
      <c r="D224" s="120" t="s">
        <v>343</v>
      </c>
      <c r="E224" s="98"/>
      <c r="F224" s="99" t="e">
        <f>VLOOKUP(D224,#REF!,19,FALSE)</f>
        <v>#REF!</v>
      </c>
      <c r="G224" s="100"/>
      <c r="H224" s="100"/>
      <c r="I224" s="101"/>
      <c r="J224" s="102" t="e">
        <f t="shared" si="51"/>
        <v>#REF!</v>
      </c>
      <c r="K224" s="103"/>
      <c r="L224" s="104"/>
      <c r="M224" s="105"/>
      <c r="N224" s="103">
        <v>0</v>
      </c>
      <c r="O224" s="106"/>
      <c r="P224" s="103">
        <v>0</v>
      </c>
      <c r="Q224" s="107">
        <f t="shared" si="50"/>
        <v>0</v>
      </c>
      <c r="R224" s="107"/>
      <c r="S224" s="107"/>
      <c r="T224" s="108">
        <v>0</v>
      </c>
      <c r="U224" s="119"/>
      <c r="V224" s="110">
        <f t="shared" si="49"/>
        <v>0</v>
      </c>
      <c r="W224" s="103"/>
      <c r="X224" s="112">
        <f t="shared" si="59"/>
        <v>0</v>
      </c>
      <c r="Y224" s="112">
        <f t="shared" si="60"/>
        <v>0</v>
      </c>
      <c r="Z224" s="113">
        <f t="shared" si="61"/>
        <v>0</v>
      </c>
      <c r="AA224" s="113">
        <v>0</v>
      </c>
      <c r="AB224" s="114">
        <v>0</v>
      </c>
      <c r="AC224" s="11">
        <f t="shared" si="62"/>
        <v>0</v>
      </c>
      <c r="AD224" s="115" t="e">
        <f t="shared" si="52"/>
        <v>#REF!</v>
      </c>
      <c r="AE224" s="115">
        <f t="shared" si="53"/>
        <v>0</v>
      </c>
      <c r="AF224" s="115">
        <f t="shared" si="54"/>
        <v>0</v>
      </c>
      <c r="AG224" s="11"/>
      <c r="AH224" s="115">
        <f t="shared" si="56"/>
        <v>0</v>
      </c>
      <c r="AI224" s="115">
        <f t="shared" si="57"/>
        <v>0</v>
      </c>
      <c r="AJ224" s="115">
        <f t="shared" si="58"/>
        <v>0</v>
      </c>
      <c r="AL224" s="11" t="e">
        <f t="shared" si="55"/>
        <v>#REF!</v>
      </c>
    </row>
    <row r="225" spans="1:38">
      <c r="A225" s="129"/>
      <c r="B225" s="129" t="s">
        <v>49</v>
      </c>
      <c r="C225" s="96"/>
      <c r="D225" s="150" t="s">
        <v>344</v>
      </c>
      <c r="E225" s="98"/>
      <c r="F225" s="99" t="e">
        <f>VLOOKUP(D225,#REF!,19,FALSE)</f>
        <v>#REF!</v>
      </c>
      <c r="G225" s="100"/>
      <c r="H225" s="100"/>
      <c r="I225" s="101"/>
      <c r="J225" s="102" t="e">
        <f t="shared" si="51"/>
        <v>#REF!</v>
      </c>
      <c r="K225" s="103"/>
      <c r="L225" s="104"/>
      <c r="M225" s="105"/>
      <c r="N225" s="103">
        <v>0</v>
      </c>
      <c r="O225" s="106"/>
      <c r="P225" s="103">
        <v>0</v>
      </c>
      <c r="Q225" s="107">
        <f t="shared" si="50"/>
        <v>0</v>
      </c>
      <c r="R225" s="107"/>
      <c r="S225" s="107"/>
      <c r="T225" s="108">
        <v>0</v>
      </c>
      <c r="U225" s="119"/>
      <c r="V225" s="110">
        <f t="shared" si="49"/>
        <v>0</v>
      </c>
      <c r="W225" s="103"/>
      <c r="X225" s="112">
        <f t="shared" si="59"/>
        <v>0</v>
      </c>
      <c r="Y225" s="112">
        <f t="shared" si="60"/>
        <v>0</v>
      </c>
      <c r="Z225" s="113">
        <f t="shared" si="61"/>
        <v>0</v>
      </c>
      <c r="AA225" s="113">
        <v>0</v>
      </c>
      <c r="AB225" s="114">
        <v>0</v>
      </c>
      <c r="AC225" s="11">
        <f t="shared" si="62"/>
        <v>0</v>
      </c>
      <c r="AD225" s="115" t="e">
        <f t="shared" si="52"/>
        <v>#REF!</v>
      </c>
      <c r="AE225" s="115">
        <f t="shared" si="53"/>
        <v>0</v>
      </c>
      <c r="AF225" s="115">
        <f t="shared" si="54"/>
        <v>0</v>
      </c>
      <c r="AG225" s="11"/>
      <c r="AH225" s="115">
        <f t="shared" si="56"/>
        <v>0</v>
      </c>
      <c r="AI225" s="115">
        <f t="shared" si="57"/>
        <v>0</v>
      </c>
      <c r="AJ225" s="115">
        <f t="shared" si="58"/>
        <v>0</v>
      </c>
      <c r="AL225" s="11" t="e">
        <f t="shared" si="55"/>
        <v>#REF!</v>
      </c>
    </row>
    <row r="226" spans="1:38">
      <c r="A226" s="129"/>
      <c r="B226" s="129" t="s">
        <v>81</v>
      </c>
      <c r="C226" s="96"/>
      <c r="D226" s="120" t="s">
        <v>345</v>
      </c>
      <c r="E226" s="98"/>
      <c r="F226" s="99" t="e">
        <f>VLOOKUP(D226,#REF!,19,FALSE)</f>
        <v>#REF!</v>
      </c>
      <c r="G226" s="100"/>
      <c r="H226" s="100"/>
      <c r="I226" s="101"/>
      <c r="J226" s="102" t="e">
        <f t="shared" si="51"/>
        <v>#REF!</v>
      </c>
      <c r="K226" s="103"/>
      <c r="L226" s="104"/>
      <c r="M226" s="105"/>
      <c r="N226" s="103">
        <v>0</v>
      </c>
      <c r="O226" s="106"/>
      <c r="P226" s="103">
        <v>0</v>
      </c>
      <c r="Q226" s="107">
        <f t="shared" si="50"/>
        <v>0</v>
      </c>
      <c r="R226" s="107"/>
      <c r="S226" s="107"/>
      <c r="T226" s="108">
        <f>633.92+250.63+136.9+347.44</f>
        <v>1368.8899999999999</v>
      </c>
      <c r="U226" s="119"/>
      <c r="V226" s="110">
        <f t="shared" si="49"/>
        <v>1368.8899999999999</v>
      </c>
      <c r="W226" s="103"/>
      <c r="X226" s="112">
        <f t="shared" si="59"/>
        <v>0</v>
      </c>
      <c r="Y226" s="112">
        <f t="shared" si="60"/>
        <v>0</v>
      </c>
      <c r="Z226" s="113">
        <f t="shared" si="61"/>
        <v>0</v>
      </c>
      <c r="AA226" s="113">
        <v>0</v>
      </c>
      <c r="AB226" s="114">
        <v>0</v>
      </c>
      <c r="AC226" s="11">
        <f t="shared" si="62"/>
        <v>0</v>
      </c>
      <c r="AD226" s="115">
        <f t="shared" si="52"/>
        <v>0</v>
      </c>
      <c r="AE226" s="115">
        <f t="shared" si="53"/>
        <v>0</v>
      </c>
      <c r="AF226" s="115" t="e">
        <f t="shared" si="54"/>
        <v>#REF!</v>
      </c>
      <c r="AG226" s="11"/>
      <c r="AH226" s="115">
        <f t="shared" si="56"/>
        <v>0</v>
      </c>
      <c r="AI226" s="115">
        <f t="shared" si="57"/>
        <v>0</v>
      </c>
      <c r="AJ226" s="115">
        <f t="shared" si="58"/>
        <v>0</v>
      </c>
      <c r="AL226" s="11" t="e">
        <f t="shared" si="55"/>
        <v>#REF!</v>
      </c>
    </row>
    <row r="227" spans="1:38">
      <c r="A227" s="129"/>
      <c r="B227" s="129" t="s">
        <v>81</v>
      </c>
      <c r="C227" s="151"/>
      <c r="D227" s="152" t="s">
        <v>346</v>
      </c>
      <c r="E227" s="98"/>
      <c r="F227" s="99" t="e">
        <f>VLOOKUP(D227,#REF!,19,FALSE)</f>
        <v>#REF!</v>
      </c>
      <c r="G227" s="100"/>
      <c r="H227" s="100"/>
      <c r="I227" s="101"/>
      <c r="J227" s="102" t="e">
        <f t="shared" si="51"/>
        <v>#REF!</v>
      </c>
      <c r="K227" s="103"/>
      <c r="L227" s="104"/>
      <c r="M227" s="105"/>
      <c r="N227" s="103">
        <v>0</v>
      </c>
      <c r="O227" s="106"/>
      <c r="P227" s="103">
        <v>0</v>
      </c>
      <c r="Q227" s="107">
        <f t="shared" si="50"/>
        <v>0</v>
      </c>
      <c r="R227" s="107"/>
      <c r="S227" s="107"/>
      <c r="T227" s="108">
        <v>0</v>
      </c>
      <c r="U227" s="119"/>
      <c r="V227" s="110">
        <f t="shared" si="49"/>
        <v>0</v>
      </c>
      <c r="W227" s="103"/>
      <c r="X227" s="112">
        <f t="shared" si="59"/>
        <v>0</v>
      </c>
      <c r="Y227" s="112">
        <f t="shared" si="60"/>
        <v>0</v>
      </c>
      <c r="Z227" s="113">
        <f t="shared" si="61"/>
        <v>0</v>
      </c>
      <c r="AA227" s="113">
        <v>0</v>
      </c>
      <c r="AB227" s="114">
        <v>0</v>
      </c>
      <c r="AC227" s="11">
        <f t="shared" si="62"/>
        <v>0</v>
      </c>
      <c r="AD227" s="115">
        <f t="shared" si="52"/>
        <v>0</v>
      </c>
      <c r="AE227" s="115">
        <f t="shared" si="53"/>
        <v>0</v>
      </c>
      <c r="AF227" s="115" t="e">
        <f t="shared" si="54"/>
        <v>#REF!</v>
      </c>
      <c r="AG227" s="11"/>
      <c r="AH227" s="115">
        <f t="shared" si="56"/>
        <v>0</v>
      </c>
      <c r="AI227" s="115">
        <f t="shared" si="57"/>
        <v>0</v>
      </c>
      <c r="AJ227" s="115">
        <f t="shared" si="58"/>
        <v>0</v>
      </c>
      <c r="AL227" s="11" t="e">
        <f t="shared" si="55"/>
        <v>#REF!</v>
      </c>
    </row>
    <row r="228" spans="1:38" s="9" customFormat="1" ht="13" thickBot="1">
      <c r="A228" s="129"/>
      <c r="B228" s="129" t="s">
        <v>49</v>
      </c>
      <c r="C228" s="96"/>
      <c r="D228" s="120" t="s">
        <v>348</v>
      </c>
      <c r="E228" s="98"/>
      <c r="F228" s="99" t="e">
        <f>VLOOKUP(D228,#REF!,19,FALSE)</f>
        <v>#REF!</v>
      </c>
      <c r="G228" s="100"/>
      <c r="H228" s="100"/>
      <c r="I228" s="101"/>
      <c r="J228" s="102" t="e">
        <f t="shared" si="51"/>
        <v>#REF!</v>
      </c>
      <c r="K228" s="103"/>
      <c r="L228" s="104"/>
      <c r="M228" s="105"/>
      <c r="N228" s="103">
        <v>0</v>
      </c>
      <c r="O228" s="106"/>
      <c r="P228" s="103">
        <v>0</v>
      </c>
      <c r="Q228" s="107">
        <f t="shared" si="50"/>
        <v>0</v>
      </c>
      <c r="R228" s="107"/>
      <c r="S228" s="107"/>
      <c r="T228" s="108">
        <v>0</v>
      </c>
      <c r="U228" s="119"/>
      <c r="V228" s="110">
        <f t="shared" si="49"/>
        <v>0</v>
      </c>
      <c r="W228" s="103"/>
      <c r="X228" s="112">
        <f t="shared" si="59"/>
        <v>0</v>
      </c>
      <c r="Y228" s="112">
        <f t="shared" si="60"/>
        <v>0</v>
      </c>
      <c r="Z228" s="113">
        <f t="shared" si="61"/>
        <v>0</v>
      </c>
      <c r="AA228" s="113">
        <v>0</v>
      </c>
      <c r="AB228" s="114">
        <v>0</v>
      </c>
      <c r="AC228" s="11">
        <f t="shared" si="62"/>
        <v>0</v>
      </c>
      <c r="AD228" s="115" t="e">
        <f t="shared" si="52"/>
        <v>#REF!</v>
      </c>
      <c r="AE228" s="115">
        <f t="shared" si="53"/>
        <v>0</v>
      </c>
      <c r="AF228" s="115">
        <f t="shared" si="54"/>
        <v>0</v>
      </c>
      <c r="AG228" s="11"/>
      <c r="AH228" s="115">
        <f t="shared" si="56"/>
        <v>0</v>
      </c>
      <c r="AI228" s="115">
        <f t="shared" si="57"/>
        <v>0</v>
      </c>
      <c r="AJ228" s="115">
        <f t="shared" si="58"/>
        <v>0</v>
      </c>
      <c r="AL228" s="11" t="e">
        <f t="shared" si="55"/>
        <v>#REF!</v>
      </c>
    </row>
    <row r="229" spans="1:38" ht="13" thickBot="1">
      <c r="A229" s="153"/>
      <c r="B229" s="154"/>
      <c r="C229" s="155"/>
      <c r="D229" s="156" t="s">
        <v>349</v>
      </c>
      <c r="E229" s="157">
        <f t="shared" ref="E229:J229" si="63">SUM(E16:E228)</f>
        <v>1164952.8699999999</v>
      </c>
      <c r="F229" s="157" t="e">
        <f t="shared" si="63"/>
        <v>#REF!</v>
      </c>
      <c r="G229" s="157">
        <f t="shared" si="63"/>
        <v>0</v>
      </c>
      <c r="H229" s="157">
        <f t="shared" si="63"/>
        <v>0</v>
      </c>
      <c r="I229" s="157">
        <f t="shared" si="63"/>
        <v>8634598.9800000004</v>
      </c>
      <c r="J229" s="157" t="e">
        <f t="shared" si="63"/>
        <v>#REF!</v>
      </c>
      <c r="K229" s="157"/>
      <c r="L229" s="157">
        <f>SUM(L16:L228)</f>
        <v>0</v>
      </c>
      <c r="M229" s="157">
        <f>SUM(M16:M228)</f>
        <v>9902100</v>
      </c>
      <c r="N229" s="157">
        <f>SUM(N16:N228)</f>
        <v>0</v>
      </c>
      <c r="O229" s="158">
        <f>SUM(O16:O228)</f>
        <v>0</v>
      </c>
      <c r="P229" s="159">
        <f>SUM(P17:P228)</f>
        <v>0</v>
      </c>
      <c r="Q229" s="158">
        <f>SUM(Q16:Q228)</f>
        <v>9902100</v>
      </c>
      <c r="R229" s="158"/>
      <c r="S229" s="158"/>
      <c r="T229" s="158">
        <f>SUM(T16:T228)</f>
        <v>9146624.0199999996</v>
      </c>
      <c r="U229" s="160"/>
      <c r="V229" s="158">
        <f>SUM(V16:V228)</f>
        <v>-755475.97999999986</v>
      </c>
      <c r="W229" s="103"/>
      <c r="X229" s="161">
        <f>SUM(X16:X228)</f>
        <v>8723500</v>
      </c>
      <c r="Y229" s="161">
        <f>SUM(Y16:Y228)</f>
        <v>1059000</v>
      </c>
      <c r="Z229" s="161">
        <f>SUM(Z16:Z228)</f>
        <v>119600</v>
      </c>
      <c r="AA229" s="161">
        <f>SUM(AA16:AA228)</f>
        <v>0</v>
      </c>
      <c r="AB229" s="161">
        <f>SUM(AB16:AB228)</f>
        <v>0</v>
      </c>
      <c r="AC229" s="11"/>
      <c r="AD229" s="161" t="e">
        <f>SUM(AD16:AD228)</f>
        <v>#REF!</v>
      </c>
      <c r="AE229" s="161" t="e">
        <f>SUM(AE16:AE228)</f>
        <v>#REF!</v>
      </c>
      <c r="AF229" s="161" t="e">
        <f>SUM(AF16:AF228)</f>
        <v>#REF!</v>
      </c>
      <c r="AG229" s="11"/>
      <c r="AH229" s="161">
        <f>SUM(AH16:AH228)</f>
        <v>8723500</v>
      </c>
      <c r="AI229" s="161">
        <f>SUM(AI16:AI228)</f>
        <v>1059000</v>
      </c>
      <c r="AJ229" s="161">
        <f>SUM(AJ16:AJ228)</f>
        <v>119600</v>
      </c>
    </row>
    <row r="230" spans="1:38" ht="13" thickBot="1">
      <c r="A230" s="162"/>
      <c r="B230" s="162"/>
      <c r="C230" s="163"/>
      <c r="D230" s="164"/>
      <c r="E230" s="165" t="s">
        <v>350</v>
      </c>
      <c r="F230" s="166" t="e">
        <f>F229+E229</f>
        <v>#REF!</v>
      </c>
      <c r="G230" s="167"/>
      <c r="H230" s="167" t="s">
        <v>351</v>
      </c>
      <c r="I230" s="167">
        <f>I229+H229+G229</f>
        <v>8634598.9800000004</v>
      </c>
      <c r="J230" s="168"/>
      <c r="K230" s="167"/>
      <c r="L230" s="167" t="s">
        <v>352</v>
      </c>
      <c r="M230" s="158">
        <f>M229+L229</f>
        <v>9902100</v>
      </c>
      <c r="N230" s="167"/>
      <c r="O230" s="169"/>
      <c r="P230" s="167"/>
      <c r="Q230" s="167"/>
      <c r="R230" s="167"/>
      <c r="S230" s="167"/>
      <c r="T230" s="167"/>
      <c r="U230" s="167"/>
      <c r="V230" s="167"/>
      <c r="W230" s="167"/>
      <c r="X230" s="170"/>
      <c r="Y230" s="170"/>
      <c r="Z230" s="170"/>
      <c r="AA230" s="170"/>
      <c r="AB230" s="171"/>
      <c r="AC230" s="11"/>
      <c r="AD230" s="172"/>
      <c r="AE230" s="172"/>
      <c r="AF230" s="172"/>
      <c r="AG230" s="11"/>
      <c r="AH230" s="11"/>
      <c r="AI230" s="11"/>
      <c r="AJ230" s="11"/>
    </row>
    <row r="231" spans="1:38" ht="13" thickBot="1">
      <c r="A231" s="162"/>
      <c r="B231" s="162"/>
      <c r="C231" s="163"/>
      <c r="E231" s="173"/>
      <c r="F231" s="167"/>
      <c r="G231" s="167"/>
      <c r="H231" s="167"/>
      <c r="I231" s="167"/>
      <c r="J231" s="167"/>
      <c r="K231" s="167"/>
      <c r="L231" s="167"/>
      <c r="M231" s="174"/>
      <c r="N231" s="167"/>
      <c r="O231" s="167"/>
      <c r="P231" s="167"/>
      <c r="Q231" s="167"/>
      <c r="R231" s="167"/>
      <c r="S231" s="167"/>
      <c r="T231" s="167"/>
      <c r="U231" s="167"/>
      <c r="V231" s="167"/>
      <c r="W231" s="167"/>
      <c r="X231" s="175" t="s">
        <v>353</v>
      </c>
      <c r="Y231" s="170"/>
      <c r="Z231" s="170"/>
      <c r="AA231" s="170"/>
      <c r="AB231" s="171"/>
      <c r="AC231" s="17" t="s">
        <v>354</v>
      </c>
      <c r="AD231" s="176">
        <f>-45000+2815.48</f>
        <v>-42184.52</v>
      </c>
      <c r="AE231" s="176"/>
      <c r="AF231" s="176">
        <f>-SUM(AD231)</f>
        <v>42184.52</v>
      </c>
      <c r="AG231" s="11"/>
      <c r="AH231" s="172"/>
      <c r="AI231" s="172"/>
      <c r="AJ231" s="172"/>
    </row>
    <row r="232" spans="1:38" ht="17" thickTop="1" thickBot="1">
      <c r="E232" s="177"/>
      <c r="F232" s="178"/>
      <c r="G232" s="179"/>
      <c r="H232" s="180"/>
      <c r="I232" s="180"/>
      <c r="J232" s="17"/>
      <c r="K232" s="8"/>
      <c r="L232" s="181"/>
      <c r="M232" s="181"/>
      <c r="N232" s="11"/>
      <c r="O232" s="182"/>
      <c r="P232" s="170"/>
      <c r="Q232" s="170"/>
      <c r="R232" s="170"/>
      <c r="S232" s="170"/>
      <c r="T232" s="62"/>
      <c r="U232" s="62"/>
      <c r="V232" s="62"/>
      <c r="W232" s="8"/>
      <c r="X232" s="183"/>
      <c r="Y232" s="184"/>
      <c r="Z232" s="185"/>
      <c r="AA232" s="185"/>
      <c r="AB232" s="186"/>
      <c r="AC232" s="17" t="s">
        <v>355</v>
      </c>
      <c r="AD232" s="176">
        <v>-83161.22</v>
      </c>
      <c r="AE232" s="176"/>
      <c r="AF232" s="187">
        <f>-SUM(AD232)</f>
        <v>83161.22</v>
      </c>
      <c r="AG232" s="11"/>
      <c r="AH232" s="11"/>
      <c r="AI232" s="11"/>
      <c r="AJ232" s="11"/>
    </row>
    <row r="233" spans="1:38" ht="17" thickBot="1">
      <c r="E233" s="177"/>
      <c r="F233" s="178"/>
      <c r="G233" s="179"/>
      <c r="H233" s="180"/>
      <c r="J233" s="41" t="e">
        <f>J229</f>
        <v>#REF!</v>
      </c>
      <c r="K233" s="180" t="s">
        <v>396</v>
      </c>
      <c r="L233" s="8"/>
      <c r="M233" s="188"/>
      <c r="N233" s="11"/>
      <c r="O233" s="45"/>
      <c r="P233" s="171"/>
      <c r="Q233" s="170"/>
      <c r="R233" s="170"/>
      <c r="S233" s="170"/>
      <c r="T233" s="62"/>
      <c r="U233" s="62"/>
      <c r="V233" s="62"/>
      <c r="W233" s="8"/>
      <c r="X233" s="189"/>
      <c r="Y233" s="190"/>
      <c r="Z233" s="191" t="s">
        <v>357</v>
      </c>
      <c r="AA233" s="191" t="s">
        <v>358</v>
      </c>
      <c r="AB233" s="190"/>
      <c r="AC233" s="192" t="s">
        <v>359</v>
      </c>
      <c r="AD233" s="193" t="e">
        <f>SUM(AD229:AD232)</f>
        <v>#REF!</v>
      </c>
      <c r="AE233" s="193" t="e">
        <f>AE229</f>
        <v>#REF!</v>
      </c>
      <c r="AF233" s="193" t="e">
        <f>SUM(AF229:AF232)</f>
        <v>#REF!</v>
      </c>
      <c r="AG233" s="193"/>
      <c r="AH233" s="193">
        <f>AH229</f>
        <v>8723500</v>
      </c>
      <c r="AI233" s="193">
        <f>AI229</f>
        <v>1059000</v>
      </c>
      <c r="AJ233" s="194">
        <f>AJ229</f>
        <v>119600</v>
      </c>
      <c r="AL233" s="11" t="e">
        <f>SUM(AL17:AL232)</f>
        <v>#REF!</v>
      </c>
    </row>
    <row r="234" spans="1:38" ht="15" thickBot="1">
      <c r="D234" s="195"/>
      <c r="E234" s="196"/>
      <c r="F234" s="178"/>
      <c r="G234" s="179"/>
      <c r="H234" s="197"/>
      <c r="J234" s="198" t="e">
        <f>SUM(#REF!)</f>
        <v>#REF!</v>
      </c>
      <c r="K234" s="199" t="s">
        <v>360</v>
      </c>
      <c r="L234" s="200"/>
      <c r="M234" s="182"/>
      <c r="N234" s="62"/>
      <c r="O234" s="45"/>
      <c r="P234" s="171"/>
      <c r="Q234" s="170"/>
      <c r="R234" s="170"/>
      <c r="S234" s="170"/>
      <c r="T234" s="62"/>
      <c r="U234" s="62"/>
      <c r="V234" s="62"/>
      <c r="W234" s="8"/>
      <c r="X234" s="201" t="s">
        <v>361</v>
      </c>
      <c r="Y234" s="171" t="s">
        <v>362</v>
      </c>
      <c r="Z234" s="171">
        <f>X229+Y229+Z229</f>
        <v>9902100</v>
      </c>
      <c r="AA234" s="171"/>
      <c r="AB234" s="202"/>
      <c r="AC234" s="203"/>
      <c r="AD234" s="11"/>
      <c r="AE234" s="11"/>
      <c r="AF234" s="11"/>
      <c r="AG234" s="11"/>
      <c r="AH234" s="11"/>
      <c r="AI234" s="11"/>
      <c r="AJ234" s="11"/>
    </row>
    <row r="235" spans="1:38" ht="15" thickTop="1">
      <c r="D235" s="195"/>
      <c r="E235" s="177"/>
      <c r="F235" s="178"/>
      <c r="G235" s="179"/>
      <c r="H235" s="179" t="s">
        <v>363</v>
      </c>
      <c r="J235" s="49" t="e">
        <f>J234+J233</f>
        <v>#REF!</v>
      </c>
      <c r="K235" s="179" t="s">
        <v>364</v>
      </c>
      <c r="L235" s="200"/>
      <c r="M235" s="45"/>
      <c r="N235" s="171"/>
      <c r="O235" s="49"/>
      <c r="P235" s="171"/>
      <c r="Q235" s="170"/>
      <c r="R235" s="170"/>
      <c r="S235" s="170"/>
      <c r="T235" s="170"/>
      <c r="U235" s="170"/>
      <c r="V235" s="170"/>
      <c r="W235" s="8"/>
      <c r="X235" s="201"/>
      <c r="Y235" s="171"/>
      <c r="Z235" s="171"/>
      <c r="AA235" s="171"/>
      <c r="AB235" s="202"/>
      <c r="AC235" s="203"/>
      <c r="AD235" s="11"/>
      <c r="AE235" s="11"/>
      <c r="AF235" s="11" t="s">
        <v>349</v>
      </c>
      <c r="AG235" s="11"/>
      <c r="AH235" s="181" t="e">
        <f>SUM(AD233+AH233)</f>
        <v>#REF!</v>
      </c>
      <c r="AI235" s="181" t="e">
        <f t="shared" ref="AI235:AJ235" si="64">SUM(AE233+AI233)</f>
        <v>#REF!</v>
      </c>
      <c r="AJ235" s="181" t="e">
        <f t="shared" si="64"/>
        <v>#REF!</v>
      </c>
    </row>
    <row r="236" spans="1:38" ht="14">
      <c r="D236" s="195"/>
      <c r="E236" s="177"/>
      <c r="F236" s="178"/>
      <c r="G236" s="179"/>
      <c r="H236" s="179"/>
      <c r="J236" s="45"/>
      <c r="K236" s="179"/>
      <c r="L236" s="200"/>
      <c r="M236" s="171"/>
      <c r="N236" s="11"/>
      <c r="O236" s="170"/>
      <c r="P236" s="171"/>
      <c r="Q236" s="170"/>
      <c r="R236" s="170"/>
      <c r="S236" s="170"/>
      <c r="T236" s="170"/>
      <c r="U236" s="170"/>
      <c r="V236" s="170"/>
      <c r="W236" s="8"/>
      <c r="X236" s="201" t="s">
        <v>365</v>
      </c>
      <c r="Y236" s="171" t="s">
        <v>366</v>
      </c>
      <c r="Z236" s="171"/>
      <c r="AA236" s="171">
        <f>X229</f>
        <v>8723500</v>
      </c>
      <c r="AB236" s="202"/>
      <c r="AC236" s="11"/>
      <c r="AD236" s="206" t="s">
        <v>367</v>
      </c>
      <c r="AE236" s="11"/>
      <c r="AF236" s="11"/>
      <c r="AG236" s="11"/>
      <c r="AH236" s="181"/>
      <c r="AI236" s="181"/>
      <c r="AJ236" s="181"/>
    </row>
    <row r="237" spans="1:38" ht="15" thickBot="1">
      <c r="D237" s="195" t="s">
        <v>368</v>
      </c>
      <c r="E237" s="177"/>
      <c r="F237" s="178"/>
      <c r="G237" s="179"/>
      <c r="H237" s="179"/>
      <c r="J237" s="207">
        <f>M230</f>
        <v>9902100</v>
      </c>
      <c r="K237" s="179" t="s">
        <v>397</v>
      </c>
      <c r="L237" s="208"/>
      <c r="M237" s="49"/>
      <c r="N237" s="11"/>
      <c r="O237" s="170"/>
      <c r="P237" s="171"/>
      <c r="Q237" s="170"/>
      <c r="R237" s="170"/>
      <c r="S237" s="170"/>
      <c r="T237" s="209"/>
      <c r="U237" s="170"/>
      <c r="V237" s="210"/>
      <c r="W237" s="8"/>
      <c r="X237" s="201"/>
      <c r="Y237" s="171" t="s">
        <v>370</v>
      </c>
      <c r="Z237" s="171"/>
      <c r="AA237" s="171">
        <f>AA229</f>
        <v>0</v>
      </c>
      <c r="AB237" s="202"/>
      <c r="AC237" s="11"/>
      <c r="AD237" s="11"/>
      <c r="AE237" s="11"/>
      <c r="AF237" s="11"/>
      <c r="AG237" s="11"/>
      <c r="AH237" s="211" t="s">
        <v>371</v>
      </c>
      <c r="AI237" s="212" t="e">
        <f>SUM(AH235:AJ235)</f>
        <v>#REF!</v>
      </c>
      <c r="AJ237" s="213"/>
    </row>
    <row r="238" spans="1:38" ht="16" thickTop="1" thickBot="1">
      <c r="D238" s="195"/>
      <c r="E238" s="177"/>
      <c r="F238" s="178"/>
      <c r="G238" s="179"/>
      <c r="H238" s="179"/>
      <c r="J238" s="49">
        <v>0</v>
      </c>
      <c r="K238" s="179"/>
      <c r="L238" s="200"/>
      <c r="M238" s="49"/>
      <c r="N238" s="11"/>
      <c r="O238" s="62"/>
      <c r="P238" s="11"/>
      <c r="Q238" s="170"/>
      <c r="R238" s="170"/>
      <c r="S238" s="170"/>
      <c r="T238" s="170"/>
      <c r="U238" s="170"/>
      <c r="V238" s="170"/>
      <c r="W238" s="8"/>
      <c r="X238" s="201"/>
      <c r="Y238" s="171"/>
      <c r="Z238" s="171"/>
      <c r="AA238" s="171"/>
      <c r="AB238" s="202"/>
      <c r="AC238" s="11"/>
      <c r="AD238" s="11"/>
      <c r="AE238" s="11"/>
      <c r="AF238" s="11"/>
      <c r="AG238" s="11"/>
    </row>
    <row r="239" spans="1:38" ht="15" thickBot="1">
      <c r="E239" s="177"/>
      <c r="F239" s="178"/>
      <c r="G239" s="179"/>
      <c r="H239" s="179"/>
      <c r="J239" s="214" t="e">
        <f>J233+J237</f>
        <v>#REF!</v>
      </c>
      <c r="K239" s="179" t="s">
        <v>398</v>
      </c>
      <c r="L239" s="200"/>
      <c r="M239" s="49"/>
      <c r="N239" s="11"/>
      <c r="O239" s="62"/>
      <c r="P239" s="11"/>
      <c r="Q239" s="170"/>
      <c r="R239" s="170"/>
      <c r="S239" s="170"/>
      <c r="T239" s="170"/>
      <c r="U239" s="170"/>
      <c r="V239" s="170"/>
      <c r="W239" s="8"/>
      <c r="X239" s="201" t="s">
        <v>373</v>
      </c>
      <c r="Y239" s="171" t="s">
        <v>374</v>
      </c>
      <c r="Z239" s="171"/>
      <c r="AA239" s="171">
        <f>Y229</f>
        <v>1059000</v>
      </c>
      <c r="AB239" s="202"/>
      <c r="AC239" s="11"/>
      <c r="AD239" s="11"/>
      <c r="AE239" s="11"/>
      <c r="AF239" s="11"/>
      <c r="AG239" s="11"/>
      <c r="AH239" s="215" t="s">
        <v>375</v>
      </c>
      <c r="AI239" s="11" t="e">
        <f>AI237-AJ235</f>
        <v>#REF!</v>
      </c>
      <c r="AJ239" s="11"/>
    </row>
    <row r="240" spans="1:38">
      <c r="D240" s="18"/>
      <c r="E240" s="177"/>
      <c r="F240" s="178"/>
      <c r="G240" s="179"/>
      <c r="H240" s="179"/>
      <c r="J240" s="216"/>
      <c r="K240" s="179"/>
      <c r="L240" s="49"/>
      <c r="M240" s="217"/>
      <c r="N240" s="11"/>
      <c r="O240" s="62"/>
      <c r="P240" s="11"/>
      <c r="Q240" s="170"/>
      <c r="R240" s="170"/>
      <c r="S240" s="170"/>
      <c r="T240" s="170"/>
      <c r="U240" s="170"/>
      <c r="V240" s="170"/>
      <c r="W240" s="8"/>
      <c r="X240" s="218"/>
      <c r="Y240" s="171" t="s">
        <v>376</v>
      </c>
      <c r="Z240" s="171"/>
      <c r="AA240" s="171">
        <f>AB229</f>
        <v>0</v>
      </c>
      <c r="AB240" s="202"/>
      <c r="AC240" s="11"/>
      <c r="AD240" s="11"/>
      <c r="AE240" s="11"/>
      <c r="AF240" s="11"/>
      <c r="AG240" s="11"/>
      <c r="AH240" s="11"/>
      <c r="AI240" s="11"/>
      <c r="AJ240" s="11"/>
    </row>
    <row r="241" spans="5:36">
      <c r="E241" s="177"/>
      <c r="F241" s="178"/>
      <c r="G241" s="179"/>
      <c r="H241" s="179"/>
      <c r="J241" s="219" t="e">
        <f>SUM(AD233:AJ233)</f>
        <v>#REF!</v>
      </c>
      <c r="K241" s="179" t="s">
        <v>377</v>
      </c>
      <c r="L241" s="220"/>
      <c r="M241" s="216"/>
      <c r="N241" s="11"/>
      <c r="O241" s="62"/>
      <c r="P241" s="11"/>
      <c r="Q241" s="170"/>
      <c r="R241" s="170"/>
      <c r="S241" s="170"/>
      <c r="T241" s="170"/>
      <c r="U241" s="170"/>
      <c r="V241" s="170"/>
      <c r="W241" s="8"/>
      <c r="X241" s="218"/>
      <c r="Y241" s="171"/>
      <c r="Z241" s="171"/>
      <c r="AA241" s="171"/>
      <c r="AB241" s="202"/>
      <c r="AC241" s="11"/>
      <c r="AD241" s="11"/>
      <c r="AE241" s="11"/>
      <c r="AF241" s="11"/>
      <c r="AG241" s="11"/>
      <c r="AH241" s="11"/>
      <c r="AI241" s="11"/>
      <c r="AJ241" s="11"/>
    </row>
    <row r="242" spans="5:36" ht="13" thickBot="1">
      <c r="E242" s="177"/>
      <c r="F242" s="178"/>
      <c r="G242" s="179"/>
      <c r="H242" s="179"/>
      <c r="J242" s="8"/>
      <c r="K242" s="179" t="s">
        <v>364</v>
      </c>
      <c r="L242" s="221"/>
      <c r="M242" s="222"/>
      <c r="N242" s="11"/>
      <c r="O242" s="62"/>
      <c r="P242" s="11"/>
      <c r="Q242" s="170"/>
      <c r="R242" s="170"/>
      <c r="S242" s="170"/>
      <c r="T242" s="170"/>
      <c r="U242" s="170"/>
      <c r="V242" s="170"/>
      <c r="W242" s="8"/>
      <c r="X242" s="201" t="s">
        <v>378</v>
      </c>
      <c r="Y242" s="190" t="s">
        <v>379</v>
      </c>
      <c r="Z242" s="190"/>
      <c r="AA242" s="190">
        <f>Z229</f>
        <v>119600</v>
      </c>
      <c r="AB242" s="223"/>
      <c r="AC242" s="11"/>
      <c r="AD242" s="11"/>
      <c r="AE242" s="11"/>
      <c r="AF242" s="11"/>
      <c r="AG242" s="11"/>
      <c r="AH242" s="11"/>
      <c r="AI242" s="11"/>
      <c r="AJ242" s="11"/>
    </row>
    <row r="243" spans="5:36" ht="15" thickBot="1">
      <c r="E243" s="177"/>
      <c r="F243" s="178"/>
      <c r="G243" s="179"/>
      <c r="H243" s="179"/>
      <c r="J243" s="224"/>
      <c r="K243" s="179" t="s">
        <v>380</v>
      </c>
      <c r="L243" s="8"/>
      <c r="M243" s="8"/>
      <c r="N243" s="11"/>
      <c r="O243" s="62"/>
      <c r="P243" s="11"/>
      <c r="Q243" s="62"/>
      <c r="R243" s="62"/>
      <c r="S243" s="62"/>
      <c r="T243" s="62"/>
      <c r="U243" s="62"/>
      <c r="V243" s="62"/>
      <c r="W243" s="8"/>
      <c r="X243" s="225"/>
      <c r="Y243" s="171"/>
      <c r="Z243" s="45">
        <f>SUM(Z234:Z242)</f>
        <v>9902100</v>
      </c>
      <c r="AA243" s="45">
        <f>SUM(AA234:AA242)</f>
        <v>9902100</v>
      </c>
      <c r="AB243" s="202"/>
      <c r="AC243" s="11"/>
      <c r="AD243" s="11"/>
      <c r="AE243" s="11"/>
      <c r="AF243" s="11"/>
      <c r="AG243" s="11"/>
      <c r="AH243" s="11"/>
      <c r="AI243" s="226" t="e">
        <f>SUM(AI235/AI239)</f>
        <v>#REF!</v>
      </c>
      <c r="AJ243" s="11"/>
    </row>
    <row r="244" spans="5:36">
      <c r="E244" s="177"/>
      <c r="F244" s="178"/>
      <c r="G244" s="179"/>
      <c r="H244" s="179"/>
      <c r="I244" s="179"/>
      <c r="J244" s="8"/>
      <c r="K244" s="8"/>
      <c r="L244" s="8"/>
      <c r="M244" s="8"/>
      <c r="N244" s="11"/>
      <c r="O244" s="62"/>
      <c r="P244" s="11"/>
      <c r="Q244" s="62"/>
      <c r="R244" s="62"/>
      <c r="S244" s="62"/>
      <c r="T244" s="62"/>
      <c r="U244" s="62"/>
      <c r="V244" s="62"/>
      <c r="W244" s="8"/>
      <c r="X244" s="225"/>
      <c r="Y244" s="171"/>
      <c r="Z244" s="171"/>
      <c r="AA244" s="171"/>
      <c r="AB244" s="202"/>
      <c r="AC244" s="11"/>
      <c r="AD244" s="11"/>
      <c r="AE244" s="11"/>
      <c r="AF244" s="11"/>
      <c r="AG244" s="11"/>
      <c r="AH244" s="11"/>
      <c r="AI244" s="11"/>
      <c r="AJ244" s="11"/>
    </row>
    <row r="245" spans="5:36" ht="13" thickBot="1">
      <c r="E245" s="177"/>
      <c r="F245" s="178"/>
      <c r="G245" s="179"/>
      <c r="H245" s="179"/>
      <c r="I245" s="179"/>
      <c r="J245" s="8"/>
      <c r="K245" s="8"/>
      <c r="L245" s="8"/>
      <c r="M245" s="8"/>
      <c r="N245" s="11"/>
      <c r="O245" s="62"/>
      <c r="P245" s="11"/>
      <c r="Q245" s="62"/>
      <c r="R245" s="62"/>
      <c r="S245" s="62"/>
      <c r="T245" s="62"/>
      <c r="U245" s="62"/>
      <c r="V245" s="62"/>
      <c r="W245" s="8"/>
      <c r="X245" s="227"/>
      <c r="Y245" s="228"/>
      <c r="Z245" s="228"/>
      <c r="AA245" s="228"/>
      <c r="AB245" s="229"/>
      <c r="AC245" s="11"/>
      <c r="AD245" s="11"/>
      <c r="AE245" s="11"/>
      <c r="AF245" s="11"/>
      <c r="AG245" s="11"/>
      <c r="AH245" s="11"/>
      <c r="AI245" s="11"/>
      <c r="AJ245" s="11"/>
    </row>
    <row r="246" spans="5:36">
      <c r="E246" s="177"/>
      <c r="F246" s="178"/>
      <c r="G246" s="179"/>
      <c r="H246" s="179"/>
      <c r="I246" s="179"/>
      <c r="J246" s="8"/>
      <c r="K246" s="8"/>
      <c r="L246" s="8"/>
      <c r="M246" s="8"/>
      <c r="N246" s="11"/>
      <c r="O246" s="62"/>
      <c r="P246" s="11"/>
      <c r="Q246" s="62"/>
      <c r="R246" s="62"/>
      <c r="S246" s="62"/>
      <c r="T246" s="62"/>
      <c r="U246" s="62"/>
      <c r="V246" s="62"/>
      <c r="W246" s="8"/>
      <c r="X246" s="171"/>
      <c r="Y246" s="171"/>
      <c r="Z246" s="171"/>
      <c r="AA246" s="171"/>
      <c r="AB246" s="171"/>
      <c r="AC246" s="11"/>
      <c r="AD246" s="11"/>
      <c r="AE246" s="11"/>
      <c r="AF246" s="11"/>
      <c r="AG246" s="11"/>
      <c r="AH246" s="11"/>
      <c r="AI246" s="11"/>
      <c r="AJ246" s="11"/>
    </row>
    <row r="247" spans="5:36">
      <c r="E247" s="177"/>
      <c r="F247" s="178"/>
      <c r="G247" s="179"/>
      <c r="H247" s="179"/>
      <c r="I247" s="179"/>
      <c r="J247" s="8"/>
      <c r="K247" s="8"/>
      <c r="L247" s="8"/>
      <c r="M247" s="8"/>
      <c r="N247" s="11"/>
      <c r="O247" s="62"/>
      <c r="P247" s="11"/>
      <c r="Q247" s="62"/>
      <c r="R247" s="62"/>
      <c r="S247" s="62"/>
      <c r="T247" s="62"/>
      <c r="U247" s="62"/>
      <c r="V247" s="62"/>
      <c r="W247" s="8"/>
      <c r="AC247" s="11"/>
      <c r="AD247" s="11"/>
      <c r="AE247" s="11"/>
      <c r="AF247" s="11"/>
      <c r="AG247" s="11"/>
      <c r="AH247" s="11"/>
      <c r="AI247" s="11"/>
      <c r="AJ247" s="11"/>
    </row>
    <row r="248" spans="5:36">
      <c r="E248" s="177"/>
      <c r="F248" s="178"/>
      <c r="G248" s="179"/>
      <c r="H248" s="179"/>
      <c r="I248" s="179"/>
      <c r="J248" s="8"/>
      <c r="K248" s="8"/>
      <c r="L248" s="8"/>
      <c r="M248" s="8"/>
      <c r="N248" s="11"/>
      <c r="O248" s="62"/>
      <c r="P248" s="11"/>
      <c r="Q248" s="62"/>
      <c r="R248" s="62"/>
      <c r="S248" s="62"/>
      <c r="T248" s="62"/>
      <c r="U248" s="62"/>
      <c r="V248" s="62"/>
      <c r="W248" s="8"/>
      <c r="AC248" s="11"/>
      <c r="AD248" s="11"/>
      <c r="AE248" s="11"/>
      <c r="AF248" s="11"/>
      <c r="AG248" s="11"/>
      <c r="AH248" s="11"/>
      <c r="AI248" s="11"/>
      <c r="AJ248" s="11"/>
    </row>
    <row r="249" spans="5:36">
      <c r="E249" s="177"/>
      <c r="F249" s="178"/>
      <c r="G249" s="179"/>
      <c r="H249" s="179"/>
      <c r="I249" s="179"/>
      <c r="J249" s="8"/>
      <c r="K249" s="8"/>
      <c r="L249" s="8"/>
      <c r="M249" s="8"/>
      <c r="N249" s="11"/>
      <c r="O249" s="62"/>
      <c r="P249" s="11"/>
      <c r="Q249" s="62"/>
      <c r="R249" s="62"/>
      <c r="S249" s="62"/>
      <c r="T249" s="62"/>
      <c r="U249" s="62"/>
      <c r="V249" s="62"/>
      <c r="W249" s="8"/>
      <c r="AC249" s="11"/>
      <c r="AD249" s="11"/>
      <c r="AE249" s="11"/>
      <c r="AF249" s="11"/>
      <c r="AG249" s="11"/>
      <c r="AH249" s="11"/>
      <c r="AI249" s="11"/>
      <c r="AJ249" s="11"/>
    </row>
    <row r="250" spans="5:36">
      <c r="E250" s="177"/>
      <c r="F250" s="178"/>
      <c r="G250" s="179"/>
      <c r="H250" s="179"/>
      <c r="I250" s="179"/>
      <c r="J250" s="8"/>
      <c r="K250" s="8"/>
      <c r="L250" s="8"/>
      <c r="M250" s="8"/>
      <c r="N250" s="11"/>
      <c r="O250" s="62"/>
      <c r="P250" s="11"/>
      <c r="Q250" s="62"/>
      <c r="R250" s="62"/>
      <c r="S250" s="62"/>
      <c r="T250" s="62"/>
      <c r="U250" s="62"/>
      <c r="V250" s="62"/>
      <c r="W250" s="8"/>
      <c r="AC250" s="11"/>
      <c r="AD250" s="11"/>
      <c r="AE250" s="11"/>
      <c r="AF250" s="11"/>
      <c r="AG250" s="11"/>
      <c r="AH250" s="11"/>
      <c r="AI250" s="11"/>
      <c r="AJ250" s="11"/>
    </row>
    <row r="251" spans="5:36">
      <c r="E251" s="177"/>
      <c r="F251" s="178"/>
      <c r="G251" s="179"/>
      <c r="H251" s="179"/>
      <c r="I251" s="179"/>
      <c r="J251" s="8"/>
      <c r="K251" s="8"/>
      <c r="L251" s="8"/>
      <c r="M251" s="8"/>
      <c r="N251" s="11"/>
      <c r="O251" s="62"/>
      <c r="P251" s="11"/>
      <c r="Q251" s="62"/>
      <c r="R251" s="62"/>
      <c r="S251" s="62"/>
      <c r="T251" s="62"/>
      <c r="U251" s="62"/>
      <c r="V251" s="62"/>
      <c r="W251" s="8"/>
      <c r="AC251" s="11"/>
      <c r="AD251" s="11"/>
      <c r="AE251" s="11"/>
      <c r="AF251" s="11"/>
      <c r="AG251" s="11"/>
      <c r="AH251" s="11"/>
      <c r="AI251" s="11"/>
      <c r="AJ251" s="11"/>
    </row>
    <row r="252" spans="5:36">
      <c r="E252" s="177"/>
      <c r="F252" s="178"/>
      <c r="G252" s="179"/>
      <c r="H252" s="179"/>
      <c r="I252" s="179"/>
      <c r="J252" s="8"/>
      <c r="K252" s="8"/>
      <c r="L252" s="8"/>
      <c r="M252" s="8"/>
      <c r="N252" s="11"/>
      <c r="O252" s="62"/>
      <c r="P252" s="11"/>
      <c r="Q252" s="62"/>
      <c r="R252" s="62"/>
      <c r="S252" s="62"/>
      <c r="T252" s="62"/>
      <c r="U252" s="62"/>
      <c r="V252" s="62"/>
      <c r="W252" s="8"/>
      <c r="AC252" s="11"/>
      <c r="AD252" s="11"/>
      <c r="AE252" s="11"/>
      <c r="AF252" s="11"/>
      <c r="AG252" s="11"/>
      <c r="AH252" s="11"/>
      <c r="AI252" s="11"/>
      <c r="AJ252" s="11"/>
    </row>
  </sheetData>
  <pageMargins left="0.7" right="0.7" top="0.75" bottom="0.75" header="0.3" footer="0.3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45"/>
  <sheetViews>
    <sheetView tabSelected="1" workbookViewId="0">
      <pane ySplit="4500" topLeftCell="A213" activePane="bottomLeft"/>
      <selection activeCell="O228" sqref="O228"/>
      <selection pane="bottomLeft" activeCell="D236" sqref="D236"/>
    </sheetView>
  </sheetViews>
  <sheetFormatPr baseColWidth="10" defaultColWidth="9.19921875" defaultRowHeight="12" outlineLevelCol="1" x14ac:dyDescent="0"/>
  <cols>
    <col min="1" max="1" width="16.19921875" style="1" customWidth="1" outlineLevel="1"/>
    <col min="2" max="2" width="8.3984375" style="1" bestFit="1" customWidth="1" outlineLevel="1"/>
    <col min="3" max="3" width="11.19921875" style="2" bestFit="1" customWidth="1" outlineLevel="1"/>
    <col min="4" max="4" width="32.19921875" style="3" customWidth="1"/>
    <col min="5" max="5" width="14.19921875" style="4" customWidth="1"/>
    <col min="6" max="6" width="15" style="16" bestFit="1" customWidth="1"/>
    <col min="7" max="8" width="15.3984375" style="43" hidden="1" customWidth="1"/>
    <col min="9" max="9" width="15.3984375" style="43" customWidth="1"/>
    <col min="10" max="10" width="16" style="14" bestFit="1" customWidth="1"/>
    <col min="11" max="11" width="3" style="14" customWidth="1"/>
    <col min="12" max="13" width="15.19921875" style="14" customWidth="1"/>
    <col min="14" max="14" width="1.796875" customWidth="1"/>
    <col min="15" max="15" width="7.3984375" style="9" customWidth="1"/>
    <col min="16" max="16" width="1.796875" customWidth="1"/>
    <col min="17" max="18" width="15.19921875" style="9" customWidth="1"/>
    <col min="19" max="19" width="1.796875" style="9" customWidth="1"/>
    <col min="20" max="20" width="15.19921875" style="9" customWidth="1"/>
    <col min="21" max="21" width="1.796875" style="14" customWidth="1"/>
    <col min="22" max="26" width="15.19921875" style="11" customWidth="1"/>
    <col min="27" max="27" width="15.19921875" customWidth="1"/>
    <col min="28" max="29" width="15.19921875" style="12" customWidth="1"/>
    <col min="30" max="30" width="15.796875" style="12" customWidth="1"/>
    <col min="31" max="31" width="2.19921875" style="12" customWidth="1"/>
    <col min="32" max="33" width="14.796875" style="12" bestFit="1" customWidth="1"/>
    <col min="34" max="34" width="14.19921875" style="12" customWidth="1"/>
    <col min="36" max="36" width="14.19921875" bestFit="1" customWidth="1"/>
  </cols>
  <sheetData>
    <row r="1" spans="1:34">
      <c r="D1" s="3" t="s">
        <v>0</v>
      </c>
      <c r="F1" s="5"/>
      <c r="G1" s="6"/>
      <c r="H1" s="7"/>
      <c r="I1" s="7"/>
      <c r="J1" s="8"/>
      <c r="K1" s="8"/>
      <c r="L1" s="8"/>
      <c r="M1" s="8"/>
      <c r="N1" s="8"/>
      <c r="U1" s="10"/>
    </row>
    <row r="2" spans="1:34">
      <c r="D2" s="3" t="s">
        <v>1</v>
      </c>
      <c r="F2" s="5"/>
      <c r="G2" s="6"/>
      <c r="H2" s="7"/>
      <c r="I2" s="7"/>
      <c r="J2" s="8"/>
      <c r="K2" s="8"/>
      <c r="L2" s="8"/>
      <c r="M2" s="8"/>
      <c r="N2" s="8"/>
      <c r="U2" s="10"/>
    </row>
    <row r="3" spans="1:34">
      <c r="D3" s="3" t="s">
        <v>399</v>
      </c>
      <c r="F3" s="5"/>
      <c r="G3" s="1"/>
      <c r="H3" s="13"/>
      <c r="I3" s="13"/>
      <c r="J3" s="8"/>
      <c r="K3" s="8"/>
      <c r="L3" s="8"/>
      <c r="M3" s="8"/>
      <c r="N3" s="8"/>
    </row>
    <row r="4" spans="1:34">
      <c r="D4" s="15"/>
      <c r="G4" s="17"/>
      <c r="H4" s="13"/>
      <c r="I4" s="13"/>
      <c r="J4" s="8"/>
      <c r="K4" s="8"/>
      <c r="L4" s="8"/>
      <c r="M4" s="8"/>
      <c r="N4" s="8"/>
    </row>
    <row r="5" spans="1:34" ht="13" thickBot="1">
      <c r="D5" s="15"/>
      <c r="G5" s="18"/>
      <c r="H5" s="19"/>
      <c r="I5" s="19"/>
      <c r="J5" s="8"/>
      <c r="K5" s="8"/>
      <c r="L5" s="8"/>
      <c r="M5" s="8"/>
      <c r="N5" s="8"/>
    </row>
    <row r="6" spans="1:34">
      <c r="B6" s="20"/>
      <c r="C6" s="21"/>
      <c r="D6" s="22" t="s">
        <v>3</v>
      </c>
      <c r="E6" s="23" t="s">
        <v>4</v>
      </c>
      <c r="G6" s="18"/>
      <c r="H6" s="19"/>
      <c r="I6" s="19"/>
      <c r="J6" s="8"/>
      <c r="K6" s="8"/>
      <c r="L6" s="8"/>
      <c r="M6" s="8"/>
      <c r="N6" s="8"/>
      <c r="O6" s="16"/>
      <c r="P6" s="1"/>
      <c r="Q6" s="16"/>
      <c r="R6" s="16"/>
      <c r="S6" s="16"/>
      <c r="T6" s="16"/>
    </row>
    <row r="7" spans="1:34">
      <c r="B7" s="24"/>
      <c r="C7" s="25"/>
      <c r="D7" s="26" t="s">
        <v>5</v>
      </c>
      <c r="E7" s="27" t="s">
        <v>6</v>
      </c>
      <c r="F7" s="5"/>
      <c r="G7" s="18"/>
      <c r="H7" s="19"/>
      <c r="I7" s="19"/>
      <c r="J7" s="28"/>
      <c r="K7" s="29"/>
      <c r="L7" s="30"/>
      <c r="M7" s="30"/>
      <c r="U7" s="29"/>
    </row>
    <row r="8" spans="1:34">
      <c r="B8" s="24"/>
      <c r="C8" s="31"/>
      <c r="D8" s="32" t="s">
        <v>7</v>
      </c>
      <c r="E8" s="33" t="s">
        <v>8</v>
      </c>
      <c r="F8" s="5"/>
      <c r="G8" s="17"/>
      <c r="H8" s="19"/>
      <c r="I8" s="19"/>
      <c r="J8" s="34"/>
      <c r="K8" s="29"/>
      <c r="L8" s="35"/>
      <c r="M8" s="35"/>
      <c r="N8" s="36"/>
      <c r="O8" s="37"/>
      <c r="P8" s="36"/>
      <c r="Q8" s="37"/>
      <c r="R8" s="37"/>
      <c r="S8" s="37"/>
      <c r="T8" s="37"/>
      <c r="U8" s="29"/>
    </row>
    <row r="9" spans="1:34">
      <c r="B9" s="24"/>
      <c r="C9" s="25"/>
      <c r="D9" s="26" t="s">
        <v>9</v>
      </c>
      <c r="E9" s="38" t="s">
        <v>10</v>
      </c>
      <c r="F9" s="5"/>
      <c r="G9" s="18"/>
      <c r="H9" s="39"/>
      <c r="I9" s="39"/>
      <c r="J9" s="40"/>
      <c r="L9" s="41"/>
      <c r="M9" s="41"/>
      <c r="N9" s="36"/>
      <c r="O9" s="37"/>
      <c r="P9" s="36"/>
      <c r="Q9" s="37"/>
      <c r="R9" s="37"/>
      <c r="S9" s="37"/>
      <c r="T9" s="37"/>
    </row>
    <row r="10" spans="1:34">
      <c r="B10" s="24"/>
      <c r="C10" s="25"/>
      <c r="D10" s="26" t="s">
        <v>11</v>
      </c>
      <c r="E10" s="42" t="s">
        <v>12</v>
      </c>
      <c r="F10" s="5"/>
      <c r="J10" s="44"/>
      <c r="L10" s="45"/>
      <c r="M10" s="44"/>
      <c r="N10" s="36"/>
      <c r="O10" s="37"/>
      <c r="P10" s="36"/>
      <c r="Q10" s="37"/>
      <c r="R10" s="37"/>
      <c r="S10" s="37"/>
      <c r="T10" s="37"/>
    </row>
    <row r="11" spans="1:34">
      <c r="B11" s="24"/>
      <c r="C11" s="25"/>
      <c r="D11" s="26" t="s">
        <v>13</v>
      </c>
      <c r="E11" s="46" t="s">
        <v>14</v>
      </c>
      <c r="F11" s="5"/>
      <c r="G11" s="47"/>
      <c r="H11" s="48"/>
      <c r="I11" s="48"/>
      <c r="J11" s="44"/>
      <c r="L11" s="49"/>
      <c r="M11" s="49"/>
      <c r="N11" s="36"/>
      <c r="O11" s="37"/>
      <c r="P11" s="36"/>
      <c r="Q11" s="37"/>
      <c r="R11" s="37"/>
      <c r="S11" s="37"/>
      <c r="T11" s="37"/>
    </row>
    <row r="12" spans="1:34" ht="13" thickBot="1">
      <c r="B12" s="50"/>
      <c r="C12" s="51"/>
      <c r="D12" s="52" t="s">
        <v>15</v>
      </c>
      <c r="E12" s="53" t="s">
        <v>16</v>
      </c>
      <c r="F12" s="5"/>
      <c r="G12" s="47"/>
      <c r="H12" s="54"/>
      <c r="I12" s="54"/>
      <c r="J12" s="44"/>
    </row>
    <row r="13" spans="1:34" ht="13" thickBot="1">
      <c r="A13" s="16"/>
      <c r="B13" s="16"/>
      <c r="C13" s="55"/>
      <c r="D13" s="56"/>
      <c r="E13" s="57"/>
      <c r="G13" s="58"/>
      <c r="H13" s="59"/>
      <c r="I13" s="59"/>
      <c r="J13" s="60"/>
      <c r="K13" s="60"/>
      <c r="L13" s="60"/>
      <c r="M13" s="61"/>
      <c r="N13" s="9"/>
      <c r="P13" s="9"/>
      <c r="U13" s="60"/>
      <c r="V13" s="62"/>
      <c r="W13" s="62"/>
      <c r="X13" s="62"/>
      <c r="Y13" s="62"/>
    </row>
    <row r="14" spans="1:34" ht="13" thickBot="1">
      <c r="D14" s="63"/>
      <c r="E14" s="64" t="s">
        <v>400</v>
      </c>
      <c r="F14" s="65" t="s">
        <v>391</v>
      </c>
      <c r="G14" s="66"/>
      <c r="H14" s="66"/>
      <c r="I14" s="66"/>
      <c r="J14" s="66" t="s">
        <v>392</v>
      </c>
      <c r="K14" s="67"/>
      <c r="L14" s="66" t="s">
        <v>392</v>
      </c>
      <c r="M14" s="66" t="s">
        <v>392</v>
      </c>
      <c r="N14" s="68"/>
      <c r="O14" s="66"/>
      <c r="P14" s="68"/>
      <c r="Q14" s="69"/>
      <c r="R14" s="66"/>
      <c r="S14" s="70"/>
      <c r="T14" s="66"/>
      <c r="U14" s="68"/>
      <c r="V14" s="66"/>
      <c r="W14" s="66"/>
      <c r="X14" s="71"/>
      <c r="Y14" s="71"/>
      <c r="Z14" s="71"/>
      <c r="AC14" s="72" t="s">
        <v>20</v>
      </c>
      <c r="AG14" s="73" t="s">
        <v>21</v>
      </c>
    </row>
    <row r="15" spans="1:34" ht="13" thickBot="1">
      <c r="A15" s="74" t="s">
        <v>22</v>
      </c>
      <c r="B15" s="74" t="s">
        <v>23</v>
      </c>
      <c r="C15" s="75" t="s">
        <v>24</v>
      </c>
      <c r="D15" s="75" t="s">
        <v>25</v>
      </c>
      <c r="E15" s="76" t="s">
        <v>26</v>
      </c>
      <c r="F15" s="77" t="s">
        <v>27</v>
      </c>
      <c r="G15" s="78" t="s">
        <v>28</v>
      </c>
      <c r="H15" s="79" t="s">
        <v>29</v>
      </c>
      <c r="I15" s="80" t="s">
        <v>392</v>
      </c>
      <c r="J15" s="81" t="s">
        <v>30</v>
      </c>
      <c r="K15" s="68"/>
      <c r="L15" s="82" t="s">
        <v>31</v>
      </c>
      <c r="M15" s="83" t="s">
        <v>32</v>
      </c>
      <c r="N15" s="84"/>
      <c r="O15" s="85" t="s">
        <v>33</v>
      </c>
      <c r="P15" s="84"/>
      <c r="Q15" s="81" t="s">
        <v>401</v>
      </c>
      <c r="R15" s="86" t="s">
        <v>402</v>
      </c>
      <c r="S15" s="87"/>
      <c r="T15" s="88" t="s">
        <v>403</v>
      </c>
      <c r="U15" s="68"/>
      <c r="V15" s="89" t="s">
        <v>38</v>
      </c>
      <c r="W15" s="90" t="s">
        <v>39</v>
      </c>
      <c r="X15" s="89" t="s">
        <v>40</v>
      </c>
      <c r="Y15" s="89" t="s">
        <v>41</v>
      </c>
      <c r="Z15" s="91" t="s">
        <v>42</v>
      </c>
      <c r="AB15" s="92" t="s">
        <v>43</v>
      </c>
      <c r="AC15" s="93" t="s">
        <v>44</v>
      </c>
      <c r="AD15" s="93" t="s">
        <v>45</v>
      </c>
      <c r="AF15" s="92" t="s">
        <v>43</v>
      </c>
      <c r="AG15" s="93" t="s">
        <v>44</v>
      </c>
      <c r="AH15" s="93" t="s">
        <v>45</v>
      </c>
    </row>
    <row r="16" spans="1:34">
      <c r="A16" s="94" t="s">
        <v>46</v>
      </c>
      <c r="B16" s="95" t="s">
        <v>46</v>
      </c>
      <c r="C16" s="96"/>
      <c r="D16" s="97" t="s">
        <v>48</v>
      </c>
      <c r="E16" s="98"/>
      <c r="F16" s="99" t="e">
        <f>VLOOKUP(D16,#REF!,17,FALSE)</f>
        <v>#REF!</v>
      </c>
      <c r="G16" s="100"/>
      <c r="H16" s="100"/>
      <c r="I16" s="101"/>
      <c r="J16" s="102" t="e">
        <f t="shared" ref="J16:J40" si="0">SUM(E16:I16)</f>
        <v>#REF!</v>
      </c>
      <c r="K16" s="103"/>
      <c r="L16" s="104"/>
      <c r="M16" s="105"/>
      <c r="N16" s="103">
        <v>0</v>
      </c>
      <c r="O16" s="106"/>
      <c r="P16" s="103">
        <v>0</v>
      </c>
      <c r="Q16" s="107">
        <f t="shared" ref="Q16:Q141" si="1">L16+M16</f>
        <v>0</v>
      </c>
      <c r="R16" s="108">
        <v>0</v>
      </c>
      <c r="S16" s="109"/>
      <c r="T16" s="110">
        <f t="shared" ref="T16:T80" si="2">IF(R16="","",R16-Q16)</f>
        <v>0</v>
      </c>
      <c r="U16" s="111"/>
      <c r="V16" s="112">
        <f t="shared" ref="V16:V80" si="3">IF(B16="D",Q16,0)</f>
        <v>0</v>
      </c>
      <c r="W16" s="112">
        <f t="shared" ref="W16:W80" si="4">IF(B16="M",Q16,0)</f>
        <v>0</v>
      </c>
      <c r="X16" s="113">
        <f t="shared" ref="X16:X80" si="5">IF(B16="V",Q16,0)</f>
        <v>0</v>
      </c>
      <c r="Y16" s="113">
        <v>0</v>
      </c>
      <c r="Z16" s="114">
        <v>0</v>
      </c>
      <c r="AA16" s="11">
        <f t="shared" ref="AA16:AA80" si="6">(L16+M16)-(V16+W16+X16+Y16+Z16)</f>
        <v>0</v>
      </c>
      <c r="AB16" s="115">
        <f t="shared" ref="AB16:AB79" si="7">IF(B16="D",J16,0)</f>
        <v>0</v>
      </c>
      <c r="AC16" s="115" t="e">
        <f t="shared" ref="AC16:AC79" si="8">IF(B16="M",J16,0)</f>
        <v>#REF!</v>
      </c>
      <c r="AD16" s="115">
        <f t="shared" ref="AD16:AD79" si="9">IF(B16="V",J16,0)</f>
        <v>0</v>
      </c>
      <c r="AE16" s="11"/>
      <c r="AF16" s="115">
        <f t="shared" ref="AF16:AF79" si="10">IF(B16="D",Q16,0)</f>
        <v>0</v>
      </c>
      <c r="AG16" s="115">
        <f t="shared" ref="AG16:AG79" si="11">IF(B16="M",Q16,0)</f>
        <v>0</v>
      </c>
      <c r="AH16" s="115">
        <f t="shared" ref="AH16:AH79" si="12">IF(B16="V",Q16,0)</f>
        <v>0</v>
      </c>
    </row>
    <row r="17" spans="1:36">
      <c r="A17" s="116" t="s">
        <v>46</v>
      </c>
      <c r="B17" s="116" t="s">
        <v>49</v>
      </c>
      <c r="C17" s="117" t="s">
        <v>50</v>
      </c>
      <c r="D17" s="118" t="s">
        <v>51</v>
      </c>
      <c r="E17" s="98"/>
      <c r="F17" s="99" t="e">
        <f>VLOOKUP(D17,#REF!,17,FALSE)</f>
        <v>#REF!</v>
      </c>
      <c r="G17" s="100"/>
      <c r="H17" s="100"/>
      <c r="I17" s="101"/>
      <c r="J17" s="102" t="e">
        <f t="shared" si="0"/>
        <v>#REF!</v>
      </c>
      <c r="K17" s="103"/>
      <c r="L17" s="104"/>
      <c r="M17" s="105">
        <v>10000</v>
      </c>
      <c r="N17" s="103">
        <v>0</v>
      </c>
      <c r="O17" s="106"/>
      <c r="P17" s="103">
        <v>0</v>
      </c>
      <c r="Q17" s="107">
        <f t="shared" si="1"/>
        <v>10000</v>
      </c>
      <c r="R17" s="108">
        <f>8021.51+1953.5</f>
        <v>9975.01</v>
      </c>
      <c r="S17" s="119"/>
      <c r="T17" s="110">
        <f t="shared" si="2"/>
        <v>-24.989999999999782</v>
      </c>
      <c r="U17" s="103"/>
      <c r="V17" s="112">
        <f t="shared" si="3"/>
        <v>10000</v>
      </c>
      <c r="W17" s="112">
        <f t="shared" si="4"/>
        <v>0</v>
      </c>
      <c r="X17" s="113">
        <f t="shared" si="5"/>
        <v>0</v>
      </c>
      <c r="Y17" s="113">
        <v>0</v>
      </c>
      <c r="Z17" s="114">
        <v>0</v>
      </c>
      <c r="AA17" s="11">
        <f t="shared" si="6"/>
        <v>0</v>
      </c>
      <c r="AB17" s="115" t="e">
        <f t="shared" si="7"/>
        <v>#REF!</v>
      </c>
      <c r="AC17" s="115">
        <f t="shared" si="8"/>
        <v>0</v>
      </c>
      <c r="AD17" s="115">
        <f t="shared" si="9"/>
        <v>0</v>
      </c>
      <c r="AE17" s="11"/>
      <c r="AF17" s="115">
        <f t="shared" si="10"/>
        <v>10000</v>
      </c>
      <c r="AG17" s="115">
        <f t="shared" si="11"/>
        <v>0</v>
      </c>
      <c r="AH17" s="115">
        <f t="shared" si="12"/>
        <v>0</v>
      </c>
      <c r="AJ17" s="11" t="e">
        <f>SUM(AB17:AH17)</f>
        <v>#REF!</v>
      </c>
    </row>
    <row r="18" spans="1:36">
      <c r="A18" s="116" t="s">
        <v>46</v>
      </c>
      <c r="B18" s="116" t="s">
        <v>46</v>
      </c>
      <c r="C18" s="117" t="s">
        <v>50</v>
      </c>
      <c r="D18" s="120" t="s">
        <v>52</v>
      </c>
      <c r="E18" s="98"/>
      <c r="F18" s="99" t="e">
        <f>VLOOKUP(D18,#REF!,17,FALSE)</f>
        <v>#REF!</v>
      </c>
      <c r="G18" s="100"/>
      <c r="H18" s="100"/>
      <c r="I18" s="101"/>
      <c r="J18" s="102" t="e">
        <f t="shared" si="0"/>
        <v>#REF!</v>
      </c>
      <c r="K18" s="103"/>
      <c r="L18" s="104"/>
      <c r="M18" s="105">
        <v>33000</v>
      </c>
      <c r="N18" s="103">
        <v>0</v>
      </c>
      <c r="O18" s="106"/>
      <c r="P18" s="103">
        <v>0</v>
      </c>
      <c r="Q18" s="107">
        <f t="shared" si="1"/>
        <v>33000</v>
      </c>
      <c r="R18" s="108">
        <f>(33964.86+38.12)*1.2854</f>
        <v>43707.430492000007</v>
      </c>
      <c r="S18" s="119"/>
      <c r="T18" s="110">
        <f t="shared" si="2"/>
        <v>10707.430492000007</v>
      </c>
      <c r="U18" s="103"/>
      <c r="V18" s="112">
        <f t="shared" si="3"/>
        <v>0</v>
      </c>
      <c r="W18" s="112">
        <f t="shared" si="4"/>
        <v>33000</v>
      </c>
      <c r="X18" s="113">
        <f t="shared" si="5"/>
        <v>0</v>
      </c>
      <c r="Y18" s="113">
        <v>0</v>
      </c>
      <c r="Z18" s="114">
        <v>0</v>
      </c>
      <c r="AA18" s="11">
        <f t="shared" si="6"/>
        <v>0</v>
      </c>
      <c r="AB18" s="115">
        <f t="shared" si="7"/>
        <v>0</v>
      </c>
      <c r="AC18" s="115" t="e">
        <f t="shared" si="8"/>
        <v>#REF!</v>
      </c>
      <c r="AD18" s="115">
        <f t="shared" si="9"/>
        <v>0</v>
      </c>
      <c r="AE18" s="11"/>
      <c r="AF18" s="115">
        <f t="shared" si="10"/>
        <v>0</v>
      </c>
      <c r="AG18" s="115">
        <f t="shared" si="11"/>
        <v>33000</v>
      </c>
      <c r="AH18" s="115">
        <f t="shared" si="12"/>
        <v>0</v>
      </c>
      <c r="AJ18" s="11" t="e">
        <f t="shared" ref="AJ18:AJ81" si="13">SUM(AB18:AH18)</f>
        <v>#REF!</v>
      </c>
    </row>
    <row r="19" spans="1:36">
      <c r="A19" s="116" t="s">
        <v>46</v>
      </c>
      <c r="B19" s="116" t="s">
        <v>46</v>
      </c>
      <c r="C19" s="117" t="s">
        <v>50</v>
      </c>
      <c r="D19" s="120" t="s">
        <v>53</v>
      </c>
      <c r="E19" s="98"/>
      <c r="F19" s="99" t="e">
        <f>VLOOKUP(D19,#REF!,17,FALSE)</f>
        <v>#REF!</v>
      </c>
      <c r="G19" s="100"/>
      <c r="H19" s="100"/>
      <c r="I19" s="101"/>
      <c r="J19" s="102" t="e">
        <f t="shared" si="0"/>
        <v>#REF!</v>
      </c>
      <c r="K19" s="103"/>
      <c r="L19" s="104"/>
      <c r="M19" s="105"/>
      <c r="N19" s="103">
        <v>0</v>
      </c>
      <c r="O19" s="106"/>
      <c r="P19" s="103">
        <v>0</v>
      </c>
      <c r="Q19" s="107">
        <f t="shared" si="1"/>
        <v>0</v>
      </c>
      <c r="R19" s="108">
        <f>15*1.2854</f>
        <v>19.281000000000002</v>
      </c>
      <c r="S19" s="119"/>
      <c r="T19" s="110">
        <f t="shared" si="2"/>
        <v>19.281000000000002</v>
      </c>
      <c r="U19" s="103"/>
      <c r="V19" s="112">
        <f t="shared" si="3"/>
        <v>0</v>
      </c>
      <c r="W19" s="112">
        <f t="shared" si="4"/>
        <v>0</v>
      </c>
      <c r="X19" s="113">
        <f t="shared" si="5"/>
        <v>0</v>
      </c>
      <c r="Y19" s="113">
        <v>0</v>
      </c>
      <c r="Z19" s="114">
        <v>0</v>
      </c>
      <c r="AA19" s="11">
        <f t="shared" si="6"/>
        <v>0</v>
      </c>
      <c r="AB19" s="115">
        <f t="shared" si="7"/>
        <v>0</v>
      </c>
      <c r="AC19" s="115" t="e">
        <f t="shared" si="8"/>
        <v>#REF!</v>
      </c>
      <c r="AD19" s="115">
        <f t="shared" si="9"/>
        <v>0</v>
      </c>
      <c r="AE19" s="11"/>
      <c r="AF19" s="115">
        <f t="shared" si="10"/>
        <v>0</v>
      </c>
      <c r="AG19" s="115">
        <f t="shared" si="11"/>
        <v>0</v>
      </c>
      <c r="AH19" s="115">
        <f t="shared" si="12"/>
        <v>0</v>
      </c>
      <c r="AJ19" s="11" t="e">
        <f t="shared" si="13"/>
        <v>#REF!</v>
      </c>
    </row>
    <row r="20" spans="1:36">
      <c r="A20" s="116"/>
      <c r="B20" s="116" t="s">
        <v>49</v>
      </c>
      <c r="C20" s="122" t="s">
        <v>55</v>
      </c>
      <c r="D20" s="118" t="s">
        <v>56</v>
      </c>
      <c r="E20" s="98"/>
      <c r="F20" s="99" t="e">
        <f>VLOOKUP(D20,#REF!,17,FALSE)</f>
        <v>#REF!</v>
      </c>
      <c r="G20" s="100"/>
      <c r="H20" s="100"/>
      <c r="I20" s="101"/>
      <c r="J20" s="102" t="e">
        <f t="shared" si="0"/>
        <v>#REF!</v>
      </c>
      <c r="K20" s="103"/>
      <c r="L20" s="104"/>
      <c r="M20" s="105">
        <v>4000</v>
      </c>
      <c r="N20" s="103">
        <v>0</v>
      </c>
      <c r="O20" s="106"/>
      <c r="P20" s="103">
        <v>0</v>
      </c>
      <c r="Q20" s="107">
        <f t="shared" si="1"/>
        <v>4000</v>
      </c>
      <c r="R20" s="108">
        <v>3841.74</v>
      </c>
      <c r="S20" s="119"/>
      <c r="T20" s="110">
        <f t="shared" si="2"/>
        <v>-158.26000000000022</v>
      </c>
      <c r="U20" s="103"/>
      <c r="V20" s="112">
        <f t="shared" si="3"/>
        <v>4000</v>
      </c>
      <c r="W20" s="112">
        <f t="shared" si="4"/>
        <v>0</v>
      </c>
      <c r="X20" s="113">
        <f t="shared" si="5"/>
        <v>0</v>
      </c>
      <c r="Y20" s="113">
        <v>0</v>
      </c>
      <c r="Z20" s="114">
        <v>0</v>
      </c>
      <c r="AA20" s="11">
        <f t="shared" si="6"/>
        <v>0</v>
      </c>
      <c r="AB20" s="115" t="e">
        <f t="shared" si="7"/>
        <v>#REF!</v>
      </c>
      <c r="AC20" s="115">
        <f t="shared" si="8"/>
        <v>0</v>
      </c>
      <c r="AD20" s="115">
        <f t="shared" si="9"/>
        <v>0</v>
      </c>
      <c r="AE20" s="11"/>
      <c r="AF20" s="115">
        <f t="shared" si="10"/>
        <v>4000</v>
      </c>
      <c r="AG20" s="115">
        <f t="shared" si="11"/>
        <v>0</v>
      </c>
      <c r="AH20" s="115">
        <f t="shared" si="12"/>
        <v>0</v>
      </c>
      <c r="AJ20" s="11" t="e">
        <f t="shared" si="13"/>
        <v>#REF!</v>
      </c>
    </row>
    <row r="21" spans="1:36">
      <c r="A21" s="116"/>
      <c r="B21" s="116" t="s">
        <v>49</v>
      </c>
      <c r="C21" s="122" t="s">
        <v>55</v>
      </c>
      <c r="D21" s="118" t="s">
        <v>57</v>
      </c>
      <c r="E21" s="98"/>
      <c r="F21" s="99" t="e">
        <f>VLOOKUP(D21,#REF!,17,FALSE)</f>
        <v>#REF!</v>
      </c>
      <c r="G21" s="100"/>
      <c r="H21" s="100"/>
      <c r="I21" s="101"/>
      <c r="J21" s="102" t="e">
        <f t="shared" si="0"/>
        <v>#REF!</v>
      </c>
      <c r="K21" s="103"/>
      <c r="L21" s="104"/>
      <c r="M21" s="105">
        <v>5000</v>
      </c>
      <c r="N21" s="103">
        <v>0</v>
      </c>
      <c r="O21" s="106"/>
      <c r="P21" s="103">
        <v>0</v>
      </c>
      <c r="Q21" s="107">
        <f t="shared" si="1"/>
        <v>5000</v>
      </c>
      <c r="R21" s="108">
        <v>5634.76</v>
      </c>
      <c r="S21" s="119"/>
      <c r="T21" s="110">
        <f t="shared" si="2"/>
        <v>634.76000000000022</v>
      </c>
      <c r="U21" s="103"/>
      <c r="V21" s="112">
        <f t="shared" si="3"/>
        <v>5000</v>
      </c>
      <c r="W21" s="112">
        <f t="shared" si="4"/>
        <v>0</v>
      </c>
      <c r="X21" s="113">
        <f t="shared" si="5"/>
        <v>0</v>
      </c>
      <c r="Y21" s="113">
        <v>0</v>
      </c>
      <c r="Z21" s="114">
        <v>0</v>
      </c>
      <c r="AA21" s="11">
        <f t="shared" si="6"/>
        <v>0</v>
      </c>
      <c r="AB21" s="115" t="e">
        <f t="shared" si="7"/>
        <v>#REF!</v>
      </c>
      <c r="AC21" s="115">
        <f t="shared" si="8"/>
        <v>0</v>
      </c>
      <c r="AD21" s="115">
        <f t="shared" si="9"/>
        <v>0</v>
      </c>
      <c r="AE21" s="11"/>
      <c r="AF21" s="115">
        <f t="shared" si="10"/>
        <v>5000</v>
      </c>
      <c r="AG21" s="115">
        <f t="shared" si="11"/>
        <v>0</v>
      </c>
      <c r="AH21" s="115">
        <f t="shared" si="12"/>
        <v>0</v>
      </c>
      <c r="AJ21" s="11" t="e">
        <f t="shared" si="13"/>
        <v>#REF!</v>
      </c>
    </row>
    <row r="22" spans="1:36">
      <c r="A22" s="116"/>
      <c r="B22" s="116" t="s">
        <v>49</v>
      </c>
      <c r="C22" s="122" t="s">
        <v>55</v>
      </c>
      <c r="D22" s="118" t="s">
        <v>58</v>
      </c>
      <c r="E22" s="98"/>
      <c r="F22" s="99" t="e">
        <f>VLOOKUP(D22,#REF!,17,FALSE)</f>
        <v>#REF!</v>
      </c>
      <c r="G22" s="100"/>
      <c r="H22" s="100"/>
      <c r="I22" s="101"/>
      <c r="J22" s="102" t="e">
        <f t="shared" si="0"/>
        <v>#REF!</v>
      </c>
      <c r="K22" s="103"/>
      <c r="L22" s="104"/>
      <c r="M22" s="105">
        <v>6000</v>
      </c>
      <c r="N22" s="103">
        <v>0</v>
      </c>
      <c r="O22" s="106"/>
      <c r="P22" s="103">
        <v>0</v>
      </c>
      <c r="Q22" s="107">
        <f t="shared" si="1"/>
        <v>6000</v>
      </c>
      <c r="R22" s="108">
        <v>7227.1</v>
      </c>
      <c r="S22" s="119"/>
      <c r="T22" s="110">
        <f t="shared" si="2"/>
        <v>1227.1000000000004</v>
      </c>
      <c r="U22" s="103"/>
      <c r="V22" s="112">
        <f t="shared" si="3"/>
        <v>6000</v>
      </c>
      <c r="W22" s="112">
        <f t="shared" si="4"/>
        <v>0</v>
      </c>
      <c r="X22" s="113">
        <f t="shared" si="5"/>
        <v>0</v>
      </c>
      <c r="Y22" s="113">
        <v>0</v>
      </c>
      <c r="Z22" s="114">
        <v>0</v>
      </c>
      <c r="AA22" s="11">
        <f t="shared" si="6"/>
        <v>0</v>
      </c>
      <c r="AB22" s="115" t="e">
        <f t="shared" si="7"/>
        <v>#REF!</v>
      </c>
      <c r="AC22" s="115">
        <f t="shared" si="8"/>
        <v>0</v>
      </c>
      <c r="AD22" s="115">
        <f t="shared" si="9"/>
        <v>0</v>
      </c>
      <c r="AE22" s="11"/>
      <c r="AF22" s="115">
        <f t="shared" si="10"/>
        <v>6000</v>
      </c>
      <c r="AG22" s="115">
        <f t="shared" si="11"/>
        <v>0</v>
      </c>
      <c r="AH22" s="115">
        <f t="shared" si="12"/>
        <v>0</v>
      </c>
      <c r="AJ22" s="11" t="e">
        <f t="shared" si="13"/>
        <v>#REF!</v>
      </c>
    </row>
    <row r="23" spans="1:36" s="124" customFormat="1">
      <c r="A23" s="123" t="s">
        <v>60</v>
      </c>
      <c r="B23" s="123" t="s">
        <v>46</v>
      </c>
      <c r="C23" s="122" t="s">
        <v>61</v>
      </c>
      <c r="D23" s="118" t="s">
        <v>62</v>
      </c>
      <c r="E23" s="98"/>
      <c r="F23" s="99" t="e">
        <f>VLOOKUP(D23,#REF!,17,FALSE)</f>
        <v>#REF!</v>
      </c>
      <c r="G23" s="100"/>
      <c r="H23" s="100"/>
      <c r="I23" s="101"/>
      <c r="J23" s="102" t="e">
        <f t="shared" si="0"/>
        <v>#REF!</v>
      </c>
      <c r="K23" s="103"/>
      <c r="L23" s="104"/>
      <c r="M23" s="105">
        <v>33000</v>
      </c>
      <c r="N23" s="103">
        <v>0</v>
      </c>
      <c r="O23" s="106"/>
      <c r="P23" s="103">
        <v>0</v>
      </c>
      <c r="Q23" s="107">
        <f t="shared" si="1"/>
        <v>33000</v>
      </c>
      <c r="R23" s="108">
        <v>0</v>
      </c>
      <c r="S23" s="119"/>
      <c r="T23" s="110">
        <f t="shared" si="2"/>
        <v>-33000</v>
      </c>
      <c r="U23" s="103"/>
      <c r="V23" s="112">
        <f t="shared" si="3"/>
        <v>0</v>
      </c>
      <c r="W23" s="112">
        <f t="shared" si="4"/>
        <v>33000</v>
      </c>
      <c r="X23" s="113">
        <f t="shared" si="5"/>
        <v>0</v>
      </c>
      <c r="Y23" s="113">
        <v>0</v>
      </c>
      <c r="Z23" s="114">
        <v>0</v>
      </c>
      <c r="AA23" s="11">
        <f t="shared" si="6"/>
        <v>0</v>
      </c>
      <c r="AB23" s="115">
        <f t="shared" si="7"/>
        <v>0</v>
      </c>
      <c r="AC23" s="115" t="e">
        <f t="shared" si="8"/>
        <v>#REF!</v>
      </c>
      <c r="AD23" s="115">
        <f t="shared" si="9"/>
        <v>0</v>
      </c>
      <c r="AE23" s="11"/>
      <c r="AF23" s="115">
        <f t="shared" si="10"/>
        <v>0</v>
      </c>
      <c r="AG23" s="115">
        <f t="shared" si="11"/>
        <v>33000</v>
      </c>
      <c r="AH23" s="115">
        <f t="shared" si="12"/>
        <v>0</v>
      </c>
      <c r="AJ23" s="11" t="e">
        <f t="shared" si="13"/>
        <v>#REF!</v>
      </c>
    </row>
    <row r="24" spans="1:36" s="124" customFormat="1">
      <c r="A24" s="123"/>
      <c r="B24" s="123" t="s">
        <v>46</v>
      </c>
      <c r="C24" s="122" t="s">
        <v>61</v>
      </c>
      <c r="D24" s="285" t="s">
        <v>404</v>
      </c>
      <c r="E24" s="98"/>
      <c r="F24" s="99" t="e">
        <f>VLOOKUP(D24,#REF!,17,FALSE)</f>
        <v>#REF!</v>
      </c>
      <c r="G24" s="100"/>
      <c r="H24" s="100"/>
      <c r="I24" s="101"/>
      <c r="J24" s="102" t="e">
        <f t="shared" si="0"/>
        <v>#REF!</v>
      </c>
      <c r="K24" s="103"/>
      <c r="L24" s="104"/>
      <c r="M24" s="105"/>
      <c r="N24" s="103">
        <v>0</v>
      </c>
      <c r="O24" s="106"/>
      <c r="P24" s="103">
        <v>0</v>
      </c>
      <c r="Q24" s="107">
        <f t="shared" si="1"/>
        <v>0</v>
      </c>
      <c r="R24" s="108">
        <v>0</v>
      </c>
      <c r="S24" s="119"/>
      <c r="T24" s="110">
        <f t="shared" si="2"/>
        <v>0</v>
      </c>
      <c r="U24" s="103"/>
      <c r="V24" s="112">
        <f t="shared" si="3"/>
        <v>0</v>
      </c>
      <c r="W24" s="112">
        <f t="shared" si="4"/>
        <v>0</v>
      </c>
      <c r="X24" s="113">
        <f t="shared" si="5"/>
        <v>0</v>
      </c>
      <c r="Y24" s="113">
        <v>0</v>
      </c>
      <c r="Z24" s="114">
        <v>0</v>
      </c>
      <c r="AA24" s="11">
        <f t="shared" si="6"/>
        <v>0</v>
      </c>
      <c r="AB24" s="115">
        <f t="shared" si="7"/>
        <v>0</v>
      </c>
      <c r="AC24" s="115" t="e">
        <f t="shared" si="8"/>
        <v>#REF!</v>
      </c>
      <c r="AD24" s="115">
        <f t="shared" si="9"/>
        <v>0</v>
      </c>
      <c r="AE24" s="11"/>
      <c r="AF24" s="115">
        <f t="shared" si="10"/>
        <v>0</v>
      </c>
      <c r="AG24" s="115">
        <f t="shared" si="11"/>
        <v>0</v>
      </c>
      <c r="AH24" s="115">
        <f t="shared" si="12"/>
        <v>0</v>
      </c>
      <c r="AJ24" s="11" t="e">
        <f t="shared" si="13"/>
        <v>#REF!</v>
      </c>
    </row>
    <row r="25" spans="1:36" s="124" customFormat="1">
      <c r="A25" s="123"/>
      <c r="B25" s="123" t="s">
        <v>46</v>
      </c>
      <c r="C25" s="122" t="s">
        <v>61</v>
      </c>
      <c r="D25" s="285" t="s">
        <v>405</v>
      </c>
      <c r="E25" s="98"/>
      <c r="F25" s="99" t="e">
        <f>VLOOKUP(D25,#REF!,17,FALSE)</f>
        <v>#REF!</v>
      </c>
      <c r="G25" s="100"/>
      <c r="H25" s="100"/>
      <c r="I25" s="101"/>
      <c r="J25" s="102" t="e">
        <f t="shared" si="0"/>
        <v>#REF!</v>
      </c>
      <c r="K25" s="103"/>
      <c r="L25" s="104"/>
      <c r="M25" s="105"/>
      <c r="N25" s="103">
        <v>0</v>
      </c>
      <c r="O25" s="106"/>
      <c r="P25" s="103">
        <v>0</v>
      </c>
      <c r="Q25" s="107">
        <f t="shared" si="1"/>
        <v>0</v>
      </c>
      <c r="R25" s="108">
        <v>0</v>
      </c>
      <c r="S25" s="119"/>
      <c r="T25" s="110">
        <f t="shared" si="2"/>
        <v>0</v>
      </c>
      <c r="U25" s="103"/>
      <c r="V25" s="112">
        <f t="shared" si="3"/>
        <v>0</v>
      </c>
      <c r="W25" s="112">
        <f t="shared" si="4"/>
        <v>0</v>
      </c>
      <c r="X25" s="113">
        <f t="shared" si="5"/>
        <v>0</v>
      </c>
      <c r="Y25" s="113">
        <v>0</v>
      </c>
      <c r="Z25" s="114">
        <v>0</v>
      </c>
      <c r="AA25" s="11">
        <f t="shared" si="6"/>
        <v>0</v>
      </c>
      <c r="AB25" s="115">
        <f t="shared" si="7"/>
        <v>0</v>
      </c>
      <c r="AC25" s="115" t="e">
        <f t="shared" si="8"/>
        <v>#REF!</v>
      </c>
      <c r="AD25" s="115">
        <f t="shared" si="9"/>
        <v>0</v>
      </c>
      <c r="AE25" s="11"/>
      <c r="AF25" s="115">
        <f t="shared" si="10"/>
        <v>0</v>
      </c>
      <c r="AG25" s="115">
        <f t="shared" si="11"/>
        <v>0</v>
      </c>
      <c r="AH25" s="115">
        <f t="shared" si="12"/>
        <v>0</v>
      </c>
      <c r="AJ25" s="11" t="e">
        <f t="shared" si="13"/>
        <v>#REF!</v>
      </c>
    </row>
    <row r="26" spans="1:36">
      <c r="A26" s="116"/>
      <c r="B26" s="116" t="s">
        <v>49</v>
      </c>
      <c r="C26" s="122"/>
      <c r="D26" s="120" t="s">
        <v>406</v>
      </c>
      <c r="E26" s="98"/>
      <c r="F26" s="99" t="e">
        <f>VLOOKUP(D26,#REF!,17,FALSE)</f>
        <v>#REF!</v>
      </c>
      <c r="G26" s="100"/>
      <c r="H26" s="100"/>
      <c r="I26" s="125">
        <v>151.75</v>
      </c>
      <c r="J26" s="102" t="e">
        <f t="shared" si="0"/>
        <v>#REF!</v>
      </c>
      <c r="K26" s="103"/>
      <c r="L26" s="104"/>
      <c r="M26" s="105"/>
      <c r="N26" s="103">
        <v>0</v>
      </c>
      <c r="O26" s="106"/>
      <c r="P26" s="103">
        <v>0</v>
      </c>
      <c r="Q26" s="107">
        <f t="shared" si="1"/>
        <v>0</v>
      </c>
      <c r="R26" s="108">
        <v>0</v>
      </c>
      <c r="S26" s="119"/>
      <c r="T26" s="110">
        <f t="shared" si="2"/>
        <v>0</v>
      </c>
      <c r="U26" s="103"/>
      <c r="V26" s="112">
        <f t="shared" si="3"/>
        <v>0</v>
      </c>
      <c r="W26" s="112">
        <f t="shared" si="4"/>
        <v>0</v>
      </c>
      <c r="X26" s="113">
        <f t="shared" si="5"/>
        <v>0</v>
      </c>
      <c r="Y26" s="113">
        <v>0</v>
      </c>
      <c r="Z26" s="114">
        <v>0</v>
      </c>
      <c r="AA26" s="11">
        <f t="shared" si="6"/>
        <v>0</v>
      </c>
      <c r="AB26" s="115" t="e">
        <f t="shared" si="7"/>
        <v>#REF!</v>
      </c>
      <c r="AC26" s="115">
        <f t="shared" si="8"/>
        <v>0</v>
      </c>
      <c r="AD26" s="115">
        <f t="shared" si="9"/>
        <v>0</v>
      </c>
      <c r="AE26" s="11"/>
      <c r="AF26" s="115">
        <f t="shared" si="10"/>
        <v>0</v>
      </c>
      <c r="AG26" s="115">
        <f t="shared" si="11"/>
        <v>0</v>
      </c>
      <c r="AH26" s="115">
        <f t="shared" si="12"/>
        <v>0</v>
      </c>
      <c r="AJ26" s="11" t="e">
        <f t="shared" si="13"/>
        <v>#REF!</v>
      </c>
    </row>
    <row r="27" spans="1:36">
      <c r="A27" s="116"/>
      <c r="B27" s="116" t="s">
        <v>49</v>
      </c>
      <c r="C27" s="122"/>
      <c r="D27" s="120" t="s">
        <v>64</v>
      </c>
      <c r="E27" s="98"/>
      <c r="F27" s="99" t="e">
        <f>VLOOKUP(D27,#REF!,17,FALSE)</f>
        <v>#REF!</v>
      </c>
      <c r="G27" s="100"/>
      <c r="H27" s="100"/>
      <c r="I27" s="101"/>
      <c r="J27" s="102" t="e">
        <f t="shared" si="0"/>
        <v>#REF!</v>
      </c>
      <c r="K27" s="103"/>
      <c r="L27" s="104"/>
      <c r="M27" s="105">
        <v>15000</v>
      </c>
      <c r="N27" s="103">
        <v>0</v>
      </c>
      <c r="O27" s="106"/>
      <c r="P27" s="103">
        <v>0</v>
      </c>
      <c r="Q27" s="107">
        <f t="shared" si="1"/>
        <v>15000</v>
      </c>
      <c r="R27" s="108">
        <v>21404.91</v>
      </c>
      <c r="S27" s="119"/>
      <c r="T27" s="110">
        <f t="shared" si="2"/>
        <v>6404.91</v>
      </c>
      <c r="U27" s="103"/>
      <c r="V27" s="112">
        <f t="shared" si="3"/>
        <v>15000</v>
      </c>
      <c r="W27" s="112">
        <f t="shared" si="4"/>
        <v>0</v>
      </c>
      <c r="X27" s="113">
        <f t="shared" si="5"/>
        <v>0</v>
      </c>
      <c r="Y27" s="113">
        <v>0</v>
      </c>
      <c r="Z27" s="114">
        <v>0</v>
      </c>
      <c r="AA27" s="11">
        <f t="shared" si="6"/>
        <v>0</v>
      </c>
      <c r="AB27" s="115" t="e">
        <f t="shared" si="7"/>
        <v>#REF!</v>
      </c>
      <c r="AC27" s="115">
        <f t="shared" si="8"/>
        <v>0</v>
      </c>
      <c r="AD27" s="115">
        <f t="shared" si="9"/>
        <v>0</v>
      </c>
      <c r="AE27" s="11"/>
      <c r="AF27" s="115">
        <f t="shared" si="10"/>
        <v>15000</v>
      </c>
      <c r="AG27" s="115">
        <f t="shared" si="11"/>
        <v>0</v>
      </c>
      <c r="AH27" s="115">
        <f t="shared" si="12"/>
        <v>0</v>
      </c>
      <c r="AJ27" s="11" t="e">
        <f t="shared" si="13"/>
        <v>#REF!</v>
      </c>
    </row>
    <row r="28" spans="1:36">
      <c r="A28" s="116"/>
      <c r="B28" s="116" t="s">
        <v>49</v>
      </c>
      <c r="C28" s="122"/>
      <c r="D28" s="120" t="s">
        <v>65</v>
      </c>
      <c r="E28" s="98"/>
      <c r="F28" s="99" t="e">
        <f>VLOOKUP(D28,#REF!,17,FALSE)</f>
        <v>#REF!</v>
      </c>
      <c r="G28" s="100"/>
      <c r="H28" s="100"/>
      <c r="I28" s="101"/>
      <c r="J28" s="102" t="e">
        <f t="shared" si="0"/>
        <v>#REF!</v>
      </c>
      <c r="K28" s="103"/>
      <c r="L28" s="104"/>
      <c r="M28" s="105"/>
      <c r="N28" s="103">
        <v>0</v>
      </c>
      <c r="O28" s="106"/>
      <c r="P28" s="103">
        <v>0</v>
      </c>
      <c r="Q28" s="107">
        <f t="shared" si="1"/>
        <v>0</v>
      </c>
      <c r="R28" s="108">
        <v>0</v>
      </c>
      <c r="S28" s="119"/>
      <c r="T28" s="110">
        <f t="shared" si="2"/>
        <v>0</v>
      </c>
      <c r="U28" s="103"/>
      <c r="V28" s="112">
        <f t="shared" si="3"/>
        <v>0</v>
      </c>
      <c r="W28" s="112">
        <f t="shared" si="4"/>
        <v>0</v>
      </c>
      <c r="X28" s="113">
        <f t="shared" si="5"/>
        <v>0</v>
      </c>
      <c r="Y28" s="113">
        <v>0</v>
      </c>
      <c r="Z28" s="114">
        <v>0</v>
      </c>
      <c r="AA28" s="11">
        <f t="shared" si="6"/>
        <v>0</v>
      </c>
      <c r="AB28" s="115" t="e">
        <f t="shared" si="7"/>
        <v>#REF!</v>
      </c>
      <c r="AC28" s="115">
        <f t="shared" si="8"/>
        <v>0</v>
      </c>
      <c r="AD28" s="115">
        <f t="shared" si="9"/>
        <v>0</v>
      </c>
      <c r="AE28" s="11"/>
      <c r="AF28" s="115">
        <f t="shared" si="10"/>
        <v>0</v>
      </c>
      <c r="AG28" s="115">
        <f t="shared" si="11"/>
        <v>0</v>
      </c>
      <c r="AH28" s="115">
        <f t="shared" si="12"/>
        <v>0</v>
      </c>
      <c r="AJ28" s="11" t="e">
        <f t="shared" si="13"/>
        <v>#REF!</v>
      </c>
    </row>
    <row r="29" spans="1:36">
      <c r="A29" s="116"/>
      <c r="B29" s="116" t="s">
        <v>46</v>
      </c>
      <c r="C29" s="122" t="s">
        <v>66</v>
      </c>
      <c r="D29" s="120" t="s">
        <v>67</v>
      </c>
      <c r="E29" s="98"/>
      <c r="F29" s="99" t="e">
        <f>VLOOKUP(D29,#REF!,17,FALSE)</f>
        <v>#REF!</v>
      </c>
      <c r="G29" s="100"/>
      <c r="H29" s="100"/>
      <c r="I29" s="101"/>
      <c r="J29" s="102" t="e">
        <f t="shared" si="0"/>
        <v>#REF!</v>
      </c>
      <c r="K29" s="103"/>
      <c r="L29" s="104"/>
      <c r="M29" s="105"/>
      <c r="N29" s="103">
        <v>0</v>
      </c>
      <c r="O29" s="106"/>
      <c r="P29" s="103">
        <v>0</v>
      </c>
      <c r="Q29" s="107">
        <f t="shared" si="1"/>
        <v>0</v>
      </c>
      <c r="R29" s="108">
        <v>1547.43</v>
      </c>
      <c r="S29" s="119"/>
      <c r="T29" s="110">
        <f t="shared" si="2"/>
        <v>1547.43</v>
      </c>
      <c r="U29" s="111"/>
      <c r="V29" s="112">
        <f t="shared" si="3"/>
        <v>0</v>
      </c>
      <c r="W29" s="112">
        <f t="shared" si="4"/>
        <v>0</v>
      </c>
      <c r="X29" s="113">
        <f t="shared" si="5"/>
        <v>0</v>
      </c>
      <c r="Y29" s="113">
        <v>0</v>
      </c>
      <c r="Z29" s="114">
        <v>0</v>
      </c>
      <c r="AA29" s="11">
        <f t="shared" si="6"/>
        <v>0</v>
      </c>
      <c r="AB29" s="115">
        <f t="shared" si="7"/>
        <v>0</v>
      </c>
      <c r="AC29" s="115" t="e">
        <f t="shared" si="8"/>
        <v>#REF!</v>
      </c>
      <c r="AD29" s="115">
        <f t="shared" si="9"/>
        <v>0</v>
      </c>
      <c r="AE29" s="11"/>
      <c r="AF29" s="115">
        <f t="shared" si="10"/>
        <v>0</v>
      </c>
      <c r="AG29" s="115">
        <f t="shared" si="11"/>
        <v>0</v>
      </c>
      <c r="AH29" s="115">
        <f t="shared" si="12"/>
        <v>0</v>
      </c>
      <c r="AJ29" s="11" t="e">
        <f t="shared" si="13"/>
        <v>#REF!</v>
      </c>
    </row>
    <row r="30" spans="1:36" s="124" customFormat="1">
      <c r="A30" s="123"/>
      <c r="B30" s="123" t="s">
        <v>49</v>
      </c>
      <c r="C30" s="122" t="s">
        <v>68</v>
      </c>
      <c r="D30" s="118" t="s">
        <v>69</v>
      </c>
      <c r="E30" s="98"/>
      <c r="F30" s="99" t="e">
        <f>VLOOKUP(D30,#REF!,17,FALSE)</f>
        <v>#REF!</v>
      </c>
      <c r="G30" s="100"/>
      <c r="H30" s="100"/>
      <c r="I30" s="101"/>
      <c r="J30" s="102" t="e">
        <f t="shared" si="0"/>
        <v>#REF!</v>
      </c>
      <c r="K30" s="103"/>
      <c r="L30" s="104"/>
      <c r="M30" s="105">
        <v>375000</v>
      </c>
      <c r="N30" s="103">
        <v>0</v>
      </c>
      <c r="O30" s="106"/>
      <c r="P30" s="103">
        <v>0</v>
      </c>
      <c r="Q30" s="107">
        <f t="shared" si="1"/>
        <v>375000</v>
      </c>
      <c r="R30" s="108">
        <v>331593.95</v>
      </c>
      <c r="S30" s="119"/>
      <c r="T30" s="110">
        <f t="shared" si="2"/>
        <v>-43406.049999999988</v>
      </c>
      <c r="U30" s="103"/>
      <c r="V30" s="112">
        <f t="shared" si="3"/>
        <v>375000</v>
      </c>
      <c r="W30" s="112">
        <f t="shared" si="4"/>
        <v>0</v>
      </c>
      <c r="X30" s="113">
        <f t="shared" si="5"/>
        <v>0</v>
      </c>
      <c r="Y30" s="113">
        <v>0</v>
      </c>
      <c r="Z30" s="114">
        <v>0</v>
      </c>
      <c r="AA30" s="11">
        <f t="shared" si="6"/>
        <v>0</v>
      </c>
      <c r="AB30" s="115" t="e">
        <f t="shared" si="7"/>
        <v>#REF!</v>
      </c>
      <c r="AC30" s="115">
        <f t="shared" si="8"/>
        <v>0</v>
      </c>
      <c r="AD30" s="115">
        <f t="shared" si="9"/>
        <v>0</v>
      </c>
      <c r="AE30" s="11"/>
      <c r="AF30" s="115">
        <f t="shared" si="10"/>
        <v>375000</v>
      </c>
      <c r="AG30" s="115">
        <f t="shared" si="11"/>
        <v>0</v>
      </c>
      <c r="AH30" s="115">
        <f t="shared" si="12"/>
        <v>0</v>
      </c>
      <c r="AJ30" s="11" t="e">
        <f t="shared" si="13"/>
        <v>#REF!</v>
      </c>
    </row>
    <row r="31" spans="1:36" s="124" customFormat="1">
      <c r="A31" s="123"/>
      <c r="B31" s="123" t="s">
        <v>49</v>
      </c>
      <c r="C31" s="122" t="s">
        <v>70</v>
      </c>
      <c r="D31" s="118" t="s">
        <v>71</v>
      </c>
      <c r="E31" s="98"/>
      <c r="F31" s="99" t="e">
        <f>VLOOKUP(D31,#REF!,17,FALSE)</f>
        <v>#REF!</v>
      </c>
      <c r="G31" s="100"/>
      <c r="H31" s="100"/>
      <c r="I31" s="101"/>
      <c r="J31" s="102" t="e">
        <f t="shared" si="0"/>
        <v>#REF!</v>
      </c>
      <c r="K31" s="103"/>
      <c r="L31" s="104"/>
      <c r="M31" s="105">
        <v>50000</v>
      </c>
      <c r="N31" s="103">
        <v>0</v>
      </c>
      <c r="O31" s="106"/>
      <c r="P31" s="103">
        <v>0</v>
      </c>
      <c r="Q31" s="107">
        <f t="shared" si="1"/>
        <v>50000</v>
      </c>
      <c r="R31" s="108">
        <v>48596.01</v>
      </c>
      <c r="S31" s="119"/>
      <c r="T31" s="110">
        <f t="shared" si="2"/>
        <v>-1403.989999999998</v>
      </c>
      <c r="U31" s="103"/>
      <c r="V31" s="112">
        <f t="shared" si="3"/>
        <v>50000</v>
      </c>
      <c r="W31" s="112">
        <f t="shared" si="4"/>
        <v>0</v>
      </c>
      <c r="X31" s="113">
        <f t="shared" si="5"/>
        <v>0</v>
      </c>
      <c r="Y31" s="113">
        <v>0</v>
      </c>
      <c r="Z31" s="114">
        <v>0</v>
      </c>
      <c r="AA31" s="11">
        <f t="shared" si="6"/>
        <v>0</v>
      </c>
      <c r="AB31" s="115" t="e">
        <f t="shared" si="7"/>
        <v>#REF!</v>
      </c>
      <c r="AC31" s="115">
        <f t="shared" si="8"/>
        <v>0</v>
      </c>
      <c r="AD31" s="115">
        <f t="shared" si="9"/>
        <v>0</v>
      </c>
      <c r="AE31" s="11"/>
      <c r="AF31" s="115">
        <f t="shared" si="10"/>
        <v>50000</v>
      </c>
      <c r="AG31" s="115">
        <f t="shared" si="11"/>
        <v>0</v>
      </c>
      <c r="AH31" s="115">
        <f t="shared" si="12"/>
        <v>0</v>
      </c>
      <c r="AJ31" s="11" t="e">
        <f t="shared" si="13"/>
        <v>#REF!</v>
      </c>
    </row>
    <row r="32" spans="1:36" s="124" customFormat="1">
      <c r="A32" s="123"/>
      <c r="B32" s="123" t="s">
        <v>49</v>
      </c>
      <c r="C32" s="122" t="s">
        <v>70</v>
      </c>
      <c r="D32" s="118" t="s">
        <v>72</v>
      </c>
      <c r="E32" s="98"/>
      <c r="F32" s="99" t="e">
        <f>VLOOKUP(D32,#REF!,17,FALSE)</f>
        <v>#REF!</v>
      </c>
      <c r="G32" s="100"/>
      <c r="H32" s="100"/>
      <c r="I32" s="101"/>
      <c r="J32" s="102" t="e">
        <f t="shared" si="0"/>
        <v>#REF!</v>
      </c>
      <c r="K32" s="103"/>
      <c r="L32" s="104"/>
      <c r="M32" s="105">
        <v>65000</v>
      </c>
      <c r="N32" s="103">
        <v>0</v>
      </c>
      <c r="O32" s="106"/>
      <c r="P32" s="103">
        <v>0</v>
      </c>
      <c r="Q32" s="107">
        <f t="shared" si="1"/>
        <v>65000</v>
      </c>
      <c r="R32" s="108">
        <v>64547.39</v>
      </c>
      <c r="S32" s="119"/>
      <c r="T32" s="110">
        <f t="shared" si="2"/>
        <v>-452.61000000000058</v>
      </c>
      <c r="U32" s="103"/>
      <c r="V32" s="112">
        <f t="shared" si="3"/>
        <v>65000</v>
      </c>
      <c r="W32" s="112">
        <f t="shared" si="4"/>
        <v>0</v>
      </c>
      <c r="X32" s="113">
        <f t="shared" si="5"/>
        <v>0</v>
      </c>
      <c r="Y32" s="113">
        <v>0</v>
      </c>
      <c r="Z32" s="114">
        <v>0</v>
      </c>
      <c r="AA32" s="11">
        <f t="shared" si="6"/>
        <v>0</v>
      </c>
      <c r="AB32" s="115" t="e">
        <f t="shared" si="7"/>
        <v>#REF!</v>
      </c>
      <c r="AC32" s="115">
        <f t="shared" si="8"/>
        <v>0</v>
      </c>
      <c r="AD32" s="115">
        <f t="shared" si="9"/>
        <v>0</v>
      </c>
      <c r="AE32" s="11"/>
      <c r="AF32" s="115">
        <f t="shared" si="10"/>
        <v>65000</v>
      </c>
      <c r="AG32" s="115">
        <f t="shared" si="11"/>
        <v>0</v>
      </c>
      <c r="AH32" s="115">
        <f t="shared" si="12"/>
        <v>0</v>
      </c>
      <c r="AJ32" s="11" t="e">
        <f t="shared" si="13"/>
        <v>#REF!</v>
      </c>
    </row>
    <row r="33" spans="1:36" s="124" customFormat="1">
      <c r="A33" s="123"/>
      <c r="B33" s="123" t="s">
        <v>49</v>
      </c>
      <c r="C33" s="122" t="s">
        <v>70</v>
      </c>
      <c r="D33" s="118" t="s">
        <v>73</v>
      </c>
      <c r="E33" s="98"/>
      <c r="F33" s="99" t="e">
        <f>VLOOKUP(D33,#REF!,17,FALSE)</f>
        <v>#REF!</v>
      </c>
      <c r="G33" s="100"/>
      <c r="H33" s="100"/>
      <c r="I33" s="101"/>
      <c r="J33" s="102" t="e">
        <f t="shared" si="0"/>
        <v>#REF!</v>
      </c>
      <c r="K33" s="103"/>
      <c r="L33" s="104"/>
      <c r="M33" s="105">
        <v>13000</v>
      </c>
      <c r="N33" s="103">
        <v>0</v>
      </c>
      <c r="O33" s="106"/>
      <c r="P33" s="103">
        <v>0</v>
      </c>
      <c r="Q33" s="107">
        <f t="shared" si="1"/>
        <v>13000</v>
      </c>
      <c r="R33" s="108">
        <v>11951.85</v>
      </c>
      <c r="S33" s="119"/>
      <c r="T33" s="110">
        <f t="shared" si="2"/>
        <v>-1048.1499999999996</v>
      </c>
      <c r="U33" s="103"/>
      <c r="V33" s="112">
        <f t="shared" si="3"/>
        <v>13000</v>
      </c>
      <c r="W33" s="112">
        <f t="shared" si="4"/>
        <v>0</v>
      </c>
      <c r="X33" s="113">
        <f t="shared" si="5"/>
        <v>0</v>
      </c>
      <c r="Y33" s="113">
        <v>0</v>
      </c>
      <c r="Z33" s="114">
        <v>0</v>
      </c>
      <c r="AA33" s="11">
        <f t="shared" si="6"/>
        <v>0</v>
      </c>
      <c r="AB33" s="115" t="e">
        <f t="shared" si="7"/>
        <v>#REF!</v>
      </c>
      <c r="AC33" s="115">
        <f t="shared" si="8"/>
        <v>0</v>
      </c>
      <c r="AD33" s="115">
        <f t="shared" si="9"/>
        <v>0</v>
      </c>
      <c r="AE33" s="11"/>
      <c r="AF33" s="115">
        <f t="shared" si="10"/>
        <v>13000</v>
      </c>
      <c r="AG33" s="115">
        <f t="shared" si="11"/>
        <v>0</v>
      </c>
      <c r="AH33" s="115">
        <f t="shared" si="12"/>
        <v>0</v>
      </c>
      <c r="AJ33" s="11" t="e">
        <f t="shared" si="13"/>
        <v>#REF!</v>
      </c>
    </row>
    <row r="34" spans="1:36" s="124" customFormat="1">
      <c r="A34" s="123"/>
      <c r="B34" s="123" t="s">
        <v>49</v>
      </c>
      <c r="C34" s="122" t="s">
        <v>70</v>
      </c>
      <c r="D34" s="118" t="s">
        <v>74</v>
      </c>
      <c r="E34" s="98"/>
      <c r="F34" s="99" t="e">
        <f>VLOOKUP(D34,#REF!,17,FALSE)</f>
        <v>#REF!</v>
      </c>
      <c r="G34" s="100"/>
      <c r="H34" s="100"/>
      <c r="I34" s="101"/>
      <c r="J34" s="102" t="e">
        <f t="shared" si="0"/>
        <v>#REF!</v>
      </c>
      <c r="K34" s="103"/>
      <c r="L34" s="104"/>
      <c r="M34" s="105">
        <v>5000</v>
      </c>
      <c r="N34" s="103">
        <v>0</v>
      </c>
      <c r="O34" s="106"/>
      <c r="P34" s="103">
        <v>0</v>
      </c>
      <c r="Q34" s="107">
        <f t="shared" si="1"/>
        <v>5000</v>
      </c>
      <c r="R34" s="108">
        <v>4679.05</v>
      </c>
      <c r="S34" s="119"/>
      <c r="T34" s="110">
        <f t="shared" si="2"/>
        <v>-320.94999999999982</v>
      </c>
      <c r="U34" s="103"/>
      <c r="V34" s="112">
        <f t="shared" si="3"/>
        <v>5000</v>
      </c>
      <c r="W34" s="112">
        <f t="shared" si="4"/>
        <v>0</v>
      </c>
      <c r="X34" s="113">
        <f t="shared" si="5"/>
        <v>0</v>
      </c>
      <c r="Y34" s="113">
        <v>0</v>
      </c>
      <c r="Z34" s="114">
        <v>0</v>
      </c>
      <c r="AA34" s="11">
        <f t="shared" si="6"/>
        <v>0</v>
      </c>
      <c r="AB34" s="115" t="e">
        <f t="shared" si="7"/>
        <v>#REF!</v>
      </c>
      <c r="AC34" s="115">
        <f t="shared" si="8"/>
        <v>0</v>
      </c>
      <c r="AD34" s="115">
        <f t="shared" si="9"/>
        <v>0</v>
      </c>
      <c r="AE34" s="11"/>
      <c r="AF34" s="115">
        <f t="shared" si="10"/>
        <v>5000</v>
      </c>
      <c r="AG34" s="115">
        <f t="shared" si="11"/>
        <v>0</v>
      </c>
      <c r="AH34" s="115">
        <f t="shared" si="12"/>
        <v>0</v>
      </c>
      <c r="AJ34" s="11" t="e">
        <f t="shared" si="13"/>
        <v>#REF!</v>
      </c>
    </row>
    <row r="35" spans="1:36" s="124" customFormat="1">
      <c r="A35" s="123"/>
      <c r="B35" s="123" t="s">
        <v>49</v>
      </c>
      <c r="C35" s="122" t="s">
        <v>70</v>
      </c>
      <c r="D35" s="118" t="s">
        <v>75</v>
      </c>
      <c r="E35" s="98"/>
      <c r="F35" s="99" t="e">
        <f>VLOOKUP(D35,#REF!,17,FALSE)</f>
        <v>#REF!</v>
      </c>
      <c r="G35" s="100"/>
      <c r="H35" s="100"/>
      <c r="I35" s="101"/>
      <c r="J35" s="102" t="e">
        <f t="shared" si="0"/>
        <v>#REF!</v>
      </c>
      <c r="K35" s="103"/>
      <c r="L35" s="104"/>
      <c r="M35" s="105">
        <v>2000</v>
      </c>
      <c r="N35" s="103">
        <v>0</v>
      </c>
      <c r="O35" s="106"/>
      <c r="P35" s="103">
        <v>0</v>
      </c>
      <c r="Q35" s="107">
        <f t="shared" si="1"/>
        <v>2000</v>
      </c>
      <c r="R35" s="108">
        <v>2158.77</v>
      </c>
      <c r="S35" s="119"/>
      <c r="T35" s="110">
        <f t="shared" si="2"/>
        <v>158.76999999999998</v>
      </c>
      <c r="U35" s="103"/>
      <c r="V35" s="112">
        <f t="shared" si="3"/>
        <v>2000</v>
      </c>
      <c r="W35" s="112">
        <f t="shared" si="4"/>
        <v>0</v>
      </c>
      <c r="X35" s="113">
        <f t="shared" si="5"/>
        <v>0</v>
      </c>
      <c r="Y35" s="113">
        <v>0</v>
      </c>
      <c r="Z35" s="114">
        <v>0</v>
      </c>
      <c r="AA35" s="11">
        <f t="shared" si="6"/>
        <v>0</v>
      </c>
      <c r="AB35" s="115" t="e">
        <f t="shared" si="7"/>
        <v>#REF!</v>
      </c>
      <c r="AC35" s="115">
        <f t="shared" si="8"/>
        <v>0</v>
      </c>
      <c r="AD35" s="115">
        <f t="shared" si="9"/>
        <v>0</v>
      </c>
      <c r="AE35" s="11"/>
      <c r="AF35" s="115">
        <f t="shared" si="10"/>
        <v>2000</v>
      </c>
      <c r="AG35" s="115">
        <f t="shared" si="11"/>
        <v>0</v>
      </c>
      <c r="AH35" s="115">
        <f t="shared" si="12"/>
        <v>0</v>
      </c>
      <c r="AJ35" s="11" t="e">
        <f t="shared" si="13"/>
        <v>#REF!</v>
      </c>
    </row>
    <row r="36" spans="1:36" s="124" customFormat="1">
      <c r="A36" s="123"/>
      <c r="B36" s="123" t="s">
        <v>49</v>
      </c>
      <c r="C36" s="122" t="s">
        <v>70</v>
      </c>
      <c r="D36" s="118" t="s">
        <v>78</v>
      </c>
      <c r="E36" s="98">
        <f>11418.86+10525.55</f>
        <v>21944.41</v>
      </c>
      <c r="F36" s="99" t="e">
        <f>VLOOKUP(D36,#REF!,17,FALSE)</f>
        <v>#REF!</v>
      </c>
      <c r="G36" s="100"/>
      <c r="H36" s="100"/>
      <c r="I36" s="101"/>
      <c r="J36" s="102" t="e">
        <f t="shared" si="0"/>
        <v>#REF!</v>
      </c>
      <c r="K36" s="103"/>
      <c r="L36" s="104"/>
      <c r="M36" s="105">
        <v>22000</v>
      </c>
      <c r="N36" s="103">
        <v>0</v>
      </c>
      <c r="O36" s="106"/>
      <c r="P36" s="103">
        <v>0</v>
      </c>
      <c r="Q36" s="107">
        <f t="shared" si="1"/>
        <v>22000</v>
      </c>
      <c r="R36" s="108">
        <v>0</v>
      </c>
      <c r="S36" s="119"/>
      <c r="T36" s="110">
        <f t="shared" si="2"/>
        <v>-22000</v>
      </c>
      <c r="U36" s="103"/>
      <c r="V36" s="112">
        <f t="shared" si="3"/>
        <v>22000</v>
      </c>
      <c r="W36" s="112">
        <f t="shared" si="4"/>
        <v>0</v>
      </c>
      <c r="X36" s="113">
        <f t="shared" si="5"/>
        <v>0</v>
      </c>
      <c r="Y36" s="113">
        <v>0</v>
      </c>
      <c r="Z36" s="114">
        <v>0</v>
      </c>
      <c r="AA36" s="11">
        <f t="shared" si="6"/>
        <v>0</v>
      </c>
      <c r="AB36" s="115" t="e">
        <f t="shared" si="7"/>
        <v>#REF!</v>
      </c>
      <c r="AC36" s="115">
        <f t="shared" si="8"/>
        <v>0</v>
      </c>
      <c r="AD36" s="115">
        <f t="shared" si="9"/>
        <v>0</v>
      </c>
      <c r="AE36" s="11"/>
      <c r="AF36" s="115">
        <f t="shared" si="10"/>
        <v>22000</v>
      </c>
      <c r="AG36" s="115">
        <f t="shared" si="11"/>
        <v>0</v>
      </c>
      <c r="AH36" s="115">
        <f t="shared" si="12"/>
        <v>0</v>
      </c>
      <c r="AJ36" s="11" t="e">
        <f t="shared" si="13"/>
        <v>#REF!</v>
      </c>
    </row>
    <row r="37" spans="1:36" s="124" customFormat="1">
      <c r="A37" s="123"/>
      <c r="B37" s="123" t="s">
        <v>49</v>
      </c>
      <c r="C37" s="122" t="s">
        <v>68</v>
      </c>
      <c r="D37" s="118" t="s">
        <v>79</v>
      </c>
      <c r="E37" s="98"/>
      <c r="F37" s="99" t="e">
        <f>VLOOKUP(D37,#REF!,17,FALSE)</f>
        <v>#REF!</v>
      </c>
      <c r="G37" s="100"/>
      <c r="H37" s="100"/>
      <c r="I37" s="125">
        <v>35293.39</v>
      </c>
      <c r="J37" s="102" t="e">
        <f t="shared" si="0"/>
        <v>#REF!</v>
      </c>
      <c r="K37" s="103"/>
      <c r="L37" s="104"/>
      <c r="M37" s="105"/>
      <c r="N37" s="103">
        <v>0</v>
      </c>
      <c r="O37" s="106"/>
      <c r="P37" s="103">
        <v>0</v>
      </c>
      <c r="Q37" s="107">
        <f t="shared" si="1"/>
        <v>0</v>
      </c>
      <c r="R37" s="108">
        <v>0</v>
      </c>
      <c r="S37" s="119"/>
      <c r="T37" s="110">
        <f t="shared" si="2"/>
        <v>0</v>
      </c>
      <c r="U37" s="103"/>
      <c r="V37" s="112">
        <f t="shared" si="3"/>
        <v>0</v>
      </c>
      <c r="W37" s="112">
        <f t="shared" si="4"/>
        <v>0</v>
      </c>
      <c r="X37" s="113">
        <f t="shared" si="5"/>
        <v>0</v>
      </c>
      <c r="Y37" s="113">
        <v>0</v>
      </c>
      <c r="Z37" s="114">
        <v>0</v>
      </c>
      <c r="AA37" s="11">
        <f t="shared" si="6"/>
        <v>0</v>
      </c>
      <c r="AB37" s="115" t="e">
        <f t="shared" si="7"/>
        <v>#REF!</v>
      </c>
      <c r="AC37" s="115">
        <f t="shared" si="8"/>
        <v>0</v>
      </c>
      <c r="AD37" s="115">
        <f t="shared" si="9"/>
        <v>0</v>
      </c>
      <c r="AE37" s="11"/>
      <c r="AF37" s="115">
        <f t="shared" si="10"/>
        <v>0</v>
      </c>
      <c r="AG37" s="115">
        <f t="shared" si="11"/>
        <v>0</v>
      </c>
      <c r="AH37" s="115">
        <f t="shared" si="12"/>
        <v>0</v>
      </c>
      <c r="AJ37" s="11" t="e">
        <f t="shared" si="13"/>
        <v>#REF!</v>
      </c>
    </row>
    <row r="38" spans="1:36" s="124" customFormat="1">
      <c r="A38" s="123"/>
      <c r="B38" s="123" t="s">
        <v>49</v>
      </c>
      <c r="C38" s="126" t="s">
        <v>70</v>
      </c>
      <c r="D38" s="118" t="s">
        <v>80</v>
      </c>
      <c r="E38" s="98"/>
      <c r="F38" s="99" t="e">
        <f>VLOOKUP(D38,#REF!,17,FALSE)</f>
        <v>#REF!</v>
      </c>
      <c r="G38" s="100"/>
      <c r="H38" s="100"/>
      <c r="I38" s="125">
        <v>10588.71</v>
      </c>
      <c r="J38" s="102" t="e">
        <f t="shared" si="0"/>
        <v>#REF!</v>
      </c>
      <c r="K38" s="103"/>
      <c r="L38" s="104"/>
      <c r="M38" s="105"/>
      <c r="N38" s="103">
        <v>0</v>
      </c>
      <c r="O38" s="106"/>
      <c r="P38" s="103">
        <v>0</v>
      </c>
      <c r="Q38" s="107">
        <f t="shared" si="1"/>
        <v>0</v>
      </c>
      <c r="R38" s="108">
        <v>0</v>
      </c>
      <c r="S38" s="119"/>
      <c r="T38" s="110">
        <f t="shared" si="2"/>
        <v>0</v>
      </c>
      <c r="U38" s="103"/>
      <c r="V38" s="112">
        <f t="shared" si="3"/>
        <v>0</v>
      </c>
      <c r="W38" s="112">
        <f t="shared" si="4"/>
        <v>0</v>
      </c>
      <c r="X38" s="113">
        <f t="shared" si="5"/>
        <v>0</v>
      </c>
      <c r="Y38" s="113">
        <v>0</v>
      </c>
      <c r="Z38" s="114">
        <v>0</v>
      </c>
      <c r="AA38" s="11">
        <f t="shared" si="6"/>
        <v>0</v>
      </c>
      <c r="AB38" s="115" t="e">
        <f t="shared" si="7"/>
        <v>#REF!</v>
      </c>
      <c r="AC38" s="115">
        <f t="shared" si="8"/>
        <v>0</v>
      </c>
      <c r="AD38" s="115">
        <f t="shared" si="9"/>
        <v>0</v>
      </c>
      <c r="AE38" s="11"/>
      <c r="AF38" s="115">
        <f t="shared" si="10"/>
        <v>0</v>
      </c>
      <c r="AG38" s="115">
        <f t="shared" si="11"/>
        <v>0</v>
      </c>
      <c r="AH38" s="115">
        <f t="shared" si="12"/>
        <v>0</v>
      </c>
      <c r="AJ38" s="11" t="e">
        <f t="shared" si="13"/>
        <v>#REF!</v>
      </c>
    </row>
    <row r="39" spans="1:36" s="124" customFormat="1">
      <c r="A39" s="127"/>
      <c r="B39" s="127" t="s">
        <v>81</v>
      </c>
      <c r="C39" s="96" t="s">
        <v>84</v>
      </c>
      <c r="D39" s="118" t="s">
        <v>83</v>
      </c>
      <c r="E39" s="98"/>
      <c r="F39" s="99" t="e">
        <f>VLOOKUP(D39,#REF!,17,FALSE)</f>
        <v>#REF!</v>
      </c>
      <c r="G39" s="100"/>
      <c r="H39" s="100"/>
      <c r="I39" s="101"/>
      <c r="J39" s="102" t="e">
        <f t="shared" si="0"/>
        <v>#REF!</v>
      </c>
      <c r="K39" s="103"/>
      <c r="L39" s="104"/>
      <c r="M39" s="105">
        <v>5000</v>
      </c>
      <c r="N39" s="103">
        <v>0</v>
      </c>
      <c r="O39" s="106"/>
      <c r="P39" s="103">
        <v>0</v>
      </c>
      <c r="Q39" s="107">
        <f t="shared" si="1"/>
        <v>5000</v>
      </c>
      <c r="R39" s="108">
        <v>4721.79</v>
      </c>
      <c r="S39" s="119"/>
      <c r="T39" s="110">
        <f t="shared" si="2"/>
        <v>-278.21000000000004</v>
      </c>
      <c r="U39" s="103"/>
      <c r="V39" s="112">
        <f t="shared" si="3"/>
        <v>0</v>
      </c>
      <c r="W39" s="112">
        <f t="shared" si="4"/>
        <v>0</v>
      </c>
      <c r="X39" s="113">
        <f t="shared" si="5"/>
        <v>5000</v>
      </c>
      <c r="Y39" s="113">
        <v>0</v>
      </c>
      <c r="Z39" s="114">
        <v>0</v>
      </c>
      <c r="AA39" s="11">
        <f t="shared" si="6"/>
        <v>0</v>
      </c>
      <c r="AB39" s="115">
        <f t="shared" si="7"/>
        <v>0</v>
      </c>
      <c r="AC39" s="115">
        <f t="shared" si="8"/>
        <v>0</v>
      </c>
      <c r="AD39" s="115" t="e">
        <f t="shared" si="9"/>
        <v>#REF!</v>
      </c>
      <c r="AE39" s="11"/>
      <c r="AF39" s="115">
        <f t="shared" si="10"/>
        <v>0</v>
      </c>
      <c r="AG39" s="115">
        <f t="shared" si="11"/>
        <v>0</v>
      </c>
      <c r="AH39" s="115">
        <f t="shared" si="12"/>
        <v>5000</v>
      </c>
      <c r="AJ39" s="11" t="e">
        <f t="shared" si="13"/>
        <v>#REF!</v>
      </c>
    </row>
    <row r="40" spans="1:36">
      <c r="A40" s="129"/>
      <c r="B40" s="129" t="s">
        <v>49</v>
      </c>
      <c r="C40" s="96"/>
      <c r="D40" s="120" t="s">
        <v>86</v>
      </c>
      <c r="E40" s="98"/>
      <c r="F40" s="99" t="e">
        <f>VLOOKUP(D40,#REF!,17,FALSE)</f>
        <v>#REF!</v>
      </c>
      <c r="G40" s="100"/>
      <c r="H40" s="100"/>
      <c r="I40" s="101"/>
      <c r="J40" s="102" t="e">
        <f t="shared" si="0"/>
        <v>#REF!</v>
      </c>
      <c r="K40" s="103"/>
      <c r="L40" s="104"/>
      <c r="M40" s="105">
        <v>5000</v>
      </c>
      <c r="N40" s="103">
        <v>0</v>
      </c>
      <c r="O40" s="106"/>
      <c r="P40" s="103">
        <v>0</v>
      </c>
      <c r="Q40" s="107">
        <f t="shared" si="1"/>
        <v>5000</v>
      </c>
      <c r="R40" s="108">
        <v>0</v>
      </c>
      <c r="S40" s="119"/>
      <c r="T40" s="110">
        <f t="shared" si="2"/>
        <v>-5000</v>
      </c>
      <c r="U40" s="103"/>
      <c r="V40" s="112">
        <f t="shared" si="3"/>
        <v>5000</v>
      </c>
      <c r="W40" s="112">
        <f t="shared" si="4"/>
        <v>0</v>
      </c>
      <c r="X40" s="113">
        <f t="shared" si="5"/>
        <v>0</v>
      </c>
      <c r="Y40" s="113">
        <v>0</v>
      </c>
      <c r="Z40" s="114">
        <v>0</v>
      </c>
      <c r="AA40" s="11">
        <f t="shared" si="6"/>
        <v>0</v>
      </c>
      <c r="AB40" s="115" t="e">
        <f t="shared" si="7"/>
        <v>#REF!</v>
      </c>
      <c r="AC40" s="115">
        <f t="shared" si="8"/>
        <v>0</v>
      </c>
      <c r="AD40" s="115">
        <f t="shared" si="9"/>
        <v>0</v>
      </c>
      <c r="AE40" s="11"/>
      <c r="AF40" s="115">
        <f t="shared" si="10"/>
        <v>5000</v>
      </c>
      <c r="AG40" s="115">
        <f t="shared" si="11"/>
        <v>0</v>
      </c>
      <c r="AH40" s="115">
        <f t="shared" si="12"/>
        <v>0</v>
      </c>
      <c r="AJ40" s="11" t="e">
        <f t="shared" si="13"/>
        <v>#REF!</v>
      </c>
    </row>
    <row r="41" spans="1:36">
      <c r="A41" s="116"/>
      <c r="B41" s="116" t="s">
        <v>46</v>
      </c>
      <c r="C41" s="122"/>
      <c r="D41" s="120" t="s">
        <v>87</v>
      </c>
      <c r="F41" s="99" t="e">
        <f>VLOOKUP(D41,#REF!,17,FALSE)</f>
        <v>#REF!</v>
      </c>
      <c r="G41" s="100"/>
      <c r="H41" s="100"/>
      <c r="I41" s="101"/>
      <c r="J41" s="102" t="e">
        <f>SUM(F41:I41)</f>
        <v>#REF!</v>
      </c>
      <c r="K41" s="103"/>
      <c r="L41" s="104"/>
      <c r="M41" s="105"/>
      <c r="N41" s="103">
        <v>0</v>
      </c>
      <c r="O41" s="106"/>
      <c r="P41" s="103">
        <v>0</v>
      </c>
      <c r="Q41" s="107">
        <f t="shared" si="1"/>
        <v>0</v>
      </c>
      <c r="R41" s="108">
        <v>0</v>
      </c>
      <c r="S41" s="119"/>
      <c r="T41" s="110">
        <f t="shared" si="2"/>
        <v>0</v>
      </c>
      <c r="U41" s="103"/>
      <c r="V41" s="112">
        <f t="shared" si="3"/>
        <v>0</v>
      </c>
      <c r="W41" s="112">
        <f t="shared" si="4"/>
        <v>0</v>
      </c>
      <c r="X41" s="113">
        <f t="shared" si="5"/>
        <v>0</v>
      </c>
      <c r="Y41" s="113">
        <v>0</v>
      </c>
      <c r="Z41" s="114">
        <v>0</v>
      </c>
      <c r="AA41" s="11">
        <f t="shared" si="6"/>
        <v>0</v>
      </c>
      <c r="AB41" s="115">
        <f t="shared" si="7"/>
        <v>0</v>
      </c>
      <c r="AC41" s="115" t="e">
        <f t="shared" si="8"/>
        <v>#REF!</v>
      </c>
      <c r="AD41" s="115">
        <f t="shared" si="9"/>
        <v>0</v>
      </c>
      <c r="AE41" s="11"/>
      <c r="AF41" s="115">
        <f t="shared" si="10"/>
        <v>0</v>
      </c>
      <c r="AG41" s="115">
        <f t="shared" si="11"/>
        <v>0</v>
      </c>
      <c r="AH41" s="115">
        <f t="shared" si="12"/>
        <v>0</v>
      </c>
      <c r="AJ41" s="11" t="e">
        <f t="shared" si="13"/>
        <v>#REF!</v>
      </c>
    </row>
    <row r="42" spans="1:36">
      <c r="A42" s="116"/>
      <c r="B42" s="116" t="s">
        <v>49</v>
      </c>
      <c r="C42" s="122"/>
      <c r="D42" s="120" t="s">
        <v>88</v>
      </c>
      <c r="E42" s="98"/>
      <c r="F42" s="99" t="e">
        <f>VLOOKUP(D42,#REF!,17,FALSE)</f>
        <v>#REF!</v>
      </c>
      <c r="G42" s="100"/>
      <c r="H42" s="100"/>
      <c r="I42" s="101"/>
      <c r="J42" s="102" t="e">
        <f t="shared" ref="J42:J54" si="14">SUM(E42:I42)</f>
        <v>#REF!</v>
      </c>
      <c r="K42" s="103"/>
      <c r="L42" s="104"/>
      <c r="M42" s="105"/>
      <c r="N42" s="103">
        <v>0</v>
      </c>
      <c r="O42" s="106"/>
      <c r="P42" s="103">
        <v>0</v>
      </c>
      <c r="Q42" s="107">
        <f t="shared" si="1"/>
        <v>0</v>
      </c>
      <c r="R42" s="108">
        <v>0</v>
      </c>
      <c r="S42" s="119"/>
      <c r="T42" s="110">
        <f t="shared" si="2"/>
        <v>0</v>
      </c>
      <c r="U42" s="103"/>
      <c r="V42" s="112">
        <f t="shared" si="3"/>
        <v>0</v>
      </c>
      <c r="W42" s="112">
        <f t="shared" si="4"/>
        <v>0</v>
      </c>
      <c r="X42" s="113">
        <f t="shared" si="5"/>
        <v>0</v>
      </c>
      <c r="Y42" s="113">
        <v>0</v>
      </c>
      <c r="Z42" s="114">
        <v>0</v>
      </c>
      <c r="AA42" s="11">
        <f t="shared" si="6"/>
        <v>0</v>
      </c>
      <c r="AB42" s="115" t="e">
        <f t="shared" si="7"/>
        <v>#REF!</v>
      </c>
      <c r="AC42" s="115">
        <f t="shared" si="8"/>
        <v>0</v>
      </c>
      <c r="AD42" s="115">
        <f t="shared" si="9"/>
        <v>0</v>
      </c>
      <c r="AE42" s="11"/>
      <c r="AF42" s="115">
        <f t="shared" si="10"/>
        <v>0</v>
      </c>
      <c r="AG42" s="115">
        <f t="shared" si="11"/>
        <v>0</v>
      </c>
      <c r="AH42" s="115">
        <f t="shared" si="12"/>
        <v>0</v>
      </c>
      <c r="AJ42" s="11" t="e">
        <f t="shared" si="13"/>
        <v>#REF!</v>
      </c>
    </row>
    <row r="43" spans="1:36">
      <c r="A43" s="116"/>
      <c r="B43" s="116" t="s">
        <v>49</v>
      </c>
      <c r="C43" s="122"/>
      <c r="D43" s="120" t="s">
        <v>89</v>
      </c>
      <c r="E43" s="98"/>
      <c r="F43" s="99" t="e">
        <f>VLOOKUP(D43,#REF!,17,FALSE)</f>
        <v>#REF!</v>
      </c>
      <c r="G43" s="100"/>
      <c r="H43" s="100"/>
      <c r="I43" s="101"/>
      <c r="J43" s="102" t="e">
        <f t="shared" si="14"/>
        <v>#REF!</v>
      </c>
      <c r="K43" s="103"/>
      <c r="L43" s="104"/>
      <c r="M43" s="105"/>
      <c r="N43" s="103">
        <v>0</v>
      </c>
      <c r="O43" s="106"/>
      <c r="P43" s="103">
        <v>0</v>
      </c>
      <c r="Q43" s="107">
        <f t="shared" si="1"/>
        <v>0</v>
      </c>
      <c r="R43" s="108">
        <v>0</v>
      </c>
      <c r="S43" s="119"/>
      <c r="T43" s="110">
        <f t="shared" si="2"/>
        <v>0</v>
      </c>
      <c r="U43" s="103"/>
      <c r="V43" s="112">
        <f t="shared" si="3"/>
        <v>0</v>
      </c>
      <c r="W43" s="112">
        <f t="shared" si="4"/>
        <v>0</v>
      </c>
      <c r="X43" s="113">
        <f t="shared" si="5"/>
        <v>0</v>
      </c>
      <c r="Y43" s="113">
        <v>0</v>
      </c>
      <c r="Z43" s="114">
        <v>0</v>
      </c>
      <c r="AA43" s="11">
        <f t="shared" si="6"/>
        <v>0</v>
      </c>
      <c r="AB43" s="115" t="e">
        <f t="shared" si="7"/>
        <v>#REF!</v>
      </c>
      <c r="AC43" s="115">
        <f t="shared" si="8"/>
        <v>0</v>
      </c>
      <c r="AD43" s="115">
        <f t="shared" si="9"/>
        <v>0</v>
      </c>
      <c r="AE43" s="11"/>
      <c r="AF43" s="115">
        <f t="shared" si="10"/>
        <v>0</v>
      </c>
      <c r="AG43" s="115">
        <f t="shared" si="11"/>
        <v>0</v>
      </c>
      <c r="AH43" s="115">
        <f t="shared" si="12"/>
        <v>0</v>
      </c>
      <c r="AJ43" s="11" t="e">
        <f t="shared" si="13"/>
        <v>#REF!</v>
      </c>
    </row>
    <row r="44" spans="1:36">
      <c r="A44" s="116"/>
      <c r="B44" s="116" t="s">
        <v>46</v>
      </c>
      <c r="C44" s="122"/>
      <c r="D44" s="120" t="s">
        <v>90</v>
      </c>
      <c r="E44" s="98">
        <v>4165.74</v>
      </c>
      <c r="F44" s="99" t="e">
        <f>VLOOKUP(D44,#REF!,17,FALSE)</f>
        <v>#REF!</v>
      </c>
      <c r="G44" s="100"/>
      <c r="H44" s="100"/>
      <c r="I44" s="125">
        <v>4895.6099999999997</v>
      </c>
      <c r="J44" s="102" t="e">
        <f t="shared" si="14"/>
        <v>#REF!</v>
      </c>
      <c r="K44" s="103"/>
      <c r="L44" s="104"/>
      <c r="M44" s="105"/>
      <c r="N44" s="103">
        <v>0</v>
      </c>
      <c r="O44" s="106"/>
      <c r="P44" s="103">
        <v>0</v>
      </c>
      <c r="Q44" s="107">
        <f t="shared" si="1"/>
        <v>0</v>
      </c>
      <c r="R44" s="108">
        <v>0</v>
      </c>
      <c r="S44" s="119"/>
      <c r="T44" s="110">
        <f t="shared" si="2"/>
        <v>0</v>
      </c>
      <c r="U44" s="103"/>
      <c r="V44" s="112">
        <f t="shared" si="3"/>
        <v>0</v>
      </c>
      <c r="W44" s="112">
        <f t="shared" si="4"/>
        <v>0</v>
      </c>
      <c r="X44" s="113">
        <f t="shared" si="5"/>
        <v>0</v>
      </c>
      <c r="Y44" s="113">
        <v>0</v>
      </c>
      <c r="Z44" s="114">
        <v>0</v>
      </c>
      <c r="AA44" s="11">
        <f t="shared" si="6"/>
        <v>0</v>
      </c>
      <c r="AB44" s="115">
        <f t="shared" si="7"/>
        <v>0</v>
      </c>
      <c r="AC44" s="115" t="e">
        <f t="shared" si="8"/>
        <v>#REF!</v>
      </c>
      <c r="AD44" s="115">
        <f t="shared" si="9"/>
        <v>0</v>
      </c>
      <c r="AE44" s="11"/>
      <c r="AF44" s="115">
        <f t="shared" si="10"/>
        <v>0</v>
      </c>
      <c r="AG44" s="115">
        <f t="shared" si="11"/>
        <v>0</v>
      </c>
      <c r="AH44" s="115">
        <f t="shared" si="12"/>
        <v>0</v>
      </c>
      <c r="AJ44" s="11" t="e">
        <f t="shared" si="13"/>
        <v>#REF!</v>
      </c>
    </row>
    <row r="45" spans="1:36">
      <c r="A45" s="116"/>
      <c r="B45" s="116" t="s">
        <v>49</v>
      </c>
      <c r="C45" s="122" t="s">
        <v>91</v>
      </c>
      <c r="D45" s="120" t="s">
        <v>92</v>
      </c>
      <c r="E45" s="98"/>
      <c r="F45" s="99" t="e">
        <f>VLOOKUP(D45,#REF!,17,FALSE)</f>
        <v>#REF!</v>
      </c>
      <c r="G45" s="100"/>
      <c r="H45" s="100"/>
      <c r="I45" s="101"/>
      <c r="J45" s="102" t="e">
        <f t="shared" si="14"/>
        <v>#REF!</v>
      </c>
      <c r="K45" s="103"/>
      <c r="L45" s="104"/>
      <c r="M45" s="105"/>
      <c r="N45" s="103">
        <v>0</v>
      </c>
      <c r="O45" s="106"/>
      <c r="P45" s="103">
        <v>0</v>
      </c>
      <c r="Q45" s="107">
        <f t="shared" si="1"/>
        <v>0</v>
      </c>
      <c r="R45" s="108">
        <v>2699.76</v>
      </c>
      <c r="S45" s="119"/>
      <c r="T45" s="110">
        <f t="shared" si="2"/>
        <v>2699.76</v>
      </c>
      <c r="U45" s="103"/>
      <c r="V45" s="112">
        <f t="shared" si="3"/>
        <v>0</v>
      </c>
      <c r="W45" s="112">
        <f t="shared" si="4"/>
        <v>0</v>
      </c>
      <c r="X45" s="113">
        <f t="shared" si="5"/>
        <v>0</v>
      </c>
      <c r="Y45" s="113">
        <v>0</v>
      </c>
      <c r="Z45" s="114">
        <v>0</v>
      </c>
      <c r="AA45" s="11">
        <f t="shared" si="6"/>
        <v>0</v>
      </c>
      <c r="AB45" s="115" t="e">
        <f t="shared" si="7"/>
        <v>#REF!</v>
      </c>
      <c r="AC45" s="115">
        <f t="shared" si="8"/>
        <v>0</v>
      </c>
      <c r="AD45" s="115">
        <f t="shared" si="9"/>
        <v>0</v>
      </c>
      <c r="AE45" s="11"/>
      <c r="AF45" s="115">
        <f t="shared" si="10"/>
        <v>0</v>
      </c>
      <c r="AG45" s="115">
        <f t="shared" si="11"/>
        <v>0</v>
      </c>
      <c r="AH45" s="115">
        <f t="shared" si="12"/>
        <v>0</v>
      </c>
      <c r="AJ45" s="11" t="e">
        <f t="shared" si="13"/>
        <v>#REF!</v>
      </c>
    </row>
    <row r="46" spans="1:36">
      <c r="A46" s="116"/>
      <c r="B46" s="116" t="s">
        <v>49</v>
      </c>
      <c r="C46" s="122" t="s">
        <v>93</v>
      </c>
      <c r="D46" s="120" t="s">
        <v>94</v>
      </c>
      <c r="E46" s="98"/>
      <c r="F46" s="99" t="e">
        <f>VLOOKUP(D46,#REF!,17,FALSE)</f>
        <v>#REF!</v>
      </c>
      <c r="G46" s="100"/>
      <c r="H46" s="100"/>
      <c r="I46" s="101"/>
      <c r="J46" s="102" t="e">
        <f t="shared" si="14"/>
        <v>#REF!</v>
      </c>
      <c r="K46" s="103"/>
      <c r="L46" s="104"/>
      <c r="M46" s="105">
        <v>15000</v>
      </c>
      <c r="N46" s="103">
        <v>0</v>
      </c>
      <c r="O46" s="106"/>
      <c r="P46" s="103">
        <v>0</v>
      </c>
      <c r="Q46" s="107">
        <f t="shared" si="1"/>
        <v>15000</v>
      </c>
      <c r="R46" s="108">
        <v>13717.08</v>
      </c>
      <c r="S46" s="119"/>
      <c r="T46" s="110">
        <f t="shared" si="2"/>
        <v>-1282.92</v>
      </c>
      <c r="U46" s="103"/>
      <c r="V46" s="112">
        <f t="shared" si="3"/>
        <v>15000</v>
      </c>
      <c r="W46" s="112">
        <f t="shared" si="4"/>
        <v>0</v>
      </c>
      <c r="X46" s="113">
        <f t="shared" si="5"/>
        <v>0</v>
      </c>
      <c r="Y46" s="113">
        <v>0</v>
      </c>
      <c r="Z46" s="114">
        <v>0</v>
      </c>
      <c r="AA46" s="11">
        <f t="shared" si="6"/>
        <v>0</v>
      </c>
      <c r="AB46" s="115" t="e">
        <f t="shared" si="7"/>
        <v>#REF!</v>
      </c>
      <c r="AC46" s="115">
        <f t="shared" si="8"/>
        <v>0</v>
      </c>
      <c r="AD46" s="115">
        <f t="shared" si="9"/>
        <v>0</v>
      </c>
      <c r="AE46" s="11"/>
      <c r="AF46" s="115">
        <f t="shared" si="10"/>
        <v>15000</v>
      </c>
      <c r="AG46" s="115">
        <f t="shared" si="11"/>
        <v>0</v>
      </c>
      <c r="AH46" s="115">
        <f t="shared" si="12"/>
        <v>0</v>
      </c>
      <c r="AJ46" s="11" t="e">
        <f t="shared" si="13"/>
        <v>#REF!</v>
      </c>
    </row>
    <row r="47" spans="1:36">
      <c r="A47" s="116" t="s">
        <v>60</v>
      </c>
      <c r="B47" s="116" t="s">
        <v>49</v>
      </c>
      <c r="C47" s="122" t="s">
        <v>95</v>
      </c>
      <c r="D47" s="120" t="s">
        <v>96</v>
      </c>
      <c r="E47" s="98"/>
      <c r="F47" s="99" t="e">
        <f>VLOOKUP(D47,#REF!,17,FALSE)</f>
        <v>#REF!</v>
      </c>
      <c r="G47" s="100"/>
      <c r="H47" s="100"/>
      <c r="I47" s="101"/>
      <c r="J47" s="102" t="e">
        <f t="shared" si="14"/>
        <v>#REF!</v>
      </c>
      <c r="K47" s="103"/>
      <c r="L47" s="104"/>
      <c r="M47" s="105">
        <v>39000</v>
      </c>
      <c r="N47" s="103">
        <v>0</v>
      </c>
      <c r="O47" s="106"/>
      <c r="P47" s="103">
        <v>0</v>
      </c>
      <c r="Q47" s="107">
        <f t="shared" si="1"/>
        <v>39000</v>
      </c>
      <c r="R47" s="108">
        <v>31852.03</v>
      </c>
      <c r="S47" s="119"/>
      <c r="T47" s="110">
        <f t="shared" si="2"/>
        <v>-7147.9700000000012</v>
      </c>
      <c r="U47" s="103"/>
      <c r="V47" s="112">
        <f t="shared" si="3"/>
        <v>39000</v>
      </c>
      <c r="W47" s="112">
        <f t="shared" si="4"/>
        <v>0</v>
      </c>
      <c r="X47" s="113">
        <f t="shared" si="5"/>
        <v>0</v>
      </c>
      <c r="Y47" s="113">
        <v>0</v>
      </c>
      <c r="Z47" s="114">
        <v>0</v>
      </c>
      <c r="AA47" s="11">
        <f t="shared" si="6"/>
        <v>0</v>
      </c>
      <c r="AB47" s="115" t="e">
        <f t="shared" si="7"/>
        <v>#REF!</v>
      </c>
      <c r="AC47" s="115">
        <f t="shared" si="8"/>
        <v>0</v>
      </c>
      <c r="AD47" s="115">
        <f t="shared" si="9"/>
        <v>0</v>
      </c>
      <c r="AE47" s="11"/>
      <c r="AF47" s="115">
        <f t="shared" si="10"/>
        <v>39000</v>
      </c>
      <c r="AG47" s="115">
        <f t="shared" si="11"/>
        <v>0</v>
      </c>
      <c r="AH47" s="115">
        <f t="shared" si="12"/>
        <v>0</v>
      </c>
      <c r="AJ47" s="11" t="e">
        <f t="shared" si="13"/>
        <v>#REF!</v>
      </c>
    </row>
    <row r="48" spans="1:36" s="124" customFormat="1">
      <c r="A48" s="123" t="s">
        <v>154</v>
      </c>
      <c r="B48" s="123" t="s">
        <v>46</v>
      </c>
      <c r="C48" s="122" t="s">
        <v>99</v>
      </c>
      <c r="D48" s="118" t="s">
        <v>395</v>
      </c>
      <c r="E48" s="98"/>
      <c r="F48" s="99" t="e">
        <f>VLOOKUP(D48,#REF!,17,FALSE)</f>
        <v>#REF!</v>
      </c>
      <c r="G48" s="100"/>
      <c r="H48" s="100"/>
      <c r="I48" s="101"/>
      <c r="J48" s="102" t="e">
        <f t="shared" si="14"/>
        <v>#REF!</v>
      </c>
      <c r="K48" s="103"/>
      <c r="L48" s="104"/>
      <c r="M48" s="105"/>
      <c r="N48" s="103">
        <v>0</v>
      </c>
      <c r="O48" s="106"/>
      <c r="P48" s="103">
        <v>0</v>
      </c>
      <c r="Q48" s="107">
        <f t="shared" si="1"/>
        <v>0</v>
      </c>
      <c r="R48" s="108">
        <v>0</v>
      </c>
      <c r="S48" s="119"/>
      <c r="T48" s="110">
        <f t="shared" si="2"/>
        <v>0</v>
      </c>
      <c r="U48" s="103"/>
      <c r="V48" s="112">
        <f t="shared" si="3"/>
        <v>0</v>
      </c>
      <c r="W48" s="112">
        <f t="shared" si="4"/>
        <v>0</v>
      </c>
      <c r="X48" s="113">
        <f t="shared" si="5"/>
        <v>0</v>
      </c>
      <c r="Y48" s="113">
        <v>0</v>
      </c>
      <c r="Z48" s="114">
        <v>0</v>
      </c>
      <c r="AA48" s="11">
        <f t="shared" si="6"/>
        <v>0</v>
      </c>
      <c r="AB48" s="115">
        <f t="shared" si="7"/>
        <v>0</v>
      </c>
      <c r="AC48" s="115" t="e">
        <f t="shared" si="8"/>
        <v>#REF!</v>
      </c>
      <c r="AD48" s="115">
        <f t="shared" si="9"/>
        <v>0</v>
      </c>
      <c r="AE48" s="11"/>
      <c r="AF48" s="115">
        <f t="shared" si="10"/>
        <v>0</v>
      </c>
      <c r="AG48" s="115">
        <f t="shared" si="11"/>
        <v>0</v>
      </c>
      <c r="AH48" s="115">
        <f t="shared" si="12"/>
        <v>0</v>
      </c>
      <c r="AJ48" s="11" t="e">
        <f t="shared" si="13"/>
        <v>#REF!</v>
      </c>
    </row>
    <row r="49" spans="1:36" s="124" customFormat="1">
      <c r="A49" s="123"/>
      <c r="B49" s="123" t="s">
        <v>46</v>
      </c>
      <c r="C49" s="122" t="s">
        <v>99</v>
      </c>
      <c r="D49" s="118" t="s">
        <v>100</v>
      </c>
      <c r="E49" s="98"/>
      <c r="F49" s="99" t="e">
        <f>VLOOKUP(D49,#REF!,17,FALSE)</f>
        <v>#REF!</v>
      </c>
      <c r="G49" s="100"/>
      <c r="H49" s="100"/>
      <c r="I49" s="101"/>
      <c r="J49" s="102" t="e">
        <f t="shared" si="14"/>
        <v>#REF!</v>
      </c>
      <c r="K49" s="103"/>
      <c r="L49" s="104"/>
      <c r="M49" s="105"/>
      <c r="N49" s="103">
        <v>0</v>
      </c>
      <c r="O49" s="106"/>
      <c r="P49" s="103">
        <v>0</v>
      </c>
      <c r="Q49" s="107">
        <f t="shared" si="1"/>
        <v>0</v>
      </c>
      <c r="R49" s="108">
        <v>0</v>
      </c>
      <c r="S49" s="119"/>
      <c r="T49" s="110">
        <f t="shared" si="2"/>
        <v>0</v>
      </c>
      <c r="U49" s="103"/>
      <c r="V49" s="112">
        <f t="shared" si="3"/>
        <v>0</v>
      </c>
      <c r="W49" s="112">
        <f t="shared" si="4"/>
        <v>0</v>
      </c>
      <c r="X49" s="113">
        <f t="shared" si="5"/>
        <v>0</v>
      </c>
      <c r="Y49" s="113">
        <v>0</v>
      </c>
      <c r="Z49" s="114">
        <v>0</v>
      </c>
      <c r="AA49" s="11">
        <f t="shared" si="6"/>
        <v>0</v>
      </c>
      <c r="AB49" s="115">
        <f t="shared" si="7"/>
        <v>0</v>
      </c>
      <c r="AC49" s="115" t="e">
        <f t="shared" si="8"/>
        <v>#REF!</v>
      </c>
      <c r="AD49" s="115">
        <f t="shared" si="9"/>
        <v>0</v>
      </c>
      <c r="AE49" s="11"/>
      <c r="AF49" s="115">
        <f t="shared" si="10"/>
        <v>0</v>
      </c>
      <c r="AG49" s="115">
        <f t="shared" si="11"/>
        <v>0</v>
      </c>
      <c r="AH49" s="115">
        <f t="shared" si="12"/>
        <v>0</v>
      </c>
      <c r="AJ49" s="11" t="e">
        <f t="shared" si="13"/>
        <v>#REF!</v>
      </c>
    </row>
    <row r="50" spans="1:36" s="124" customFormat="1">
      <c r="A50" s="123"/>
      <c r="B50" s="123" t="s">
        <v>46</v>
      </c>
      <c r="C50" s="122" t="s">
        <v>99</v>
      </c>
      <c r="D50" s="118" t="s">
        <v>101</v>
      </c>
      <c r="E50" s="98"/>
      <c r="F50" s="99" t="e">
        <f>VLOOKUP(D50,#REF!,17,FALSE)</f>
        <v>#REF!</v>
      </c>
      <c r="G50" s="100"/>
      <c r="H50" s="100"/>
      <c r="I50" s="101"/>
      <c r="J50" s="102" t="e">
        <f t="shared" si="14"/>
        <v>#REF!</v>
      </c>
      <c r="K50" s="103"/>
      <c r="L50" s="104"/>
      <c r="M50" s="105"/>
      <c r="N50" s="103">
        <v>0</v>
      </c>
      <c r="O50" s="106"/>
      <c r="P50" s="103">
        <v>0</v>
      </c>
      <c r="Q50" s="107">
        <f t="shared" si="1"/>
        <v>0</v>
      </c>
      <c r="R50" s="108">
        <v>0</v>
      </c>
      <c r="S50" s="119"/>
      <c r="T50" s="110">
        <f t="shared" si="2"/>
        <v>0</v>
      </c>
      <c r="U50" s="103"/>
      <c r="V50" s="112">
        <f t="shared" si="3"/>
        <v>0</v>
      </c>
      <c r="W50" s="112">
        <f t="shared" si="4"/>
        <v>0</v>
      </c>
      <c r="X50" s="113">
        <f t="shared" si="5"/>
        <v>0</v>
      </c>
      <c r="Y50" s="113">
        <v>0</v>
      </c>
      <c r="Z50" s="114">
        <v>0</v>
      </c>
      <c r="AA50" s="11">
        <f t="shared" si="6"/>
        <v>0</v>
      </c>
      <c r="AB50" s="115">
        <f t="shared" si="7"/>
        <v>0</v>
      </c>
      <c r="AC50" s="115" t="e">
        <f t="shared" si="8"/>
        <v>#REF!</v>
      </c>
      <c r="AD50" s="115">
        <f t="shared" si="9"/>
        <v>0</v>
      </c>
      <c r="AE50" s="11"/>
      <c r="AF50" s="115">
        <f t="shared" si="10"/>
        <v>0</v>
      </c>
      <c r="AG50" s="115">
        <f t="shared" si="11"/>
        <v>0</v>
      </c>
      <c r="AH50" s="115">
        <f t="shared" si="12"/>
        <v>0</v>
      </c>
      <c r="AJ50" s="11" t="e">
        <f t="shared" si="13"/>
        <v>#REF!</v>
      </c>
    </row>
    <row r="51" spans="1:36" s="124" customFormat="1">
      <c r="A51" s="123"/>
      <c r="B51" s="123" t="s">
        <v>46</v>
      </c>
      <c r="C51" s="122" t="s">
        <v>99</v>
      </c>
      <c r="D51" s="118" t="s">
        <v>102</v>
      </c>
      <c r="E51" s="98"/>
      <c r="F51" s="99" t="e">
        <f>VLOOKUP(D51,#REF!,17,FALSE)</f>
        <v>#REF!</v>
      </c>
      <c r="G51" s="100"/>
      <c r="H51" s="100"/>
      <c r="I51" s="101"/>
      <c r="J51" s="102" t="e">
        <f t="shared" si="14"/>
        <v>#REF!</v>
      </c>
      <c r="K51" s="103"/>
      <c r="L51" s="104"/>
      <c r="M51" s="105"/>
      <c r="N51" s="103">
        <v>0</v>
      </c>
      <c r="O51" s="106"/>
      <c r="P51" s="103">
        <v>0</v>
      </c>
      <c r="Q51" s="107">
        <f t="shared" si="1"/>
        <v>0</v>
      </c>
      <c r="R51" s="108">
        <v>0</v>
      </c>
      <c r="S51" s="119"/>
      <c r="T51" s="110">
        <f t="shared" si="2"/>
        <v>0</v>
      </c>
      <c r="U51" s="103"/>
      <c r="V51" s="112">
        <f t="shared" si="3"/>
        <v>0</v>
      </c>
      <c r="W51" s="112">
        <f t="shared" si="4"/>
        <v>0</v>
      </c>
      <c r="X51" s="113">
        <f t="shared" si="5"/>
        <v>0</v>
      </c>
      <c r="Y51" s="113">
        <v>0</v>
      </c>
      <c r="Z51" s="114">
        <v>0</v>
      </c>
      <c r="AA51" s="11">
        <f t="shared" si="6"/>
        <v>0</v>
      </c>
      <c r="AB51" s="115">
        <f t="shared" si="7"/>
        <v>0</v>
      </c>
      <c r="AC51" s="115" t="e">
        <f t="shared" si="8"/>
        <v>#REF!</v>
      </c>
      <c r="AD51" s="115">
        <f t="shared" si="9"/>
        <v>0</v>
      </c>
      <c r="AE51" s="11"/>
      <c r="AF51" s="115">
        <f t="shared" si="10"/>
        <v>0</v>
      </c>
      <c r="AG51" s="115">
        <f t="shared" si="11"/>
        <v>0</v>
      </c>
      <c r="AH51" s="115">
        <f t="shared" si="12"/>
        <v>0</v>
      </c>
      <c r="AJ51" s="11" t="e">
        <f t="shared" si="13"/>
        <v>#REF!</v>
      </c>
    </row>
    <row r="52" spans="1:36">
      <c r="A52" s="116" t="s">
        <v>60</v>
      </c>
      <c r="B52" s="116" t="s">
        <v>46</v>
      </c>
      <c r="C52" s="122" t="s">
        <v>106</v>
      </c>
      <c r="D52" s="120" t="s">
        <v>107</v>
      </c>
      <c r="E52" s="98">
        <f>28595.05-4211.54+203.66</f>
        <v>24587.17</v>
      </c>
      <c r="F52" s="99" t="e">
        <f>VLOOKUP(D52,#REF!,17,FALSE)</f>
        <v>#REF!</v>
      </c>
      <c r="G52" s="100"/>
      <c r="H52" s="100"/>
      <c r="I52" s="101"/>
      <c r="J52" s="102" t="e">
        <f t="shared" si="14"/>
        <v>#REF!</v>
      </c>
      <c r="K52" s="103"/>
      <c r="L52" s="104"/>
      <c r="M52" s="105">
        <v>5000</v>
      </c>
      <c r="N52" s="103">
        <v>0</v>
      </c>
      <c r="O52" s="106"/>
      <c r="P52" s="103">
        <v>0</v>
      </c>
      <c r="Q52" s="107">
        <f t="shared" si="1"/>
        <v>5000</v>
      </c>
      <c r="R52" s="108">
        <v>0</v>
      </c>
      <c r="S52" s="119"/>
      <c r="T52" s="110">
        <f t="shared" si="2"/>
        <v>-5000</v>
      </c>
      <c r="U52" s="103"/>
      <c r="V52" s="112">
        <f t="shared" si="3"/>
        <v>0</v>
      </c>
      <c r="W52" s="112">
        <f t="shared" si="4"/>
        <v>5000</v>
      </c>
      <c r="X52" s="113">
        <f t="shared" si="5"/>
        <v>0</v>
      </c>
      <c r="Y52" s="113">
        <v>0</v>
      </c>
      <c r="Z52" s="114">
        <v>0</v>
      </c>
      <c r="AA52" s="11">
        <f t="shared" si="6"/>
        <v>0</v>
      </c>
      <c r="AB52" s="115">
        <f t="shared" si="7"/>
        <v>0</v>
      </c>
      <c r="AC52" s="115" t="e">
        <f t="shared" si="8"/>
        <v>#REF!</v>
      </c>
      <c r="AD52" s="115">
        <f t="shared" si="9"/>
        <v>0</v>
      </c>
      <c r="AE52" s="11"/>
      <c r="AF52" s="115">
        <f t="shared" si="10"/>
        <v>0</v>
      </c>
      <c r="AG52" s="115">
        <f t="shared" si="11"/>
        <v>5000</v>
      </c>
      <c r="AH52" s="115">
        <f t="shared" si="12"/>
        <v>0</v>
      </c>
      <c r="AJ52" s="11" t="e">
        <f t="shared" si="13"/>
        <v>#REF!</v>
      </c>
    </row>
    <row r="53" spans="1:36">
      <c r="A53" s="116" t="s">
        <v>60</v>
      </c>
      <c r="B53" s="116" t="s">
        <v>81</v>
      </c>
      <c r="C53" s="122"/>
      <c r="D53" s="120" t="s">
        <v>109</v>
      </c>
      <c r="E53" s="98"/>
      <c r="F53" s="99" t="e">
        <f>VLOOKUP(D53,#REF!,17,FALSE)</f>
        <v>#REF!</v>
      </c>
      <c r="G53" s="100"/>
      <c r="H53" s="100"/>
      <c r="I53" s="101"/>
      <c r="J53" s="102" t="e">
        <f t="shared" si="14"/>
        <v>#REF!</v>
      </c>
      <c r="K53" s="103"/>
      <c r="L53" s="104"/>
      <c r="M53" s="105"/>
      <c r="N53" s="103">
        <v>0</v>
      </c>
      <c r="O53" s="106"/>
      <c r="P53" s="103">
        <v>0</v>
      </c>
      <c r="Q53" s="107">
        <f t="shared" si="1"/>
        <v>0</v>
      </c>
      <c r="R53" s="108">
        <v>0</v>
      </c>
      <c r="S53" s="119"/>
      <c r="T53" s="110">
        <f t="shared" si="2"/>
        <v>0</v>
      </c>
      <c r="U53" s="103"/>
      <c r="V53" s="112">
        <f t="shared" si="3"/>
        <v>0</v>
      </c>
      <c r="W53" s="112">
        <f t="shared" si="4"/>
        <v>0</v>
      </c>
      <c r="X53" s="113">
        <f t="shared" si="5"/>
        <v>0</v>
      </c>
      <c r="Y53" s="113">
        <v>0</v>
      </c>
      <c r="Z53" s="114">
        <v>0</v>
      </c>
      <c r="AA53" s="11">
        <f t="shared" si="6"/>
        <v>0</v>
      </c>
      <c r="AB53" s="115">
        <f t="shared" si="7"/>
        <v>0</v>
      </c>
      <c r="AC53" s="115">
        <f t="shared" si="8"/>
        <v>0</v>
      </c>
      <c r="AD53" s="115" t="e">
        <f t="shared" si="9"/>
        <v>#REF!</v>
      </c>
      <c r="AE53" s="11"/>
      <c r="AF53" s="115">
        <f t="shared" si="10"/>
        <v>0</v>
      </c>
      <c r="AG53" s="115">
        <f t="shared" si="11"/>
        <v>0</v>
      </c>
      <c r="AH53" s="115">
        <f t="shared" si="12"/>
        <v>0</v>
      </c>
      <c r="AJ53" s="11" t="e">
        <f t="shared" si="13"/>
        <v>#REF!</v>
      </c>
    </row>
    <row r="54" spans="1:36">
      <c r="A54" s="116"/>
      <c r="B54" s="116" t="s">
        <v>46</v>
      </c>
      <c r="C54" s="122"/>
      <c r="D54" s="120" t="s">
        <v>111</v>
      </c>
      <c r="E54" s="98"/>
      <c r="F54" s="99" t="e">
        <f>VLOOKUP(D54,#REF!,17,FALSE)</f>
        <v>#REF!</v>
      </c>
      <c r="G54" s="100"/>
      <c r="H54" s="100"/>
      <c r="I54" s="101"/>
      <c r="J54" s="102" t="e">
        <f t="shared" si="14"/>
        <v>#REF!</v>
      </c>
      <c r="K54" s="103"/>
      <c r="L54" s="104"/>
      <c r="M54" s="105">
        <v>20000</v>
      </c>
      <c r="N54" s="103">
        <v>0</v>
      </c>
      <c r="O54" s="106"/>
      <c r="P54" s="103">
        <v>0</v>
      </c>
      <c r="Q54" s="107">
        <f t="shared" si="1"/>
        <v>20000</v>
      </c>
      <c r="R54" s="108">
        <v>36454.370000000003</v>
      </c>
      <c r="S54" s="119"/>
      <c r="T54" s="110">
        <f t="shared" si="2"/>
        <v>16454.370000000003</v>
      </c>
      <c r="U54" s="103"/>
      <c r="V54" s="112">
        <f t="shared" si="3"/>
        <v>0</v>
      </c>
      <c r="W54" s="112">
        <f t="shared" si="4"/>
        <v>20000</v>
      </c>
      <c r="X54" s="113">
        <f t="shared" si="5"/>
        <v>0</v>
      </c>
      <c r="Y54" s="113">
        <v>0</v>
      </c>
      <c r="Z54" s="114">
        <v>0</v>
      </c>
      <c r="AA54" s="11">
        <f t="shared" si="6"/>
        <v>0</v>
      </c>
      <c r="AB54" s="115">
        <f t="shared" si="7"/>
        <v>0</v>
      </c>
      <c r="AC54" s="115" t="e">
        <f t="shared" si="8"/>
        <v>#REF!</v>
      </c>
      <c r="AD54" s="115">
        <f t="shared" si="9"/>
        <v>0</v>
      </c>
      <c r="AE54" s="11"/>
      <c r="AF54" s="115">
        <f t="shared" si="10"/>
        <v>0</v>
      </c>
      <c r="AG54" s="115">
        <f t="shared" si="11"/>
        <v>20000</v>
      </c>
      <c r="AH54" s="115">
        <f t="shared" si="12"/>
        <v>0</v>
      </c>
      <c r="AJ54" s="11" t="e">
        <f t="shared" si="13"/>
        <v>#REF!</v>
      </c>
    </row>
    <row r="55" spans="1:36">
      <c r="A55" s="116"/>
      <c r="B55" s="116" t="s">
        <v>46</v>
      </c>
      <c r="C55" s="122"/>
      <c r="D55" s="120" t="s">
        <v>112</v>
      </c>
      <c r="F55" s="99" t="e">
        <f>VLOOKUP(D55,#REF!,17,FALSE)</f>
        <v>#REF!</v>
      </c>
      <c r="G55" s="100"/>
      <c r="H55" s="100"/>
      <c r="I55" s="101"/>
      <c r="J55" s="102" t="e">
        <f>SUM(F55:I55)</f>
        <v>#REF!</v>
      </c>
      <c r="K55" s="103"/>
      <c r="L55" s="104"/>
      <c r="M55" s="105"/>
      <c r="N55" s="103">
        <v>0</v>
      </c>
      <c r="O55" s="106"/>
      <c r="P55" s="103">
        <v>0</v>
      </c>
      <c r="Q55" s="107">
        <f t="shared" si="1"/>
        <v>0</v>
      </c>
      <c r="R55" s="108">
        <v>0</v>
      </c>
      <c r="S55" s="119"/>
      <c r="T55" s="110">
        <f t="shared" si="2"/>
        <v>0</v>
      </c>
      <c r="U55" s="103"/>
      <c r="V55" s="112">
        <f t="shared" si="3"/>
        <v>0</v>
      </c>
      <c r="W55" s="112">
        <f t="shared" si="4"/>
        <v>0</v>
      </c>
      <c r="X55" s="113">
        <f t="shared" si="5"/>
        <v>0</v>
      </c>
      <c r="Y55" s="113">
        <v>0</v>
      </c>
      <c r="Z55" s="114">
        <v>0</v>
      </c>
      <c r="AA55" s="11">
        <f t="shared" si="6"/>
        <v>0</v>
      </c>
      <c r="AB55" s="115">
        <f t="shared" si="7"/>
        <v>0</v>
      </c>
      <c r="AC55" s="115" t="e">
        <f t="shared" si="8"/>
        <v>#REF!</v>
      </c>
      <c r="AD55" s="115">
        <f t="shared" si="9"/>
        <v>0</v>
      </c>
      <c r="AE55" s="11"/>
      <c r="AF55" s="115">
        <f t="shared" si="10"/>
        <v>0</v>
      </c>
      <c r="AG55" s="115">
        <f t="shared" si="11"/>
        <v>0</v>
      </c>
      <c r="AH55" s="115">
        <f t="shared" si="12"/>
        <v>0</v>
      </c>
      <c r="AJ55" s="11" t="e">
        <f t="shared" si="13"/>
        <v>#REF!</v>
      </c>
    </row>
    <row r="56" spans="1:36">
      <c r="A56" s="116"/>
      <c r="B56" s="116" t="s">
        <v>81</v>
      </c>
      <c r="C56" s="122"/>
      <c r="D56" s="120" t="s">
        <v>113</v>
      </c>
      <c r="E56" s="98">
        <v>2667.07</v>
      </c>
      <c r="F56" s="99" t="e">
        <f>VLOOKUP(D56,#REF!,17,FALSE)</f>
        <v>#REF!</v>
      </c>
      <c r="G56" s="100"/>
      <c r="H56" s="100"/>
      <c r="I56" s="101"/>
      <c r="J56" s="102" t="e">
        <f t="shared" ref="J56:J119" si="15">SUM(E56:I56)</f>
        <v>#REF!</v>
      </c>
      <c r="K56" s="103"/>
      <c r="L56" s="104"/>
      <c r="M56" s="105"/>
      <c r="N56" s="103">
        <v>0</v>
      </c>
      <c r="O56" s="106"/>
      <c r="P56" s="103">
        <v>0</v>
      </c>
      <c r="Q56" s="107">
        <f t="shared" si="1"/>
        <v>0</v>
      </c>
      <c r="R56" s="108">
        <v>0</v>
      </c>
      <c r="S56" s="119"/>
      <c r="T56" s="110">
        <f t="shared" si="2"/>
        <v>0</v>
      </c>
      <c r="U56" s="103"/>
      <c r="V56" s="112">
        <f t="shared" si="3"/>
        <v>0</v>
      </c>
      <c r="W56" s="112">
        <f t="shared" si="4"/>
        <v>0</v>
      </c>
      <c r="X56" s="113">
        <f t="shared" si="5"/>
        <v>0</v>
      </c>
      <c r="Y56" s="113">
        <v>0</v>
      </c>
      <c r="Z56" s="114">
        <v>0</v>
      </c>
      <c r="AA56" s="11">
        <f t="shared" si="6"/>
        <v>0</v>
      </c>
      <c r="AB56" s="115">
        <f t="shared" si="7"/>
        <v>0</v>
      </c>
      <c r="AC56" s="115">
        <f t="shared" si="8"/>
        <v>0</v>
      </c>
      <c r="AD56" s="115" t="e">
        <f t="shared" si="9"/>
        <v>#REF!</v>
      </c>
      <c r="AE56" s="11"/>
      <c r="AF56" s="115">
        <f t="shared" si="10"/>
        <v>0</v>
      </c>
      <c r="AG56" s="115">
        <f t="shared" si="11"/>
        <v>0</v>
      </c>
      <c r="AH56" s="115">
        <f t="shared" si="12"/>
        <v>0</v>
      </c>
      <c r="AJ56" s="11" t="e">
        <f t="shared" si="13"/>
        <v>#REF!</v>
      </c>
    </row>
    <row r="57" spans="1:36">
      <c r="A57" s="129"/>
      <c r="B57" s="129" t="s">
        <v>49</v>
      </c>
      <c r="C57" s="96" t="s">
        <v>114</v>
      </c>
      <c r="D57" s="118" t="s">
        <v>115</v>
      </c>
      <c r="E57" s="98"/>
      <c r="F57" s="99" t="e">
        <f>VLOOKUP(D57,#REF!,17,FALSE)</f>
        <v>#REF!</v>
      </c>
      <c r="G57" s="100"/>
      <c r="H57" s="100"/>
      <c r="I57" s="101"/>
      <c r="J57" s="102" t="e">
        <f t="shared" si="15"/>
        <v>#REF!</v>
      </c>
      <c r="K57" s="103"/>
      <c r="L57" s="104"/>
      <c r="M57" s="105">
        <v>180000</v>
      </c>
      <c r="N57" s="103">
        <v>0</v>
      </c>
      <c r="O57" s="106"/>
      <c r="P57" s="103">
        <v>0</v>
      </c>
      <c r="Q57" s="107">
        <f t="shared" si="1"/>
        <v>180000</v>
      </c>
      <c r="R57" s="108">
        <v>0</v>
      </c>
      <c r="S57" s="119"/>
      <c r="T57" s="110">
        <f t="shared" si="2"/>
        <v>-180000</v>
      </c>
      <c r="U57" s="103"/>
      <c r="V57" s="112">
        <f t="shared" si="3"/>
        <v>180000</v>
      </c>
      <c r="W57" s="112">
        <f t="shared" si="4"/>
        <v>0</v>
      </c>
      <c r="X57" s="113">
        <f t="shared" si="5"/>
        <v>0</v>
      </c>
      <c r="Y57" s="113">
        <v>0</v>
      </c>
      <c r="Z57" s="114">
        <v>0</v>
      </c>
      <c r="AA57" s="11">
        <f t="shared" si="6"/>
        <v>0</v>
      </c>
      <c r="AB57" s="115" t="e">
        <f t="shared" si="7"/>
        <v>#REF!</v>
      </c>
      <c r="AC57" s="115">
        <f t="shared" si="8"/>
        <v>0</v>
      </c>
      <c r="AD57" s="115">
        <f t="shared" si="9"/>
        <v>0</v>
      </c>
      <c r="AE57" s="11"/>
      <c r="AF57" s="115">
        <f t="shared" si="10"/>
        <v>180000</v>
      </c>
      <c r="AG57" s="115">
        <f t="shared" si="11"/>
        <v>0</v>
      </c>
      <c r="AH57" s="115">
        <f t="shared" si="12"/>
        <v>0</v>
      </c>
      <c r="AJ57" s="11" t="e">
        <f t="shared" si="13"/>
        <v>#REF!</v>
      </c>
    </row>
    <row r="58" spans="1:36">
      <c r="A58" s="129"/>
      <c r="B58" s="129" t="s">
        <v>49</v>
      </c>
      <c r="C58" s="96" t="s">
        <v>114</v>
      </c>
      <c r="D58" s="118" t="s">
        <v>407</v>
      </c>
      <c r="E58" s="98"/>
      <c r="F58" s="99" t="e">
        <f>VLOOKUP(D58,#REF!,17,FALSE)</f>
        <v>#REF!</v>
      </c>
      <c r="G58" s="100"/>
      <c r="H58" s="100"/>
      <c r="I58" s="101"/>
      <c r="J58" s="102" t="e">
        <f t="shared" si="15"/>
        <v>#REF!</v>
      </c>
      <c r="K58" s="103"/>
      <c r="L58" s="104"/>
      <c r="M58" s="105"/>
      <c r="N58" s="103">
        <v>0</v>
      </c>
      <c r="O58" s="106"/>
      <c r="P58" s="103">
        <v>0</v>
      </c>
      <c r="Q58" s="107">
        <f t="shared" si="1"/>
        <v>0</v>
      </c>
      <c r="R58" s="108">
        <v>0</v>
      </c>
      <c r="S58" s="119"/>
      <c r="T58" s="110">
        <f t="shared" si="2"/>
        <v>0</v>
      </c>
      <c r="U58" s="103"/>
      <c r="V58" s="112">
        <f t="shared" si="3"/>
        <v>0</v>
      </c>
      <c r="W58" s="112">
        <f t="shared" si="4"/>
        <v>0</v>
      </c>
      <c r="X58" s="113">
        <f t="shared" si="5"/>
        <v>0</v>
      </c>
      <c r="Y58" s="113">
        <v>0</v>
      </c>
      <c r="Z58" s="114">
        <v>0</v>
      </c>
      <c r="AA58" s="11">
        <f t="shared" si="6"/>
        <v>0</v>
      </c>
      <c r="AB58" s="115" t="e">
        <f t="shared" si="7"/>
        <v>#REF!</v>
      </c>
      <c r="AC58" s="115">
        <f t="shared" si="8"/>
        <v>0</v>
      </c>
      <c r="AD58" s="115">
        <f t="shared" si="9"/>
        <v>0</v>
      </c>
      <c r="AE58" s="11"/>
      <c r="AF58" s="115">
        <f t="shared" si="10"/>
        <v>0</v>
      </c>
      <c r="AG58" s="115">
        <f t="shared" si="11"/>
        <v>0</v>
      </c>
      <c r="AH58" s="115">
        <f t="shared" si="12"/>
        <v>0</v>
      </c>
      <c r="AJ58" s="11" t="e">
        <f t="shared" si="13"/>
        <v>#REF!</v>
      </c>
    </row>
    <row r="59" spans="1:36">
      <c r="A59" s="129"/>
      <c r="B59" s="129" t="s">
        <v>49</v>
      </c>
      <c r="C59" s="96" t="s">
        <v>114</v>
      </c>
      <c r="D59" s="118" t="s">
        <v>408</v>
      </c>
      <c r="E59" s="98"/>
      <c r="F59" s="99" t="e">
        <f>VLOOKUP(D59,#REF!,17,FALSE)</f>
        <v>#REF!</v>
      </c>
      <c r="G59" s="100"/>
      <c r="H59" s="100"/>
      <c r="I59" s="101"/>
      <c r="J59" s="102" t="e">
        <f t="shared" si="15"/>
        <v>#REF!</v>
      </c>
      <c r="K59" s="103"/>
      <c r="L59" s="104"/>
      <c r="M59" s="105"/>
      <c r="N59" s="103">
        <v>0</v>
      </c>
      <c r="O59" s="106"/>
      <c r="P59" s="103">
        <v>0</v>
      </c>
      <c r="Q59" s="107">
        <f t="shared" si="1"/>
        <v>0</v>
      </c>
      <c r="R59" s="108">
        <v>0</v>
      </c>
      <c r="S59" s="119"/>
      <c r="T59" s="110">
        <f t="shared" si="2"/>
        <v>0</v>
      </c>
      <c r="U59" s="103"/>
      <c r="V59" s="112">
        <f t="shared" si="3"/>
        <v>0</v>
      </c>
      <c r="W59" s="112">
        <f t="shared" si="4"/>
        <v>0</v>
      </c>
      <c r="X59" s="113">
        <f t="shared" si="5"/>
        <v>0</v>
      </c>
      <c r="Y59" s="113">
        <v>0</v>
      </c>
      <c r="Z59" s="114">
        <v>0</v>
      </c>
      <c r="AA59" s="11">
        <f t="shared" si="6"/>
        <v>0</v>
      </c>
      <c r="AB59" s="115" t="e">
        <f t="shared" si="7"/>
        <v>#REF!</v>
      </c>
      <c r="AC59" s="115">
        <f t="shared" si="8"/>
        <v>0</v>
      </c>
      <c r="AD59" s="115">
        <f t="shared" si="9"/>
        <v>0</v>
      </c>
      <c r="AE59" s="11"/>
      <c r="AF59" s="115">
        <f t="shared" si="10"/>
        <v>0</v>
      </c>
      <c r="AG59" s="115">
        <f t="shared" si="11"/>
        <v>0</v>
      </c>
      <c r="AH59" s="115">
        <f t="shared" si="12"/>
        <v>0</v>
      </c>
      <c r="AJ59" s="11" t="e">
        <f t="shared" si="13"/>
        <v>#REF!</v>
      </c>
    </row>
    <row r="60" spans="1:36">
      <c r="A60" s="129"/>
      <c r="B60" s="129" t="s">
        <v>49</v>
      </c>
      <c r="C60" s="96" t="s">
        <v>114</v>
      </c>
      <c r="D60" s="118" t="s">
        <v>409</v>
      </c>
      <c r="E60" s="98"/>
      <c r="F60" s="99" t="e">
        <f>VLOOKUP(D60,#REF!,17,FALSE)</f>
        <v>#REF!</v>
      </c>
      <c r="G60" s="100"/>
      <c r="H60" s="100"/>
      <c r="I60" s="101"/>
      <c r="J60" s="102" t="e">
        <f t="shared" si="15"/>
        <v>#REF!</v>
      </c>
      <c r="K60" s="103"/>
      <c r="L60" s="104"/>
      <c r="M60" s="105"/>
      <c r="N60" s="103">
        <v>0</v>
      </c>
      <c r="O60" s="106"/>
      <c r="P60" s="103">
        <v>0</v>
      </c>
      <c r="Q60" s="107">
        <f t="shared" si="1"/>
        <v>0</v>
      </c>
      <c r="R60" s="108">
        <v>0</v>
      </c>
      <c r="S60" s="119"/>
      <c r="T60" s="110">
        <f t="shared" si="2"/>
        <v>0</v>
      </c>
      <c r="U60" s="103"/>
      <c r="V60" s="112">
        <f t="shared" si="3"/>
        <v>0</v>
      </c>
      <c r="W60" s="112">
        <f t="shared" si="4"/>
        <v>0</v>
      </c>
      <c r="X60" s="113">
        <f t="shared" si="5"/>
        <v>0</v>
      </c>
      <c r="Y60" s="113">
        <v>0</v>
      </c>
      <c r="Z60" s="114">
        <v>0</v>
      </c>
      <c r="AA60" s="11">
        <f t="shared" si="6"/>
        <v>0</v>
      </c>
      <c r="AB60" s="115" t="e">
        <f t="shared" si="7"/>
        <v>#REF!</v>
      </c>
      <c r="AC60" s="115">
        <f t="shared" si="8"/>
        <v>0</v>
      </c>
      <c r="AD60" s="115">
        <f t="shared" si="9"/>
        <v>0</v>
      </c>
      <c r="AE60" s="11"/>
      <c r="AF60" s="115">
        <f t="shared" si="10"/>
        <v>0</v>
      </c>
      <c r="AG60" s="115">
        <f t="shared" si="11"/>
        <v>0</v>
      </c>
      <c r="AH60" s="115">
        <f t="shared" si="12"/>
        <v>0</v>
      </c>
      <c r="AJ60" s="11" t="e">
        <f t="shared" si="13"/>
        <v>#REF!</v>
      </c>
    </row>
    <row r="61" spans="1:36">
      <c r="A61" s="129"/>
      <c r="B61" s="129" t="s">
        <v>49</v>
      </c>
      <c r="C61" s="96" t="s">
        <v>114</v>
      </c>
      <c r="D61" s="118" t="s">
        <v>410</v>
      </c>
      <c r="E61" s="98"/>
      <c r="F61" s="99" t="e">
        <f>VLOOKUP(D61,#REF!,17,FALSE)</f>
        <v>#REF!</v>
      </c>
      <c r="G61" s="100"/>
      <c r="H61" s="100"/>
      <c r="I61" s="101"/>
      <c r="J61" s="102" t="e">
        <f t="shared" si="15"/>
        <v>#REF!</v>
      </c>
      <c r="K61" s="103"/>
      <c r="L61" s="104"/>
      <c r="M61" s="105"/>
      <c r="N61" s="103">
        <v>0</v>
      </c>
      <c r="O61" s="106"/>
      <c r="P61" s="103">
        <v>0</v>
      </c>
      <c r="Q61" s="107">
        <f t="shared" si="1"/>
        <v>0</v>
      </c>
      <c r="R61" s="108">
        <v>0</v>
      </c>
      <c r="S61" s="119"/>
      <c r="T61" s="110">
        <f t="shared" si="2"/>
        <v>0</v>
      </c>
      <c r="U61" s="103"/>
      <c r="V61" s="112">
        <f t="shared" si="3"/>
        <v>0</v>
      </c>
      <c r="W61" s="112">
        <f t="shared" si="4"/>
        <v>0</v>
      </c>
      <c r="X61" s="113">
        <f t="shared" si="5"/>
        <v>0</v>
      </c>
      <c r="Y61" s="113">
        <v>0</v>
      </c>
      <c r="Z61" s="114">
        <v>0</v>
      </c>
      <c r="AA61" s="11">
        <f t="shared" si="6"/>
        <v>0</v>
      </c>
      <c r="AB61" s="115" t="e">
        <f t="shared" si="7"/>
        <v>#REF!</v>
      </c>
      <c r="AC61" s="115">
        <f t="shared" si="8"/>
        <v>0</v>
      </c>
      <c r="AD61" s="115">
        <f t="shared" si="9"/>
        <v>0</v>
      </c>
      <c r="AE61" s="11"/>
      <c r="AF61" s="115">
        <f t="shared" si="10"/>
        <v>0</v>
      </c>
      <c r="AG61" s="115">
        <f t="shared" si="11"/>
        <v>0</v>
      </c>
      <c r="AH61" s="115">
        <f t="shared" si="12"/>
        <v>0</v>
      </c>
      <c r="AJ61" s="11" t="e">
        <f t="shared" si="13"/>
        <v>#REF!</v>
      </c>
    </row>
    <row r="62" spans="1:36">
      <c r="A62" s="129"/>
      <c r="B62" s="129" t="s">
        <v>49</v>
      </c>
      <c r="C62" s="96" t="s">
        <v>114</v>
      </c>
      <c r="D62" s="118" t="s">
        <v>411</v>
      </c>
      <c r="E62" s="98"/>
      <c r="F62" s="99" t="e">
        <f>VLOOKUP(D62,#REF!,17,FALSE)</f>
        <v>#REF!</v>
      </c>
      <c r="G62" s="100"/>
      <c r="H62" s="100"/>
      <c r="I62" s="101"/>
      <c r="J62" s="102" t="e">
        <f t="shared" si="15"/>
        <v>#REF!</v>
      </c>
      <c r="K62" s="103"/>
      <c r="L62" s="104"/>
      <c r="M62" s="105"/>
      <c r="N62" s="103"/>
      <c r="O62" s="106"/>
      <c r="P62" s="103"/>
      <c r="Q62" s="107">
        <f t="shared" si="1"/>
        <v>0</v>
      </c>
      <c r="R62" s="108">
        <v>0</v>
      </c>
      <c r="S62" s="119"/>
      <c r="T62" s="110">
        <f t="shared" si="2"/>
        <v>0</v>
      </c>
      <c r="U62" s="103"/>
      <c r="V62" s="112">
        <f t="shared" si="3"/>
        <v>0</v>
      </c>
      <c r="W62" s="112">
        <f t="shared" si="4"/>
        <v>0</v>
      </c>
      <c r="X62" s="113">
        <f t="shared" si="5"/>
        <v>0</v>
      </c>
      <c r="Y62" s="113">
        <v>0</v>
      </c>
      <c r="Z62" s="114">
        <v>0</v>
      </c>
      <c r="AA62" s="11">
        <f t="shared" si="6"/>
        <v>0</v>
      </c>
      <c r="AB62" s="115" t="e">
        <f t="shared" si="7"/>
        <v>#REF!</v>
      </c>
      <c r="AC62" s="115">
        <f t="shared" si="8"/>
        <v>0</v>
      </c>
      <c r="AD62" s="115">
        <f t="shared" si="9"/>
        <v>0</v>
      </c>
      <c r="AE62" s="11"/>
      <c r="AF62" s="115">
        <f t="shared" si="10"/>
        <v>0</v>
      </c>
      <c r="AG62" s="115">
        <f t="shared" si="11"/>
        <v>0</v>
      </c>
      <c r="AH62" s="115">
        <f t="shared" si="12"/>
        <v>0</v>
      </c>
      <c r="AJ62" s="11" t="e">
        <f t="shared" si="13"/>
        <v>#REF!</v>
      </c>
    </row>
    <row r="63" spans="1:36">
      <c r="A63" s="129"/>
      <c r="B63" s="129" t="s">
        <v>49</v>
      </c>
      <c r="C63" s="96"/>
      <c r="D63" s="97" t="s">
        <v>412</v>
      </c>
      <c r="E63" s="98"/>
      <c r="F63" s="99" t="e">
        <f>VLOOKUP(D63,#REF!,17,FALSE)</f>
        <v>#REF!</v>
      </c>
      <c r="G63" s="100"/>
      <c r="H63" s="100"/>
      <c r="I63" s="101"/>
      <c r="J63" s="102" t="e">
        <f t="shared" si="15"/>
        <v>#REF!</v>
      </c>
      <c r="K63" s="103"/>
      <c r="L63" s="104"/>
      <c r="M63" s="105"/>
      <c r="N63" s="103"/>
      <c r="O63" s="106"/>
      <c r="P63" s="103"/>
      <c r="Q63" s="107">
        <f t="shared" si="1"/>
        <v>0</v>
      </c>
      <c r="R63" s="108">
        <v>0</v>
      </c>
      <c r="S63" s="119"/>
      <c r="T63" s="110">
        <f t="shared" si="2"/>
        <v>0</v>
      </c>
      <c r="U63" s="103"/>
      <c r="V63" s="112">
        <f t="shared" si="3"/>
        <v>0</v>
      </c>
      <c r="W63" s="112">
        <f t="shared" si="4"/>
        <v>0</v>
      </c>
      <c r="X63" s="113">
        <f t="shared" si="5"/>
        <v>0</v>
      </c>
      <c r="Y63" s="113">
        <v>0</v>
      </c>
      <c r="Z63" s="114">
        <v>0</v>
      </c>
      <c r="AA63" s="11">
        <f t="shared" si="6"/>
        <v>0</v>
      </c>
      <c r="AB63" s="115" t="e">
        <f t="shared" si="7"/>
        <v>#REF!</v>
      </c>
      <c r="AC63" s="115">
        <f t="shared" si="8"/>
        <v>0</v>
      </c>
      <c r="AD63" s="115">
        <f t="shared" si="9"/>
        <v>0</v>
      </c>
      <c r="AE63" s="11"/>
      <c r="AF63" s="115">
        <f t="shared" si="10"/>
        <v>0</v>
      </c>
      <c r="AG63" s="115">
        <f t="shared" si="11"/>
        <v>0</v>
      </c>
      <c r="AH63" s="115">
        <f t="shared" si="12"/>
        <v>0</v>
      </c>
      <c r="AJ63" s="11" t="e">
        <f t="shared" si="13"/>
        <v>#REF!</v>
      </c>
    </row>
    <row r="64" spans="1:36">
      <c r="A64" s="116"/>
      <c r="B64" s="116" t="s">
        <v>49</v>
      </c>
      <c r="C64" s="122" t="s">
        <v>116</v>
      </c>
      <c r="D64" s="120" t="s">
        <v>117</v>
      </c>
      <c r="E64" s="98">
        <v>1438.16</v>
      </c>
      <c r="F64" s="99" t="e">
        <f>VLOOKUP(D64,#REF!,17,FALSE)</f>
        <v>#REF!</v>
      </c>
      <c r="G64" s="100"/>
      <c r="H64" s="100"/>
      <c r="I64" s="101"/>
      <c r="J64" s="102" t="e">
        <f t="shared" si="15"/>
        <v>#REF!</v>
      </c>
      <c r="K64" s="103"/>
      <c r="L64" s="104"/>
      <c r="M64" s="105"/>
      <c r="N64" s="103">
        <v>0</v>
      </c>
      <c r="O64" s="106"/>
      <c r="P64" s="103">
        <v>0</v>
      </c>
      <c r="Q64" s="107">
        <f t="shared" si="1"/>
        <v>0</v>
      </c>
      <c r="R64" s="108">
        <v>0</v>
      </c>
      <c r="S64" s="119"/>
      <c r="T64" s="110">
        <f t="shared" si="2"/>
        <v>0</v>
      </c>
      <c r="U64" s="103"/>
      <c r="V64" s="112">
        <f t="shared" si="3"/>
        <v>0</v>
      </c>
      <c r="W64" s="112">
        <f t="shared" si="4"/>
        <v>0</v>
      </c>
      <c r="X64" s="113">
        <f t="shared" si="5"/>
        <v>0</v>
      </c>
      <c r="Y64" s="113">
        <v>0</v>
      </c>
      <c r="Z64" s="114">
        <v>0</v>
      </c>
      <c r="AA64" s="11">
        <f t="shared" si="6"/>
        <v>0</v>
      </c>
      <c r="AB64" s="115" t="e">
        <f t="shared" si="7"/>
        <v>#REF!</v>
      </c>
      <c r="AC64" s="115">
        <f t="shared" si="8"/>
        <v>0</v>
      </c>
      <c r="AD64" s="115">
        <f t="shared" si="9"/>
        <v>0</v>
      </c>
      <c r="AE64" s="11"/>
      <c r="AF64" s="115">
        <f t="shared" si="10"/>
        <v>0</v>
      </c>
      <c r="AG64" s="115">
        <f t="shared" si="11"/>
        <v>0</v>
      </c>
      <c r="AH64" s="115">
        <f t="shared" si="12"/>
        <v>0</v>
      </c>
      <c r="AJ64" s="11" t="e">
        <f t="shared" si="13"/>
        <v>#REF!</v>
      </c>
    </row>
    <row r="65" spans="1:36">
      <c r="A65" s="129" t="s">
        <v>46</v>
      </c>
      <c r="B65" s="129" t="s">
        <v>49</v>
      </c>
      <c r="C65" s="96"/>
      <c r="D65" s="120" t="s">
        <v>121</v>
      </c>
      <c r="E65" s="98"/>
      <c r="F65" s="99" t="e">
        <f>VLOOKUP(D65,#REF!,17,FALSE)</f>
        <v>#REF!</v>
      </c>
      <c r="G65" s="100"/>
      <c r="H65" s="100"/>
      <c r="I65" s="101"/>
      <c r="J65" s="102" t="e">
        <f t="shared" si="15"/>
        <v>#REF!</v>
      </c>
      <c r="K65" s="103"/>
      <c r="L65" s="104"/>
      <c r="M65" s="105"/>
      <c r="N65" s="103">
        <v>0</v>
      </c>
      <c r="O65" s="106"/>
      <c r="P65" s="103">
        <v>0</v>
      </c>
      <c r="Q65" s="107">
        <f t="shared" si="1"/>
        <v>0</v>
      </c>
      <c r="R65" s="108">
        <v>0</v>
      </c>
      <c r="S65" s="119"/>
      <c r="T65" s="110">
        <f t="shared" si="2"/>
        <v>0</v>
      </c>
      <c r="U65" s="103"/>
      <c r="V65" s="112">
        <f t="shared" si="3"/>
        <v>0</v>
      </c>
      <c r="W65" s="112">
        <f t="shared" si="4"/>
        <v>0</v>
      </c>
      <c r="X65" s="113">
        <f t="shared" si="5"/>
        <v>0</v>
      </c>
      <c r="Y65" s="113">
        <v>0</v>
      </c>
      <c r="Z65" s="114">
        <v>0</v>
      </c>
      <c r="AA65" s="11">
        <f t="shared" si="6"/>
        <v>0</v>
      </c>
      <c r="AB65" s="115" t="e">
        <f t="shared" si="7"/>
        <v>#REF!</v>
      </c>
      <c r="AC65" s="115">
        <f t="shared" si="8"/>
        <v>0</v>
      </c>
      <c r="AD65" s="115">
        <f t="shared" si="9"/>
        <v>0</v>
      </c>
      <c r="AE65" s="11"/>
      <c r="AF65" s="115">
        <f t="shared" si="10"/>
        <v>0</v>
      </c>
      <c r="AG65" s="115">
        <f t="shared" si="11"/>
        <v>0</v>
      </c>
      <c r="AH65" s="115">
        <f t="shared" si="12"/>
        <v>0</v>
      </c>
      <c r="AJ65" s="11" t="e">
        <f t="shared" si="13"/>
        <v>#REF!</v>
      </c>
    </row>
    <row r="66" spans="1:36">
      <c r="A66" s="129"/>
      <c r="B66" s="129" t="s">
        <v>49</v>
      </c>
      <c r="C66" s="96"/>
      <c r="D66" s="120" t="s">
        <v>122</v>
      </c>
      <c r="E66" s="98"/>
      <c r="F66" s="99" t="e">
        <f>VLOOKUP(D66,#REF!,17,FALSE)</f>
        <v>#REF!</v>
      </c>
      <c r="G66" s="100"/>
      <c r="H66" s="100"/>
      <c r="I66" s="101"/>
      <c r="J66" s="102" t="e">
        <f t="shared" si="15"/>
        <v>#REF!</v>
      </c>
      <c r="K66" s="103"/>
      <c r="L66" s="104"/>
      <c r="M66" s="105"/>
      <c r="N66" s="103">
        <v>0</v>
      </c>
      <c r="O66" s="106"/>
      <c r="P66" s="103">
        <v>0</v>
      </c>
      <c r="Q66" s="107">
        <f t="shared" si="1"/>
        <v>0</v>
      </c>
      <c r="R66" s="108">
        <v>0</v>
      </c>
      <c r="S66" s="119"/>
      <c r="T66" s="110">
        <f t="shared" si="2"/>
        <v>0</v>
      </c>
      <c r="U66" s="103"/>
      <c r="V66" s="112">
        <f t="shared" si="3"/>
        <v>0</v>
      </c>
      <c r="W66" s="112">
        <f t="shared" si="4"/>
        <v>0</v>
      </c>
      <c r="X66" s="113">
        <f t="shared" si="5"/>
        <v>0</v>
      </c>
      <c r="Y66" s="113">
        <v>0</v>
      </c>
      <c r="Z66" s="114">
        <v>0</v>
      </c>
      <c r="AA66" s="11">
        <f t="shared" si="6"/>
        <v>0</v>
      </c>
      <c r="AB66" s="115" t="e">
        <f t="shared" si="7"/>
        <v>#REF!</v>
      </c>
      <c r="AC66" s="115">
        <f t="shared" si="8"/>
        <v>0</v>
      </c>
      <c r="AD66" s="115">
        <f t="shared" si="9"/>
        <v>0</v>
      </c>
      <c r="AE66" s="11"/>
      <c r="AF66" s="115">
        <f t="shared" si="10"/>
        <v>0</v>
      </c>
      <c r="AG66" s="115">
        <f t="shared" si="11"/>
        <v>0</v>
      </c>
      <c r="AH66" s="115">
        <f t="shared" si="12"/>
        <v>0</v>
      </c>
      <c r="AJ66" s="11" t="e">
        <f t="shared" si="13"/>
        <v>#REF!</v>
      </c>
    </row>
    <row r="67" spans="1:36">
      <c r="A67" s="129"/>
      <c r="B67" s="129" t="s">
        <v>49</v>
      </c>
      <c r="C67" s="96" t="s">
        <v>413</v>
      </c>
      <c r="D67" s="120" t="s">
        <v>414</v>
      </c>
      <c r="E67" s="98"/>
      <c r="F67" s="99" t="e">
        <f>VLOOKUP(D67,#REF!,17,FALSE)</f>
        <v>#REF!</v>
      </c>
      <c r="G67" s="100"/>
      <c r="H67" s="100"/>
      <c r="I67" s="101"/>
      <c r="J67" s="102" t="e">
        <f t="shared" si="15"/>
        <v>#REF!</v>
      </c>
      <c r="K67" s="103"/>
      <c r="L67" s="104"/>
      <c r="M67" s="105"/>
      <c r="N67" s="103">
        <v>0</v>
      </c>
      <c r="O67" s="106"/>
      <c r="P67" s="103">
        <v>0</v>
      </c>
      <c r="Q67" s="107">
        <f t="shared" si="1"/>
        <v>0</v>
      </c>
      <c r="R67" s="108">
        <v>0</v>
      </c>
      <c r="S67" s="119"/>
      <c r="T67" s="110">
        <f t="shared" si="2"/>
        <v>0</v>
      </c>
      <c r="U67" s="103"/>
      <c r="V67" s="112">
        <f t="shared" si="3"/>
        <v>0</v>
      </c>
      <c r="W67" s="112">
        <f t="shared" si="4"/>
        <v>0</v>
      </c>
      <c r="X67" s="113">
        <f t="shared" si="5"/>
        <v>0</v>
      </c>
      <c r="Y67" s="113">
        <v>0</v>
      </c>
      <c r="Z67" s="114">
        <v>0</v>
      </c>
      <c r="AA67" s="11">
        <f t="shared" si="6"/>
        <v>0</v>
      </c>
      <c r="AB67" s="115" t="e">
        <f t="shared" si="7"/>
        <v>#REF!</v>
      </c>
      <c r="AC67" s="115">
        <f t="shared" si="8"/>
        <v>0</v>
      </c>
      <c r="AD67" s="115">
        <f t="shared" si="9"/>
        <v>0</v>
      </c>
      <c r="AE67" s="11"/>
      <c r="AF67" s="115">
        <f t="shared" si="10"/>
        <v>0</v>
      </c>
      <c r="AG67" s="115">
        <f t="shared" si="11"/>
        <v>0</v>
      </c>
      <c r="AH67" s="115">
        <f t="shared" si="12"/>
        <v>0</v>
      </c>
      <c r="AJ67" s="11" t="e">
        <f t="shared" si="13"/>
        <v>#REF!</v>
      </c>
    </row>
    <row r="68" spans="1:36" s="124" customFormat="1">
      <c r="A68" s="123" t="s">
        <v>60</v>
      </c>
      <c r="B68" s="123" t="s">
        <v>49</v>
      </c>
      <c r="C68" s="122" t="s">
        <v>124</v>
      </c>
      <c r="D68" s="118" t="s">
        <v>125</v>
      </c>
      <c r="E68" s="98"/>
      <c r="F68" s="99" t="e">
        <f>VLOOKUP(D68,#REF!,17,FALSE)</f>
        <v>#REF!</v>
      </c>
      <c r="G68" s="100"/>
      <c r="H68" s="100"/>
      <c r="I68" s="101"/>
      <c r="J68" s="102" t="e">
        <f t="shared" si="15"/>
        <v>#REF!</v>
      </c>
      <c r="K68" s="103"/>
      <c r="L68" s="104"/>
      <c r="M68" s="105">
        <v>300000</v>
      </c>
      <c r="N68" s="103">
        <v>0</v>
      </c>
      <c r="O68" s="106"/>
      <c r="P68" s="103">
        <v>0</v>
      </c>
      <c r="Q68" s="107">
        <f t="shared" si="1"/>
        <v>300000</v>
      </c>
      <c r="R68" s="108">
        <v>214812.92</v>
      </c>
      <c r="S68" s="119"/>
      <c r="T68" s="110">
        <f t="shared" si="2"/>
        <v>-85187.079999999987</v>
      </c>
      <c r="U68" s="103"/>
      <c r="V68" s="112">
        <f t="shared" si="3"/>
        <v>300000</v>
      </c>
      <c r="W68" s="112">
        <f t="shared" si="4"/>
        <v>0</v>
      </c>
      <c r="X68" s="113">
        <f t="shared" si="5"/>
        <v>0</v>
      </c>
      <c r="Y68" s="113">
        <v>0</v>
      </c>
      <c r="Z68" s="114">
        <v>0</v>
      </c>
      <c r="AA68" s="11">
        <f t="shared" si="6"/>
        <v>0</v>
      </c>
      <c r="AB68" s="115" t="e">
        <f t="shared" si="7"/>
        <v>#REF!</v>
      </c>
      <c r="AC68" s="115">
        <f t="shared" si="8"/>
        <v>0</v>
      </c>
      <c r="AD68" s="115">
        <f t="shared" si="9"/>
        <v>0</v>
      </c>
      <c r="AE68" s="11"/>
      <c r="AF68" s="115">
        <f t="shared" si="10"/>
        <v>300000</v>
      </c>
      <c r="AG68" s="115">
        <f t="shared" si="11"/>
        <v>0</v>
      </c>
      <c r="AH68" s="115">
        <f t="shared" si="12"/>
        <v>0</v>
      </c>
      <c r="AJ68" s="11" t="e">
        <f t="shared" si="13"/>
        <v>#REF!</v>
      </c>
    </row>
    <row r="69" spans="1:36" s="124" customFormat="1">
      <c r="A69" s="123" t="s">
        <v>60</v>
      </c>
      <c r="B69" s="123" t="s">
        <v>49</v>
      </c>
      <c r="C69" s="122" t="s">
        <v>124</v>
      </c>
      <c r="D69" s="118" t="s">
        <v>126</v>
      </c>
      <c r="E69" s="98"/>
      <c r="F69" s="99" t="e">
        <f>VLOOKUP(D69,#REF!,17,FALSE)</f>
        <v>#REF!</v>
      </c>
      <c r="G69" s="100"/>
      <c r="H69" s="100"/>
      <c r="I69" s="101"/>
      <c r="J69" s="102" t="e">
        <f t="shared" si="15"/>
        <v>#REF!</v>
      </c>
      <c r="K69" s="103"/>
      <c r="L69" s="104"/>
      <c r="M69" s="105"/>
      <c r="N69" s="103">
        <v>0</v>
      </c>
      <c r="O69" s="106"/>
      <c r="P69" s="103">
        <v>0</v>
      </c>
      <c r="Q69" s="107">
        <f t="shared" si="1"/>
        <v>0</v>
      </c>
      <c r="R69" s="108">
        <v>633.1</v>
      </c>
      <c r="S69" s="119"/>
      <c r="T69" s="110">
        <f t="shared" si="2"/>
        <v>633.1</v>
      </c>
      <c r="U69" s="103"/>
      <c r="V69" s="112">
        <f t="shared" si="3"/>
        <v>0</v>
      </c>
      <c r="W69" s="112">
        <f t="shared" si="4"/>
        <v>0</v>
      </c>
      <c r="X69" s="113">
        <f t="shared" si="5"/>
        <v>0</v>
      </c>
      <c r="Y69" s="113">
        <v>0</v>
      </c>
      <c r="Z69" s="114">
        <v>0</v>
      </c>
      <c r="AA69" s="11">
        <f t="shared" si="6"/>
        <v>0</v>
      </c>
      <c r="AB69" s="115" t="e">
        <f t="shared" si="7"/>
        <v>#REF!</v>
      </c>
      <c r="AC69" s="115">
        <f t="shared" si="8"/>
        <v>0</v>
      </c>
      <c r="AD69" s="115">
        <f t="shared" si="9"/>
        <v>0</v>
      </c>
      <c r="AE69" s="11"/>
      <c r="AF69" s="115">
        <f t="shared" si="10"/>
        <v>0</v>
      </c>
      <c r="AG69" s="115">
        <f t="shared" si="11"/>
        <v>0</v>
      </c>
      <c r="AH69" s="115">
        <f t="shared" si="12"/>
        <v>0</v>
      </c>
      <c r="AJ69" s="11" t="e">
        <f t="shared" si="13"/>
        <v>#REF!</v>
      </c>
    </row>
    <row r="70" spans="1:36" s="124" customFormat="1">
      <c r="A70" s="123" t="s">
        <v>60</v>
      </c>
      <c r="B70" s="123" t="s">
        <v>49</v>
      </c>
      <c r="C70" s="122" t="s">
        <v>124</v>
      </c>
      <c r="D70" s="118" t="s">
        <v>127</v>
      </c>
      <c r="E70" s="98"/>
      <c r="F70" s="99" t="e">
        <f>VLOOKUP(D70,#REF!,17,FALSE)</f>
        <v>#REF!</v>
      </c>
      <c r="G70" s="100"/>
      <c r="H70" s="100"/>
      <c r="I70" s="101"/>
      <c r="J70" s="102" t="e">
        <f t="shared" si="15"/>
        <v>#REF!</v>
      </c>
      <c r="K70" s="103"/>
      <c r="L70" s="104"/>
      <c r="M70" s="105"/>
      <c r="N70" s="103">
        <v>0</v>
      </c>
      <c r="O70" s="106"/>
      <c r="P70" s="103">
        <v>0</v>
      </c>
      <c r="Q70" s="107">
        <f t="shared" si="1"/>
        <v>0</v>
      </c>
      <c r="R70" s="108">
        <v>57637.49</v>
      </c>
      <c r="S70" s="119"/>
      <c r="T70" s="110">
        <f t="shared" si="2"/>
        <v>57637.49</v>
      </c>
      <c r="U70" s="103"/>
      <c r="V70" s="112">
        <f t="shared" si="3"/>
        <v>0</v>
      </c>
      <c r="W70" s="112">
        <f t="shared" si="4"/>
        <v>0</v>
      </c>
      <c r="X70" s="113">
        <f t="shared" si="5"/>
        <v>0</v>
      </c>
      <c r="Y70" s="113">
        <v>0</v>
      </c>
      <c r="Z70" s="114">
        <v>0</v>
      </c>
      <c r="AA70" s="11">
        <f t="shared" si="6"/>
        <v>0</v>
      </c>
      <c r="AB70" s="115" t="e">
        <f t="shared" si="7"/>
        <v>#REF!</v>
      </c>
      <c r="AC70" s="115">
        <f t="shared" si="8"/>
        <v>0</v>
      </c>
      <c r="AD70" s="115">
        <f t="shared" si="9"/>
        <v>0</v>
      </c>
      <c r="AE70" s="11"/>
      <c r="AF70" s="115">
        <f t="shared" si="10"/>
        <v>0</v>
      </c>
      <c r="AG70" s="115">
        <f t="shared" si="11"/>
        <v>0</v>
      </c>
      <c r="AH70" s="115">
        <f t="shared" si="12"/>
        <v>0</v>
      </c>
      <c r="AJ70" s="11" t="e">
        <f t="shared" si="13"/>
        <v>#REF!</v>
      </c>
    </row>
    <row r="71" spans="1:36" s="124" customFormat="1">
      <c r="A71" s="123" t="s">
        <v>60</v>
      </c>
      <c r="B71" s="123" t="s">
        <v>49</v>
      </c>
      <c r="C71" s="122" t="s">
        <v>124</v>
      </c>
      <c r="D71" s="118" t="s">
        <v>128</v>
      </c>
      <c r="E71" s="98"/>
      <c r="F71" s="99" t="e">
        <f>VLOOKUP(D71,#REF!,17,FALSE)</f>
        <v>#REF!</v>
      </c>
      <c r="G71" s="100"/>
      <c r="H71" s="100"/>
      <c r="I71" s="101"/>
      <c r="J71" s="102" t="e">
        <f t="shared" si="15"/>
        <v>#REF!</v>
      </c>
      <c r="K71" s="103"/>
      <c r="L71" s="104"/>
      <c r="M71" s="105"/>
      <c r="N71" s="103">
        <v>0</v>
      </c>
      <c r="O71" s="106"/>
      <c r="P71" s="103">
        <v>0</v>
      </c>
      <c r="Q71" s="107">
        <f t="shared" si="1"/>
        <v>0</v>
      </c>
      <c r="R71" s="108">
        <v>7</v>
      </c>
      <c r="S71" s="119"/>
      <c r="T71" s="110">
        <f t="shared" si="2"/>
        <v>7</v>
      </c>
      <c r="U71" s="103"/>
      <c r="V71" s="112">
        <f t="shared" si="3"/>
        <v>0</v>
      </c>
      <c r="W71" s="112">
        <f t="shared" si="4"/>
        <v>0</v>
      </c>
      <c r="X71" s="113">
        <f t="shared" si="5"/>
        <v>0</v>
      </c>
      <c r="Y71" s="113">
        <v>0</v>
      </c>
      <c r="Z71" s="114">
        <v>0</v>
      </c>
      <c r="AA71" s="11">
        <f t="shared" si="6"/>
        <v>0</v>
      </c>
      <c r="AB71" s="115" t="e">
        <f t="shared" si="7"/>
        <v>#REF!</v>
      </c>
      <c r="AC71" s="115">
        <f t="shared" si="8"/>
        <v>0</v>
      </c>
      <c r="AD71" s="115">
        <f t="shared" si="9"/>
        <v>0</v>
      </c>
      <c r="AE71" s="11"/>
      <c r="AF71" s="115">
        <f t="shared" si="10"/>
        <v>0</v>
      </c>
      <c r="AG71" s="115">
        <f t="shared" si="11"/>
        <v>0</v>
      </c>
      <c r="AH71" s="115">
        <f t="shared" si="12"/>
        <v>0</v>
      </c>
      <c r="AJ71" s="11" t="e">
        <f t="shared" si="13"/>
        <v>#REF!</v>
      </c>
    </row>
    <row r="72" spans="1:36" s="124" customFormat="1">
      <c r="A72" s="123" t="s">
        <v>60</v>
      </c>
      <c r="B72" s="123" t="s">
        <v>49</v>
      </c>
      <c r="C72" s="122" t="s">
        <v>124</v>
      </c>
      <c r="D72" s="118" t="s">
        <v>129</v>
      </c>
      <c r="E72" s="98"/>
      <c r="F72" s="99" t="e">
        <f>VLOOKUP(D72,#REF!,17,FALSE)</f>
        <v>#REF!</v>
      </c>
      <c r="G72" s="100"/>
      <c r="H72" s="100"/>
      <c r="I72" s="101"/>
      <c r="J72" s="102" t="e">
        <f t="shared" si="15"/>
        <v>#REF!</v>
      </c>
      <c r="K72" s="103"/>
      <c r="L72" s="104"/>
      <c r="M72" s="105"/>
      <c r="N72" s="103">
        <v>0</v>
      </c>
      <c r="O72" s="106"/>
      <c r="P72" s="103">
        <v>0</v>
      </c>
      <c r="Q72" s="107">
        <f t="shared" si="1"/>
        <v>0</v>
      </c>
      <c r="R72" s="108">
        <v>23722</v>
      </c>
      <c r="S72" s="119"/>
      <c r="T72" s="110">
        <f t="shared" si="2"/>
        <v>23722</v>
      </c>
      <c r="U72" s="103"/>
      <c r="V72" s="112">
        <f t="shared" si="3"/>
        <v>0</v>
      </c>
      <c r="W72" s="112">
        <f t="shared" si="4"/>
        <v>0</v>
      </c>
      <c r="X72" s="113">
        <f t="shared" si="5"/>
        <v>0</v>
      </c>
      <c r="Y72" s="113">
        <v>0</v>
      </c>
      <c r="Z72" s="114">
        <v>0</v>
      </c>
      <c r="AA72" s="11">
        <f t="shared" si="6"/>
        <v>0</v>
      </c>
      <c r="AB72" s="115" t="e">
        <f t="shared" si="7"/>
        <v>#REF!</v>
      </c>
      <c r="AC72" s="115">
        <f t="shared" si="8"/>
        <v>0</v>
      </c>
      <c r="AD72" s="115">
        <f t="shared" si="9"/>
        <v>0</v>
      </c>
      <c r="AE72" s="11"/>
      <c r="AF72" s="115">
        <f t="shared" si="10"/>
        <v>0</v>
      </c>
      <c r="AG72" s="115">
        <f t="shared" si="11"/>
        <v>0</v>
      </c>
      <c r="AH72" s="115">
        <f t="shared" si="12"/>
        <v>0</v>
      </c>
      <c r="AJ72" s="11" t="e">
        <f t="shared" si="13"/>
        <v>#REF!</v>
      </c>
    </row>
    <row r="73" spans="1:36" s="124" customFormat="1">
      <c r="A73" s="123" t="s">
        <v>60</v>
      </c>
      <c r="B73" s="123" t="s">
        <v>49</v>
      </c>
      <c r="C73" s="122" t="s">
        <v>124</v>
      </c>
      <c r="D73" s="118" t="s">
        <v>130</v>
      </c>
      <c r="E73" s="98"/>
      <c r="F73" s="99" t="e">
        <f>VLOOKUP(D73,#REF!,17,FALSE)</f>
        <v>#REF!</v>
      </c>
      <c r="G73" s="100"/>
      <c r="H73" s="100"/>
      <c r="I73" s="101"/>
      <c r="J73" s="102" t="e">
        <f t="shared" si="15"/>
        <v>#REF!</v>
      </c>
      <c r="K73" s="103"/>
      <c r="L73" s="104"/>
      <c r="M73" s="105"/>
      <c r="N73" s="103">
        <v>0</v>
      </c>
      <c r="O73" s="106"/>
      <c r="P73" s="103">
        <v>0</v>
      </c>
      <c r="Q73" s="107">
        <f t="shared" si="1"/>
        <v>0</v>
      </c>
      <c r="R73" s="108">
        <v>2.86</v>
      </c>
      <c r="S73" s="119"/>
      <c r="T73" s="110">
        <f t="shared" si="2"/>
        <v>2.86</v>
      </c>
      <c r="U73" s="103"/>
      <c r="V73" s="112">
        <f t="shared" si="3"/>
        <v>0</v>
      </c>
      <c r="W73" s="112">
        <f t="shared" si="4"/>
        <v>0</v>
      </c>
      <c r="X73" s="113">
        <f t="shared" si="5"/>
        <v>0</v>
      </c>
      <c r="Y73" s="113">
        <v>0</v>
      </c>
      <c r="Z73" s="114">
        <v>0</v>
      </c>
      <c r="AA73" s="11">
        <f t="shared" si="6"/>
        <v>0</v>
      </c>
      <c r="AB73" s="115" t="e">
        <f t="shared" si="7"/>
        <v>#REF!</v>
      </c>
      <c r="AC73" s="115">
        <f t="shared" si="8"/>
        <v>0</v>
      </c>
      <c r="AD73" s="115">
        <f t="shared" si="9"/>
        <v>0</v>
      </c>
      <c r="AE73" s="11"/>
      <c r="AF73" s="115">
        <f t="shared" si="10"/>
        <v>0</v>
      </c>
      <c r="AG73" s="115">
        <f t="shared" si="11"/>
        <v>0</v>
      </c>
      <c r="AH73" s="115">
        <f t="shared" si="12"/>
        <v>0</v>
      </c>
      <c r="AJ73" s="11" t="e">
        <f t="shared" si="13"/>
        <v>#REF!</v>
      </c>
    </row>
    <row r="74" spans="1:36" s="124" customFormat="1">
      <c r="A74" s="123"/>
      <c r="B74" s="123" t="s">
        <v>46</v>
      </c>
      <c r="C74" s="140"/>
      <c r="D74" s="121" t="s">
        <v>131</v>
      </c>
      <c r="E74" s="98"/>
      <c r="F74" s="99" t="e">
        <f>VLOOKUP(D74,#REF!,17,FALSE)</f>
        <v>#REF!</v>
      </c>
      <c r="G74" s="100"/>
      <c r="H74" s="100"/>
      <c r="I74" s="101"/>
      <c r="J74" s="102" t="e">
        <f t="shared" si="15"/>
        <v>#REF!</v>
      </c>
      <c r="K74" s="103"/>
      <c r="L74" s="104"/>
      <c r="M74" s="105"/>
      <c r="N74" s="103">
        <v>0</v>
      </c>
      <c r="O74" s="106"/>
      <c r="P74" s="103">
        <v>0</v>
      </c>
      <c r="Q74" s="107">
        <f t="shared" si="1"/>
        <v>0</v>
      </c>
      <c r="R74" s="108">
        <v>0</v>
      </c>
      <c r="S74" s="119"/>
      <c r="T74" s="110">
        <f t="shared" si="2"/>
        <v>0</v>
      </c>
      <c r="U74" s="103"/>
      <c r="V74" s="112">
        <f t="shared" si="3"/>
        <v>0</v>
      </c>
      <c r="W74" s="112">
        <f t="shared" si="4"/>
        <v>0</v>
      </c>
      <c r="X74" s="113">
        <f t="shared" si="5"/>
        <v>0</v>
      </c>
      <c r="Y74" s="113">
        <v>0</v>
      </c>
      <c r="Z74" s="114">
        <v>0</v>
      </c>
      <c r="AA74" s="11">
        <f t="shared" si="6"/>
        <v>0</v>
      </c>
      <c r="AB74" s="115">
        <f t="shared" si="7"/>
        <v>0</v>
      </c>
      <c r="AC74" s="115" t="e">
        <f t="shared" si="8"/>
        <v>#REF!</v>
      </c>
      <c r="AD74" s="115">
        <f t="shared" si="9"/>
        <v>0</v>
      </c>
      <c r="AE74" s="11"/>
      <c r="AF74" s="115">
        <f t="shared" si="10"/>
        <v>0</v>
      </c>
      <c r="AG74" s="115">
        <f t="shared" si="11"/>
        <v>0</v>
      </c>
      <c r="AH74" s="115">
        <f t="shared" si="12"/>
        <v>0</v>
      </c>
      <c r="AJ74" s="11" t="e">
        <f t="shared" si="13"/>
        <v>#REF!</v>
      </c>
    </row>
    <row r="75" spans="1:36">
      <c r="A75" s="116"/>
      <c r="B75" s="116" t="s">
        <v>49</v>
      </c>
      <c r="C75" s="122"/>
      <c r="D75" s="120" t="s">
        <v>132</v>
      </c>
      <c r="E75" s="98"/>
      <c r="F75" s="99" t="e">
        <f>VLOOKUP(D75,#REF!,17,FALSE)</f>
        <v>#REF!</v>
      </c>
      <c r="G75" s="100"/>
      <c r="H75" s="100"/>
      <c r="I75" s="125">
        <v>6890.39</v>
      </c>
      <c r="J75" s="102" t="e">
        <f t="shared" si="15"/>
        <v>#REF!</v>
      </c>
      <c r="K75" s="103"/>
      <c r="L75" s="104"/>
      <c r="M75" s="105"/>
      <c r="N75" s="103">
        <v>0</v>
      </c>
      <c r="O75" s="106"/>
      <c r="P75" s="103">
        <v>0</v>
      </c>
      <c r="Q75" s="107">
        <f t="shared" si="1"/>
        <v>0</v>
      </c>
      <c r="R75" s="108">
        <v>0</v>
      </c>
      <c r="S75" s="119"/>
      <c r="T75" s="110">
        <f t="shared" si="2"/>
        <v>0</v>
      </c>
      <c r="U75" s="103"/>
      <c r="V75" s="112">
        <f t="shared" si="3"/>
        <v>0</v>
      </c>
      <c r="W75" s="112">
        <f t="shared" si="4"/>
        <v>0</v>
      </c>
      <c r="X75" s="113">
        <f t="shared" si="5"/>
        <v>0</v>
      </c>
      <c r="Y75" s="113">
        <v>0</v>
      </c>
      <c r="Z75" s="114">
        <v>0</v>
      </c>
      <c r="AA75" s="11">
        <f t="shared" si="6"/>
        <v>0</v>
      </c>
      <c r="AB75" s="115" t="e">
        <f t="shared" si="7"/>
        <v>#REF!</v>
      </c>
      <c r="AC75" s="115">
        <f t="shared" si="8"/>
        <v>0</v>
      </c>
      <c r="AD75" s="115">
        <f t="shared" si="9"/>
        <v>0</v>
      </c>
      <c r="AE75" s="11"/>
      <c r="AF75" s="115">
        <f t="shared" si="10"/>
        <v>0</v>
      </c>
      <c r="AG75" s="115">
        <f t="shared" si="11"/>
        <v>0</v>
      </c>
      <c r="AH75" s="115">
        <f t="shared" si="12"/>
        <v>0</v>
      </c>
      <c r="AJ75" s="11" t="e">
        <f t="shared" si="13"/>
        <v>#REF!</v>
      </c>
    </row>
    <row r="76" spans="1:36">
      <c r="A76" s="116"/>
      <c r="B76" s="116" t="s">
        <v>49</v>
      </c>
      <c r="C76" s="122"/>
      <c r="D76" s="120" t="s">
        <v>133</v>
      </c>
      <c r="E76" s="98">
        <v>191.48</v>
      </c>
      <c r="F76" s="99" t="e">
        <f>VLOOKUP(D76,#REF!,17,FALSE)</f>
        <v>#REF!</v>
      </c>
      <c r="G76" s="100"/>
      <c r="H76" s="100"/>
      <c r="I76" s="101"/>
      <c r="J76" s="102" t="e">
        <f t="shared" si="15"/>
        <v>#REF!</v>
      </c>
      <c r="K76" s="103"/>
      <c r="L76" s="104"/>
      <c r="M76" s="105"/>
      <c r="N76" s="103">
        <v>0</v>
      </c>
      <c r="O76" s="106"/>
      <c r="P76" s="103">
        <v>0</v>
      </c>
      <c r="Q76" s="107">
        <f t="shared" si="1"/>
        <v>0</v>
      </c>
      <c r="R76" s="108">
        <v>321.41000000000003</v>
      </c>
      <c r="S76" s="119"/>
      <c r="T76" s="110">
        <f t="shared" si="2"/>
        <v>321.41000000000003</v>
      </c>
      <c r="U76" s="103"/>
      <c r="V76" s="112">
        <f t="shared" si="3"/>
        <v>0</v>
      </c>
      <c r="W76" s="112">
        <f t="shared" si="4"/>
        <v>0</v>
      </c>
      <c r="X76" s="113">
        <f t="shared" si="5"/>
        <v>0</v>
      </c>
      <c r="Y76" s="113">
        <v>0</v>
      </c>
      <c r="Z76" s="114">
        <v>0</v>
      </c>
      <c r="AA76" s="11">
        <f t="shared" si="6"/>
        <v>0</v>
      </c>
      <c r="AB76" s="115" t="e">
        <f t="shared" si="7"/>
        <v>#REF!</v>
      </c>
      <c r="AC76" s="115">
        <f t="shared" si="8"/>
        <v>0</v>
      </c>
      <c r="AD76" s="115">
        <f t="shared" si="9"/>
        <v>0</v>
      </c>
      <c r="AE76" s="11"/>
      <c r="AF76" s="115">
        <f t="shared" si="10"/>
        <v>0</v>
      </c>
      <c r="AG76" s="115">
        <f t="shared" si="11"/>
        <v>0</v>
      </c>
      <c r="AH76" s="115">
        <f t="shared" si="12"/>
        <v>0</v>
      </c>
      <c r="AJ76" s="11" t="e">
        <f t="shared" si="13"/>
        <v>#REF!</v>
      </c>
    </row>
    <row r="77" spans="1:36">
      <c r="A77" s="116" t="s">
        <v>46</v>
      </c>
      <c r="B77" s="116" t="s">
        <v>46</v>
      </c>
      <c r="C77" s="122" t="s">
        <v>136</v>
      </c>
      <c r="D77" s="120" t="s">
        <v>137</v>
      </c>
      <c r="E77" s="98"/>
      <c r="F77" s="99" t="e">
        <f>VLOOKUP(D77,#REF!,17,FALSE)</f>
        <v>#REF!</v>
      </c>
      <c r="G77" s="100"/>
      <c r="H77" s="100"/>
      <c r="I77" s="101"/>
      <c r="J77" s="102" t="e">
        <f t="shared" si="15"/>
        <v>#REF!</v>
      </c>
      <c r="K77" s="103"/>
      <c r="L77" s="104"/>
      <c r="M77" s="105"/>
      <c r="N77" s="103">
        <v>0</v>
      </c>
      <c r="O77" s="106"/>
      <c r="P77" s="103">
        <v>0</v>
      </c>
      <c r="Q77" s="107">
        <f t="shared" si="1"/>
        <v>0</v>
      </c>
      <c r="R77" s="108">
        <v>0</v>
      </c>
      <c r="S77" s="119"/>
      <c r="T77" s="110">
        <f t="shared" si="2"/>
        <v>0</v>
      </c>
      <c r="U77" s="103"/>
      <c r="V77" s="112">
        <f t="shared" si="3"/>
        <v>0</v>
      </c>
      <c r="W77" s="112">
        <f t="shared" si="4"/>
        <v>0</v>
      </c>
      <c r="X77" s="113">
        <f t="shared" si="5"/>
        <v>0</v>
      </c>
      <c r="Y77" s="113">
        <v>0</v>
      </c>
      <c r="Z77" s="114">
        <v>0</v>
      </c>
      <c r="AA77" s="11">
        <f t="shared" si="6"/>
        <v>0</v>
      </c>
      <c r="AB77" s="115">
        <f t="shared" si="7"/>
        <v>0</v>
      </c>
      <c r="AC77" s="115" t="e">
        <f t="shared" si="8"/>
        <v>#REF!</v>
      </c>
      <c r="AD77" s="115">
        <f t="shared" si="9"/>
        <v>0</v>
      </c>
      <c r="AE77" s="11"/>
      <c r="AF77" s="115">
        <f t="shared" si="10"/>
        <v>0</v>
      </c>
      <c r="AG77" s="115">
        <f t="shared" si="11"/>
        <v>0</v>
      </c>
      <c r="AH77" s="115">
        <f t="shared" si="12"/>
        <v>0</v>
      </c>
      <c r="AJ77" s="11" t="e">
        <f t="shared" si="13"/>
        <v>#REF!</v>
      </c>
    </row>
    <row r="78" spans="1:36">
      <c r="A78" s="116"/>
      <c r="B78" s="116" t="s">
        <v>46</v>
      </c>
      <c r="C78" s="122"/>
      <c r="D78" s="120" t="s">
        <v>138</v>
      </c>
      <c r="E78" s="98"/>
      <c r="F78" s="99" t="e">
        <f>VLOOKUP(D78,#REF!,17,FALSE)</f>
        <v>#REF!</v>
      </c>
      <c r="G78" s="100"/>
      <c r="H78" s="100"/>
      <c r="I78" s="101"/>
      <c r="J78" s="102" t="e">
        <f t="shared" si="15"/>
        <v>#REF!</v>
      </c>
      <c r="K78" s="103"/>
      <c r="L78" s="104"/>
      <c r="M78" s="105"/>
      <c r="N78" s="103">
        <v>0</v>
      </c>
      <c r="O78" s="106"/>
      <c r="P78" s="103">
        <v>0</v>
      </c>
      <c r="Q78" s="107">
        <f t="shared" si="1"/>
        <v>0</v>
      </c>
      <c r="R78" s="108">
        <v>27.26</v>
      </c>
      <c r="S78" s="119"/>
      <c r="T78" s="110">
        <f t="shared" si="2"/>
        <v>27.26</v>
      </c>
      <c r="U78" s="103"/>
      <c r="V78" s="112">
        <f t="shared" si="3"/>
        <v>0</v>
      </c>
      <c r="W78" s="112">
        <f t="shared" si="4"/>
        <v>0</v>
      </c>
      <c r="X78" s="113">
        <f t="shared" si="5"/>
        <v>0</v>
      </c>
      <c r="Y78" s="113">
        <v>0</v>
      </c>
      <c r="Z78" s="114">
        <v>0</v>
      </c>
      <c r="AA78" s="11">
        <f t="shared" si="6"/>
        <v>0</v>
      </c>
      <c r="AB78" s="115">
        <f t="shared" si="7"/>
        <v>0</v>
      </c>
      <c r="AC78" s="115" t="e">
        <f t="shared" si="8"/>
        <v>#REF!</v>
      </c>
      <c r="AD78" s="115">
        <f t="shared" si="9"/>
        <v>0</v>
      </c>
      <c r="AE78" s="11"/>
      <c r="AF78" s="115">
        <f t="shared" si="10"/>
        <v>0</v>
      </c>
      <c r="AG78" s="115">
        <f t="shared" si="11"/>
        <v>0</v>
      </c>
      <c r="AH78" s="115">
        <f t="shared" si="12"/>
        <v>0</v>
      </c>
      <c r="AJ78" s="11" t="e">
        <f t="shared" si="13"/>
        <v>#REF!</v>
      </c>
    </row>
    <row r="79" spans="1:36">
      <c r="A79" s="116"/>
      <c r="B79" s="116" t="s">
        <v>49</v>
      </c>
      <c r="C79" s="122"/>
      <c r="D79" s="120" t="s">
        <v>139</v>
      </c>
      <c r="E79" s="98"/>
      <c r="F79" s="99" t="e">
        <f>VLOOKUP(D79,#REF!,17,FALSE)</f>
        <v>#REF!</v>
      </c>
      <c r="G79" s="100"/>
      <c r="H79" s="100"/>
      <c r="I79" s="101"/>
      <c r="J79" s="102" t="e">
        <f t="shared" si="15"/>
        <v>#REF!</v>
      </c>
      <c r="K79" s="103"/>
      <c r="L79" s="104"/>
      <c r="M79" s="105">
        <v>75000</v>
      </c>
      <c r="N79" s="103">
        <v>0</v>
      </c>
      <c r="O79" s="106"/>
      <c r="P79" s="103">
        <v>0</v>
      </c>
      <c r="Q79" s="107">
        <f t="shared" si="1"/>
        <v>75000</v>
      </c>
      <c r="R79" s="108">
        <v>79001.48</v>
      </c>
      <c r="S79" s="119"/>
      <c r="T79" s="110">
        <f t="shared" si="2"/>
        <v>4001.4799999999959</v>
      </c>
      <c r="U79" s="103"/>
      <c r="V79" s="112">
        <f t="shared" si="3"/>
        <v>75000</v>
      </c>
      <c r="W79" s="112">
        <f t="shared" si="4"/>
        <v>0</v>
      </c>
      <c r="X79" s="113">
        <f t="shared" si="5"/>
        <v>0</v>
      </c>
      <c r="Y79" s="113">
        <v>0</v>
      </c>
      <c r="Z79" s="114">
        <v>0</v>
      </c>
      <c r="AA79" s="11">
        <f t="shared" si="6"/>
        <v>0</v>
      </c>
      <c r="AB79" s="115" t="e">
        <f t="shared" si="7"/>
        <v>#REF!</v>
      </c>
      <c r="AC79" s="115">
        <f t="shared" si="8"/>
        <v>0</v>
      </c>
      <c r="AD79" s="115">
        <f t="shared" si="9"/>
        <v>0</v>
      </c>
      <c r="AE79" s="11"/>
      <c r="AF79" s="115">
        <f t="shared" si="10"/>
        <v>75000</v>
      </c>
      <c r="AG79" s="115">
        <f t="shared" si="11"/>
        <v>0</v>
      </c>
      <c r="AH79" s="115">
        <f t="shared" si="12"/>
        <v>0</v>
      </c>
      <c r="AJ79" s="11" t="e">
        <f t="shared" si="13"/>
        <v>#REF!</v>
      </c>
    </row>
    <row r="80" spans="1:36" s="124" customFormat="1">
      <c r="A80" s="123"/>
      <c r="B80" s="123" t="s">
        <v>46</v>
      </c>
      <c r="C80" s="122" t="s">
        <v>140</v>
      </c>
      <c r="D80" s="97" t="s">
        <v>141</v>
      </c>
      <c r="E80" s="98">
        <v>2939.02</v>
      </c>
      <c r="F80" s="99" t="e">
        <f>VLOOKUP(D80,#REF!,17,FALSE)</f>
        <v>#REF!</v>
      </c>
      <c r="G80" s="100"/>
      <c r="H80" s="100"/>
      <c r="I80" s="101"/>
      <c r="J80" s="102" t="e">
        <f t="shared" si="15"/>
        <v>#REF!</v>
      </c>
      <c r="K80" s="103"/>
      <c r="L80" s="104"/>
      <c r="M80" s="105"/>
      <c r="N80" s="103">
        <v>0</v>
      </c>
      <c r="O80" s="106"/>
      <c r="P80" s="103">
        <v>0</v>
      </c>
      <c r="Q80" s="107">
        <f t="shared" si="1"/>
        <v>0</v>
      </c>
      <c r="R80" s="108">
        <v>0</v>
      </c>
      <c r="S80" s="119"/>
      <c r="T80" s="110">
        <f t="shared" si="2"/>
        <v>0</v>
      </c>
      <c r="U80" s="103"/>
      <c r="V80" s="112">
        <f t="shared" si="3"/>
        <v>0</v>
      </c>
      <c r="W80" s="112">
        <f t="shared" si="4"/>
        <v>0</v>
      </c>
      <c r="X80" s="113">
        <f t="shared" si="5"/>
        <v>0</v>
      </c>
      <c r="Y80" s="113">
        <v>0</v>
      </c>
      <c r="Z80" s="114">
        <v>0</v>
      </c>
      <c r="AA80" s="11">
        <f t="shared" si="6"/>
        <v>0</v>
      </c>
      <c r="AB80" s="115">
        <f t="shared" ref="AB80:AB144" si="16">IF(B80="D",J80,0)</f>
        <v>0</v>
      </c>
      <c r="AC80" s="115" t="e">
        <f t="shared" ref="AC80:AC144" si="17">IF(B80="M",J80,0)</f>
        <v>#REF!</v>
      </c>
      <c r="AD80" s="115">
        <f t="shared" ref="AD80:AD144" si="18">IF(B80="V",J80,0)</f>
        <v>0</v>
      </c>
      <c r="AE80" s="11"/>
      <c r="AF80" s="115">
        <f t="shared" ref="AF80:AF144" si="19">IF(B80="D",Q80,0)</f>
        <v>0</v>
      </c>
      <c r="AG80" s="115">
        <f t="shared" ref="AG80:AG144" si="20">IF(B80="M",Q80,0)</f>
        <v>0</v>
      </c>
      <c r="AH80" s="115">
        <f t="shared" ref="AH80:AH144" si="21">IF(B80="V",Q80,0)</f>
        <v>0</v>
      </c>
      <c r="AJ80" s="11" t="e">
        <f t="shared" si="13"/>
        <v>#REF!</v>
      </c>
    </row>
    <row r="81" spans="1:36" s="124" customFormat="1">
      <c r="A81" s="123"/>
      <c r="B81" s="123" t="s">
        <v>46</v>
      </c>
      <c r="C81" s="122" t="s">
        <v>140</v>
      </c>
      <c r="D81" s="97" t="s">
        <v>415</v>
      </c>
      <c r="E81" s="98"/>
      <c r="F81" s="99" t="e">
        <f>VLOOKUP(D81,#REF!,17,FALSE)</f>
        <v>#REF!</v>
      </c>
      <c r="G81" s="100"/>
      <c r="H81" s="100"/>
      <c r="I81" s="101"/>
      <c r="J81" s="102" t="e">
        <f t="shared" si="15"/>
        <v>#REF!</v>
      </c>
      <c r="K81" s="103"/>
      <c r="L81" s="104"/>
      <c r="M81" s="105"/>
      <c r="N81" s="103">
        <v>0</v>
      </c>
      <c r="O81" s="106"/>
      <c r="P81" s="103">
        <v>0</v>
      </c>
      <c r="Q81" s="107">
        <f t="shared" si="1"/>
        <v>0</v>
      </c>
      <c r="R81" s="108">
        <v>0</v>
      </c>
      <c r="S81" s="119"/>
      <c r="T81" s="110">
        <f t="shared" ref="T81:T145" si="22">IF(R81="","",R81-Q81)</f>
        <v>0</v>
      </c>
      <c r="U81" s="103"/>
      <c r="V81" s="112">
        <f t="shared" ref="V81:V145" si="23">IF(B81="D",Q81,0)</f>
        <v>0</v>
      </c>
      <c r="W81" s="112">
        <f t="shared" ref="W81:W145" si="24">IF(B81="M",Q81,0)</f>
        <v>0</v>
      </c>
      <c r="X81" s="113">
        <f t="shared" ref="X81:X145" si="25">IF(B81="V",Q81,0)</f>
        <v>0</v>
      </c>
      <c r="Y81" s="113">
        <v>0</v>
      </c>
      <c r="Z81" s="114">
        <v>0</v>
      </c>
      <c r="AA81" s="11">
        <f t="shared" ref="AA81:AA145" si="26">(L81+M81)-(V81+W81+X81+Y81+Z81)</f>
        <v>0</v>
      </c>
      <c r="AB81" s="115">
        <f t="shared" si="16"/>
        <v>0</v>
      </c>
      <c r="AC81" s="115" t="e">
        <f t="shared" si="17"/>
        <v>#REF!</v>
      </c>
      <c r="AD81" s="115">
        <f t="shared" si="18"/>
        <v>0</v>
      </c>
      <c r="AE81" s="11"/>
      <c r="AF81" s="115">
        <f t="shared" si="19"/>
        <v>0</v>
      </c>
      <c r="AG81" s="115">
        <f t="shared" si="20"/>
        <v>0</v>
      </c>
      <c r="AH81" s="115">
        <f t="shared" si="21"/>
        <v>0</v>
      </c>
      <c r="AJ81" s="11" t="e">
        <f t="shared" si="13"/>
        <v>#REF!</v>
      </c>
    </row>
    <row r="82" spans="1:36" s="124" customFormat="1">
      <c r="A82" s="123"/>
      <c r="B82" s="123" t="s">
        <v>46</v>
      </c>
      <c r="C82" s="122" t="s">
        <v>140</v>
      </c>
      <c r="D82" s="97" t="s">
        <v>143</v>
      </c>
      <c r="E82" s="98"/>
      <c r="F82" s="99" t="e">
        <f>VLOOKUP(D82,#REF!,17,FALSE)</f>
        <v>#REF!</v>
      </c>
      <c r="G82" s="100"/>
      <c r="H82" s="100"/>
      <c r="I82" s="101"/>
      <c r="J82" s="102" t="e">
        <f t="shared" si="15"/>
        <v>#REF!</v>
      </c>
      <c r="K82" s="103"/>
      <c r="L82" s="104"/>
      <c r="M82" s="105"/>
      <c r="N82" s="103">
        <v>0</v>
      </c>
      <c r="O82" s="106"/>
      <c r="P82" s="103">
        <v>0</v>
      </c>
      <c r="Q82" s="107">
        <f t="shared" si="1"/>
        <v>0</v>
      </c>
      <c r="R82" s="108">
        <v>0</v>
      </c>
      <c r="S82" s="119"/>
      <c r="T82" s="110">
        <f t="shared" si="22"/>
        <v>0</v>
      </c>
      <c r="U82" s="103"/>
      <c r="V82" s="112">
        <f t="shared" si="23"/>
        <v>0</v>
      </c>
      <c r="W82" s="112">
        <f t="shared" si="24"/>
        <v>0</v>
      </c>
      <c r="X82" s="113">
        <f t="shared" si="25"/>
        <v>0</v>
      </c>
      <c r="Y82" s="113">
        <v>0</v>
      </c>
      <c r="Z82" s="114">
        <v>0</v>
      </c>
      <c r="AA82" s="11">
        <f t="shared" si="26"/>
        <v>0</v>
      </c>
      <c r="AB82" s="115">
        <f t="shared" si="16"/>
        <v>0</v>
      </c>
      <c r="AC82" s="115" t="e">
        <f t="shared" si="17"/>
        <v>#REF!</v>
      </c>
      <c r="AD82" s="115">
        <f t="shared" si="18"/>
        <v>0</v>
      </c>
      <c r="AE82" s="11"/>
      <c r="AF82" s="115">
        <f t="shared" si="19"/>
        <v>0</v>
      </c>
      <c r="AG82" s="115">
        <f t="shared" si="20"/>
        <v>0</v>
      </c>
      <c r="AH82" s="115">
        <f t="shared" si="21"/>
        <v>0</v>
      </c>
      <c r="AJ82" s="11" t="e">
        <f t="shared" ref="AJ82:AJ146" si="27">SUM(AB82:AH82)</f>
        <v>#REF!</v>
      </c>
    </row>
    <row r="83" spans="1:36">
      <c r="A83" s="116"/>
      <c r="B83" s="116" t="s">
        <v>49</v>
      </c>
      <c r="C83" s="122" t="s">
        <v>144</v>
      </c>
      <c r="D83" s="121" t="s">
        <v>145</v>
      </c>
      <c r="E83" s="98"/>
      <c r="F83" s="99" t="e">
        <f>VLOOKUP(D83,#REF!,17,FALSE)</f>
        <v>#REF!</v>
      </c>
      <c r="G83" s="100"/>
      <c r="H83" s="100"/>
      <c r="I83" s="101"/>
      <c r="J83" s="102" t="e">
        <f t="shared" si="15"/>
        <v>#REF!</v>
      </c>
      <c r="K83" s="103"/>
      <c r="L83" s="104"/>
      <c r="M83" s="105"/>
      <c r="N83" s="103">
        <v>0</v>
      </c>
      <c r="O83" s="106"/>
      <c r="P83" s="103">
        <v>0</v>
      </c>
      <c r="Q83" s="107">
        <f t="shared" si="1"/>
        <v>0</v>
      </c>
      <c r="R83" s="108">
        <v>169.86</v>
      </c>
      <c r="S83" s="119"/>
      <c r="T83" s="110">
        <f t="shared" si="22"/>
        <v>169.86</v>
      </c>
      <c r="U83" s="103"/>
      <c r="V83" s="112">
        <f t="shared" si="23"/>
        <v>0</v>
      </c>
      <c r="W83" s="112">
        <f t="shared" si="24"/>
        <v>0</v>
      </c>
      <c r="X83" s="113">
        <f t="shared" si="25"/>
        <v>0</v>
      </c>
      <c r="Y83" s="113">
        <v>0</v>
      </c>
      <c r="Z83" s="114">
        <v>0</v>
      </c>
      <c r="AA83" s="11">
        <f t="shared" si="26"/>
        <v>0</v>
      </c>
      <c r="AB83" s="115" t="e">
        <f t="shared" si="16"/>
        <v>#REF!</v>
      </c>
      <c r="AC83" s="115">
        <f t="shared" si="17"/>
        <v>0</v>
      </c>
      <c r="AD83" s="115">
        <f t="shared" si="18"/>
        <v>0</v>
      </c>
      <c r="AE83" s="11"/>
      <c r="AF83" s="115">
        <f t="shared" si="19"/>
        <v>0</v>
      </c>
      <c r="AG83" s="115">
        <f t="shared" si="20"/>
        <v>0</v>
      </c>
      <c r="AH83" s="115">
        <f t="shared" si="21"/>
        <v>0</v>
      </c>
      <c r="AJ83" s="11" t="e">
        <f t="shared" si="27"/>
        <v>#REF!</v>
      </c>
    </row>
    <row r="84" spans="1:36">
      <c r="A84" s="116"/>
      <c r="B84" s="116" t="s">
        <v>49</v>
      </c>
      <c r="C84" s="122" t="s">
        <v>144</v>
      </c>
      <c r="D84" s="121" t="s">
        <v>146</v>
      </c>
      <c r="E84" s="98"/>
      <c r="F84" s="99" t="e">
        <f>VLOOKUP(D84,#REF!,17,FALSE)</f>
        <v>#REF!</v>
      </c>
      <c r="G84" s="100"/>
      <c r="H84" s="100"/>
      <c r="I84" s="101"/>
      <c r="J84" s="102" t="e">
        <f t="shared" si="15"/>
        <v>#REF!</v>
      </c>
      <c r="K84" s="103"/>
      <c r="L84" s="104"/>
      <c r="M84" s="105"/>
      <c r="N84" s="103">
        <v>0</v>
      </c>
      <c r="O84" s="106"/>
      <c r="P84" s="103">
        <v>0</v>
      </c>
      <c r="Q84" s="107">
        <f t="shared" si="1"/>
        <v>0</v>
      </c>
      <c r="R84" s="108">
        <v>4.13</v>
      </c>
      <c r="S84" s="119"/>
      <c r="T84" s="110">
        <f t="shared" si="22"/>
        <v>4.13</v>
      </c>
      <c r="U84" s="103"/>
      <c r="V84" s="112">
        <f t="shared" si="23"/>
        <v>0</v>
      </c>
      <c r="W84" s="112">
        <f t="shared" si="24"/>
        <v>0</v>
      </c>
      <c r="X84" s="113">
        <f t="shared" si="25"/>
        <v>0</v>
      </c>
      <c r="Y84" s="113">
        <v>0</v>
      </c>
      <c r="Z84" s="114">
        <v>0</v>
      </c>
      <c r="AA84" s="11">
        <f t="shared" si="26"/>
        <v>0</v>
      </c>
      <c r="AB84" s="115" t="e">
        <f t="shared" si="16"/>
        <v>#REF!</v>
      </c>
      <c r="AC84" s="115">
        <f t="shared" si="17"/>
        <v>0</v>
      </c>
      <c r="AD84" s="115">
        <f t="shared" si="18"/>
        <v>0</v>
      </c>
      <c r="AE84" s="11"/>
      <c r="AF84" s="115">
        <f t="shared" si="19"/>
        <v>0</v>
      </c>
      <c r="AG84" s="115">
        <f t="shared" si="20"/>
        <v>0</v>
      </c>
      <c r="AH84" s="115">
        <f t="shared" si="21"/>
        <v>0</v>
      </c>
      <c r="AJ84" s="11" t="e">
        <f t="shared" si="27"/>
        <v>#REF!</v>
      </c>
    </row>
    <row r="85" spans="1:36">
      <c r="A85" s="116"/>
      <c r="B85" s="116" t="s">
        <v>49</v>
      </c>
      <c r="C85" s="122" t="s">
        <v>147</v>
      </c>
      <c r="D85" s="120" t="s">
        <v>148</v>
      </c>
      <c r="E85" s="98"/>
      <c r="F85" s="99" t="e">
        <f>VLOOKUP(D85,#REF!,17,FALSE)</f>
        <v>#REF!</v>
      </c>
      <c r="G85" s="100"/>
      <c r="H85" s="100"/>
      <c r="I85" s="101"/>
      <c r="J85" s="102" t="e">
        <f t="shared" si="15"/>
        <v>#REF!</v>
      </c>
      <c r="K85" s="103"/>
      <c r="L85" s="104"/>
      <c r="M85" s="105"/>
      <c r="N85" s="103">
        <v>0</v>
      </c>
      <c r="O85" s="106"/>
      <c r="P85" s="103">
        <v>0</v>
      </c>
      <c r="Q85" s="107">
        <f t="shared" si="1"/>
        <v>0</v>
      </c>
      <c r="R85" s="108">
        <v>374.28</v>
      </c>
      <c r="S85" s="119"/>
      <c r="T85" s="110">
        <f t="shared" si="22"/>
        <v>374.28</v>
      </c>
      <c r="U85" s="103"/>
      <c r="V85" s="112">
        <f t="shared" si="23"/>
        <v>0</v>
      </c>
      <c r="W85" s="112">
        <f t="shared" si="24"/>
        <v>0</v>
      </c>
      <c r="X85" s="113">
        <f t="shared" si="25"/>
        <v>0</v>
      </c>
      <c r="Y85" s="113">
        <v>0</v>
      </c>
      <c r="Z85" s="114">
        <v>0</v>
      </c>
      <c r="AA85" s="11">
        <f t="shared" si="26"/>
        <v>0</v>
      </c>
      <c r="AB85" s="115" t="e">
        <f t="shared" si="16"/>
        <v>#REF!</v>
      </c>
      <c r="AC85" s="115">
        <f t="shared" si="17"/>
        <v>0</v>
      </c>
      <c r="AD85" s="115">
        <f t="shared" si="18"/>
        <v>0</v>
      </c>
      <c r="AE85" s="11"/>
      <c r="AF85" s="115">
        <f t="shared" si="19"/>
        <v>0</v>
      </c>
      <c r="AG85" s="115">
        <f t="shared" si="20"/>
        <v>0</v>
      </c>
      <c r="AH85" s="115">
        <f t="shared" si="21"/>
        <v>0</v>
      </c>
      <c r="AJ85" s="11" t="e">
        <f t="shared" si="27"/>
        <v>#REF!</v>
      </c>
    </row>
    <row r="86" spans="1:36">
      <c r="A86" s="116"/>
      <c r="B86" s="116" t="s">
        <v>49</v>
      </c>
      <c r="C86" s="122" t="s">
        <v>149</v>
      </c>
      <c r="D86" s="120" t="s">
        <v>150</v>
      </c>
      <c r="E86" s="98"/>
      <c r="F86" s="99" t="e">
        <f>VLOOKUP(D86,#REF!,17,FALSE)</f>
        <v>#REF!</v>
      </c>
      <c r="G86" s="100"/>
      <c r="H86" s="100"/>
      <c r="I86" s="125">
        <v>127.43</v>
      </c>
      <c r="J86" s="102" t="e">
        <f t="shared" si="15"/>
        <v>#REF!</v>
      </c>
      <c r="K86" s="103"/>
      <c r="L86" s="104"/>
      <c r="M86" s="105"/>
      <c r="N86" s="103">
        <v>0</v>
      </c>
      <c r="O86" s="106"/>
      <c r="P86" s="103">
        <v>0</v>
      </c>
      <c r="Q86" s="107">
        <f t="shared" si="1"/>
        <v>0</v>
      </c>
      <c r="R86" s="108">
        <v>127.43</v>
      </c>
      <c r="S86" s="119"/>
      <c r="T86" s="110">
        <f t="shared" si="22"/>
        <v>127.43</v>
      </c>
      <c r="U86" s="103"/>
      <c r="V86" s="112">
        <f t="shared" si="23"/>
        <v>0</v>
      </c>
      <c r="W86" s="112">
        <f t="shared" si="24"/>
        <v>0</v>
      </c>
      <c r="X86" s="113">
        <f t="shared" si="25"/>
        <v>0</v>
      </c>
      <c r="Y86" s="113">
        <v>0</v>
      </c>
      <c r="Z86" s="114">
        <v>0</v>
      </c>
      <c r="AA86" s="11">
        <f t="shared" si="26"/>
        <v>0</v>
      </c>
      <c r="AB86" s="115" t="e">
        <f t="shared" si="16"/>
        <v>#REF!</v>
      </c>
      <c r="AC86" s="115">
        <f t="shared" si="17"/>
        <v>0</v>
      </c>
      <c r="AD86" s="115">
        <f t="shared" si="18"/>
        <v>0</v>
      </c>
      <c r="AE86" s="11"/>
      <c r="AF86" s="115">
        <f t="shared" si="19"/>
        <v>0</v>
      </c>
      <c r="AG86" s="115">
        <f t="shared" si="20"/>
        <v>0</v>
      </c>
      <c r="AH86" s="115">
        <f t="shared" si="21"/>
        <v>0</v>
      </c>
      <c r="AJ86" s="11" t="e">
        <f t="shared" si="27"/>
        <v>#REF!</v>
      </c>
    </row>
    <row r="87" spans="1:36">
      <c r="A87" s="116"/>
      <c r="B87" s="116" t="s">
        <v>49</v>
      </c>
      <c r="C87" s="122" t="s">
        <v>149</v>
      </c>
      <c r="D87" s="120" t="s">
        <v>151</v>
      </c>
      <c r="E87" s="98"/>
      <c r="F87" s="99" t="e">
        <f>VLOOKUP(D87,#REF!,17,FALSE)</f>
        <v>#REF!</v>
      </c>
      <c r="G87" s="100"/>
      <c r="H87" s="100"/>
      <c r="I87" s="125">
        <v>1653.4</v>
      </c>
      <c r="J87" s="102" t="e">
        <f t="shared" si="15"/>
        <v>#REF!</v>
      </c>
      <c r="K87" s="103"/>
      <c r="L87" s="104"/>
      <c r="M87" s="105"/>
      <c r="N87" s="103">
        <v>0</v>
      </c>
      <c r="O87" s="106"/>
      <c r="P87" s="103">
        <v>0</v>
      </c>
      <c r="Q87" s="107">
        <f t="shared" si="1"/>
        <v>0</v>
      </c>
      <c r="R87" s="108">
        <v>1653.4</v>
      </c>
      <c r="S87" s="119"/>
      <c r="T87" s="110">
        <f t="shared" si="22"/>
        <v>1653.4</v>
      </c>
      <c r="U87" s="103"/>
      <c r="V87" s="112">
        <f t="shared" si="23"/>
        <v>0</v>
      </c>
      <c r="W87" s="112">
        <f t="shared" si="24"/>
        <v>0</v>
      </c>
      <c r="X87" s="113">
        <f t="shared" si="25"/>
        <v>0</v>
      </c>
      <c r="Y87" s="113">
        <v>0</v>
      </c>
      <c r="Z87" s="114">
        <v>0</v>
      </c>
      <c r="AA87" s="11">
        <f t="shared" si="26"/>
        <v>0</v>
      </c>
      <c r="AB87" s="115" t="e">
        <f t="shared" si="16"/>
        <v>#REF!</v>
      </c>
      <c r="AC87" s="115">
        <f t="shared" si="17"/>
        <v>0</v>
      </c>
      <c r="AD87" s="115">
        <f t="shared" si="18"/>
        <v>0</v>
      </c>
      <c r="AE87" s="11"/>
      <c r="AF87" s="115">
        <f t="shared" si="19"/>
        <v>0</v>
      </c>
      <c r="AG87" s="115">
        <f t="shared" si="20"/>
        <v>0</v>
      </c>
      <c r="AH87" s="115">
        <f t="shared" si="21"/>
        <v>0</v>
      </c>
      <c r="AJ87" s="11" t="e">
        <f t="shared" si="27"/>
        <v>#REF!</v>
      </c>
    </row>
    <row r="88" spans="1:36">
      <c r="A88" s="116"/>
      <c r="B88" s="116" t="s">
        <v>49</v>
      </c>
      <c r="C88" s="122" t="s">
        <v>149</v>
      </c>
      <c r="D88" s="120" t="s">
        <v>152</v>
      </c>
      <c r="E88" s="98"/>
      <c r="F88" s="99" t="e">
        <f>VLOOKUP(D88,#REF!,17,FALSE)</f>
        <v>#REF!</v>
      </c>
      <c r="G88" s="100"/>
      <c r="H88" s="100"/>
      <c r="I88" s="125">
        <v>61.5</v>
      </c>
      <c r="J88" s="102" t="e">
        <f t="shared" si="15"/>
        <v>#REF!</v>
      </c>
      <c r="K88" s="103"/>
      <c r="L88" s="104"/>
      <c r="M88" s="105"/>
      <c r="N88" s="103">
        <v>0</v>
      </c>
      <c r="O88" s="106"/>
      <c r="P88" s="103">
        <v>0</v>
      </c>
      <c r="Q88" s="107">
        <f t="shared" si="1"/>
        <v>0</v>
      </c>
      <c r="R88" s="108">
        <v>61.5</v>
      </c>
      <c r="S88" s="119"/>
      <c r="T88" s="110">
        <f t="shared" si="22"/>
        <v>61.5</v>
      </c>
      <c r="U88" s="103"/>
      <c r="V88" s="112">
        <f t="shared" si="23"/>
        <v>0</v>
      </c>
      <c r="W88" s="112">
        <f t="shared" si="24"/>
        <v>0</v>
      </c>
      <c r="X88" s="113">
        <f t="shared" si="25"/>
        <v>0</v>
      </c>
      <c r="Y88" s="113">
        <v>0</v>
      </c>
      <c r="Z88" s="114">
        <v>0</v>
      </c>
      <c r="AA88" s="11">
        <f t="shared" si="26"/>
        <v>0</v>
      </c>
      <c r="AB88" s="115" t="e">
        <f t="shared" si="16"/>
        <v>#REF!</v>
      </c>
      <c r="AC88" s="115">
        <f t="shared" si="17"/>
        <v>0</v>
      </c>
      <c r="AD88" s="115">
        <f t="shared" si="18"/>
        <v>0</v>
      </c>
      <c r="AE88" s="11"/>
      <c r="AF88" s="115">
        <f t="shared" si="19"/>
        <v>0</v>
      </c>
      <c r="AG88" s="115">
        <f t="shared" si="20"/>
        <v>0</v>
      </c>
      <c r="AH88" s="115">
        <f t="shared" si="21"/>
        <v>0</v>
      </c>
      <c r="AJ88" s="11" t="e">
        <f t="shared" si="27"/>
        <v>#REF!</v>
      </c>
    </row>
    <row r="89" spans="1:36">
      <c r="A89" s="116" t="s">
        <v>154</v>
      </c>
      <c r="B89" s="116" t="s">
        <v>81</v>
      </c>
      <c r="C89" s="122"/>
      <c r="D89" s="120" t="s">
        <v>155</v>
      </c>
      <c r="E89" s="98"/>
      <c r="F89" s="99" t="e">
        <f>VLOOKUP(D89,#REF!,17,FALSE)</f>
        <v>#REF!</v>
      </c>
      <c r="G89" s="100"/>
      <c r="H89" s="100"/>
      <c r="I89" s="101"/>
      <c r="J89" s="102" t="e">
        <f t="shared" si="15"/>
        <v>#REF!</v>
      </c>
      <c r="K89" s="103"/>
      <c r="L89" s="104"/>
      <c r="M89" s="105">
        <v>12500</v>
      </c>
      <c r="N89" s="103">
        <v>0</v>
      </c>
      <c r="O89" s="106"/>
      <c r="P89" s="103">
        <v>0</v>
      </c>
      <c r="Q89" s="107">
        <f t="shared" si="1"/>
        <v>12500</v>
      </c>
      <c r="R89" s="108">
        <v>11403.02</v>
      </c>
      <c r="S89" s="119"/>
      <c r="T89" s="110">
        <f t="shared" si="22"/>
        <v>-1096.9799999999996</v>
      </c>
      <c r="U89" s="103"/>
      <c r="V89" s="112">
        <f t="shared" si="23"/>
        <v>0</v>
      </c>
      <c r="W89" s="112">
        <f t="shared" si="24"/>
        <v>0</v>
      </c>
      <c r="X89" s="113">
        <f t="shared" si="25"/>
        <v>12500</v>
      </c>
      <c r="Y89" s="113">
        <v>0</v>
      </c>
      <c r="Z89" s="114">
        <v>0</v>
      </c>
      <c r="AA89" s="11">
        <f t="shared" si="26"/>
        <v>0</v>
      </c>
      <c r="AB89" s="115">
        <f t="shared" si="16"/>
        <v>0</v>
      </c>
      <c r="AC89" s="115">
        <f t="shared" si="17"/>
        <v>0</v>
      </c>
      <c r="AD89" s="115" t="e">
        <f t="shared" si="18"/>
        <v>#REF!</v>
      </c>
      <c r="AE89" s="11"/>
      <c r="AF89" s="115">
        <f t="shared" si="19"/>
        <v>0</v>
      </c>
      <c r="AG89" s="115">
        <f t="shared" si="20"/>
        <v>0</v>
      </c>
      <c r="AH89" s="115">
        <f t="shared" si="21"/>
        <v>12500</v>
      </c>
      <c r="AJ89" s="11" t="e">
        <f t="shared" si="27"/>
        <v>#REF!</v>
      </c>
    </row>
    <row r="90" spans="1:36">
      <c r="A90" s="116" t="s">
        <v>154</v>
      </c>
      <c r="B90" s="116" t="s">
        <v>81</v>
      </c>
      <c r="C90" s="122"/>
      <c r="D90" s="120" t="s">
        <v>156</v>
      </c>
      <c r="E90" s="98"/>
      <c r="F90" s="99" t="e">
        <f>VLOOKUP(D90,#REF!,17,FALSE)</f>
        <v>#REF!</v>
      </c>
      <c r="G90" s="100"/>
      <c r="H90" s="100"/>
      <c r="I90" s="101"/>
      <c r="J90" s="102" t="e">
        <f t="shared" si="15"/>
        <v>#REF!</v>
      </c>
      <c r="K90" s="103"/>
      <c r="L90" s="104"/>
      <c r="M90" s="105"/>
      <c r="N90" s="103"/>
      <c r="O90" s="106"/>
      <c r="P90" s="103"/>
      <c r="Q90" s="107">
        <f t="shared" si="1"/>
        <v>0</v>
      </c>
      <c r="R90" s="108">
        <v>0</v>
      </c>
      <c r="S90" s="119"/>
      <c r="T90" s="110">
        <f t="shared" si="22"/>
        <v>0</v>
      </c>
      <c r="U90" s="103"/>
      <c r="V90" s="112">
        <f t="shared" si="23"/>
        <v>0</v>
      </c>
      <c r="W90" s="112">
        <f t="shared" si="24"/>
        <v>0</v>
      </c>
      <c r="X90" s="113">
        <f t="shared" si="25"/>
        <v>0</v>
      </c>
      <c r="Y90" s="113">
        <v>0</v>
      </c>
      <c r="Z90" s="114">
        <v>0</v>
      </c>
      <c r="AA90" s="11">
        <f t="shared" si="26"/>
        <v>0</v>
      </c>
      <c r="AB90" s="115">
        <f t="shared" si="16"/>
        <v>0</v>
      </c>
      <c r="AC90" s="115">
        <f t="shared" si="17"/>
        <v>0</v>
      </c>
      <c r="AD90" s="115" t="e">
        <f t="shared" si="18"/>
        <v>#REF!</v>
      </c>
      <c r="AE90" s="11"/>
      <c r="AF90" s="115">
        <f t="shared" si="19"/>
        <v>0</v>
      </c>
      <c r="AG90" s="115">
        <f t="shared" si="20"/>
        <v>0</v>
      </c>
      <c r="AH90" s="115">
        <f t="shared" si="21"/>
        <v>0</v>
      </c>
      <c r="AJ90" s="11" t="e">
        <f t="shared" si="27"/>
        <v>#REF!</v>
      </c>
    </row>
    <row r="91" spans="1:36">
      <c r="A91" s="116" t="s">
        <v>46</v>
      </c>
      <c r="B91" s="116" t="s">
        <v>46</v>
      </c>
      <c r="C91" s="122" t="s">
        <v>157</v>
      </c>
      <c r="D91" s="120" t="s">
        <v>158</v>
      </c>
      <c r="E91" s="98"/>
      <c r="F91" s="99" t="e">
        <f>VLOOKUP(D91,#REF!,17,FALSE)</f>
        <v>#REF!</v>
      </c>
      <c r="G91" s="100"/>
      <c r="H91" s="100"/>
      <c r="I91" s="125">
        <v>279.72000000000003</v>
      </c>
      <c r="J91" s="102" t="e">
        <f t="shared" si="15"/>
        <v>#REF!</v>
      </c>
      <c r="K91" s="103"/>
      <c r="L91" s="104"/>
      <c r="M91" s="105"/>
      <c r="N91" s="103">
        <v>0</v>
      </c>
      <c r="O91" s="106"/>
      <c r="P91" s="103">
        <v>0</v>
      </c>
      <c r="Q91" s="107">
        <f t="shared" si="1"/>
        <v>0</v>
      </c>
      <c r="R91" s="108">
        <v>0</v>
      </c>
      <c r="S91" s="119"/>
      <c r="T91" s="110">
        <f t="shared" si="22"/>
        <v>0</v>
      </c>
      <c r="U91" s="103"/>
      <c r="V91" s="112">
        <f t="shared" si="23"/>
        <v>0</v>
      </c>
      <c r="W91" s="112">
        <f t="shared" si="24"/>
        <v>0</v>
      </c>
      <c r="X91" s="113">
        <f t="shared" si="25"/>
        <v>0</v>
      </c>
      <c r="Y91" s="113">
        <v>0</v>
      </c>
      <c r="Z91" s="114">
        <v>0</v>
      </c>
      <c r="AA91" s="11">
        <f t="shared" si="26"/>
        <v>0</v>
      </c>
      <c r="AB91" s="115">
        <f t="shared" si="16"/>
        <v>0</v>
      </c>
      <c r="AC91" s="115" t="e">
        <f t="shared" si="17"/>
        <v>#REF!</v>
      </c>
      <c r="AD91" s="115">
        <f t="shared" si="18"/>
        <v>0</v>
      </c>
      <c r="AE91" s="11"/>
      <c r="AF91" s="115">
        <f t="shared" si="19"/>
        <v>0</v>
      </c>
      <c r="AG91" s="115">
        <f t="shared" si="20"/>
        <v>0</v>
      </c>
      <c r="AH91" s="115">
        <f t="shared" si="21"/>
        <v>0</v>
      </c>
      <c r="AJ91" s="11" t="e">
        <f t="shared" si="27"/>
        <v>#REF!</v>
      </c>
    </row>
    <row r="92" spans="1:36">
      <c r="A92" s="129" t="s">
        <v>60</v>
      </c>
      <c r="B92" s="129" t="s">
        <v>46</v>
      </c>
      <c r="C92" s="96" t="s">
        <v>159</v>
      </c>
      <c r="D92" s="120" t="s">
        <v>160</v>
      </c>
      <c r="E92" s="98"/>
      <c r="F92" s="99" t="e">
        <f>VLOOKUP(D92,#REF!,17,FALSE)</f>
        <v>#REF!</v>
      </c>
      <c r="G92" s="100"/>
      <c r="H92" s="100"/>
      <c r="I92" s="101"/>
      <c r="J92" s="102" t="e">
        <f t="shared" si="15"/>
        <v>#REF!</v>
      </c>
      <c r="K92" s="103"/>
      <c r="L92" s="104"/>
      <c r="M92" s="105">
        <v>14000</v>
      </c>
      <c r="N92" s="103">
        <v>0</v>
      </c>
      <c r="O92" s="106"/>
      <c r="P92" s="103">
        <v>0</v>
      </c>
      <c r="Q92" s="107">
        <f t="shared" si="1"/>
        <v>14000</v>
      </c>
      <c r="R92" s="108">
        <v>0</v>
      </c>
      <c r="S92" s="119"/>
      <c r="T92" s="110">
        <f t="shared" si="22"/>
        <v>-14000</v>
      </c>
      <c r="U92" s="103"/>
      <c r="V92" s="112">
        <f t="shared" si="23"/>
        <v>0</v>
      </c>
      <c r="W92" s="112">
        <f t="shared" si="24"/>
        <v>14000</v>
      </c>
      <c r="X92" s="113">
        <f t="shared" si="25"/>
        <v>0</v>
      </c>
      <c r="Y92" s="113">
        <v>0</v>
      </c>
      <c r="Z92" s="114">
        <v>0</v>
      </c>
      <c r="AA92" s="11">
        <f t="shared" si="26"/>
        <v>0</v>
      </c>
      <c r="AB92" s="115">
        <f t="shared" si="16"/>
        <v>0</v>
      </c>
      <c r="AC92" s="115" t="e">
        <f t="shared" si="17"/>
        <v>#REF!</v>
      </c>
      <c r="AD92" s="115">
        <f t="shared" si="18"/>
        <v>0</v>
      </c>
      <c r="AE92" s="11"/>
      <c r="AF92" s="115">
        <f t="shared" si="19"/>
        <v>0</v>
      </c>
      <c r="AG92" s="115">
        <f t="shared" si="20"/>
        <v>14000</v>
      </c>
      <c r="AH92" s="115">
        <f t="shared" si="21"/>
        <v>0</v>
      </c>
      <c r="AJ92" s="11" t="e">
        <f t="shared" si="27"/>
        <v>#REF!</v>
      </c>
    </row>
    <row r="93" spans="1:36">
      <c r="A93" s="129" t="s">
        <v>60</v>
      </c>
      <c r="B93" s="129" t="s">
        <v>49</v>
      </c>
      <c r="C93" s="96"/>
      <c r="D93" s="120" t="s">
        <v>161</v>
      </c>
      <c r="E93" s="98"/>
      <c r="F93" s="99" t="e">
        <f>VLOOKUP(D93,#REF!,17,FALSE)</f>
        <v>#REF!</v>
      </c>
      <c r="G93" s="100"/>
      <c r="H93" s="100"/>
      <c r="I93" s="101"/>
      <c r="J93" s="102" t="e">
        <f t="shared" si="15"/>
        <v>#REF!</v>
      </c>
      <c r="K93" s="103"/>
      <c r="L93" s="104"/>
      <c r="M93" s="105"/>
      <c r="N93" s="103">
        <v>0</v>
      </c>
      <c r="O93" s="106"/>
      <c r="P93" s="103">
        <v>0</v>
      </c>
      <c r="Q93" s="107">
        <f t="shared" si="1"/>
        <v>0</v>
      </c>
      <c r="R93" s="108">
        <v>0</v>
      </c>
      <c r="S93" s="119"/>
      <c r="T93" s="110">
        <f t="shared" si="22"/>
        <v>0</v>
      </c>
      <c r="U93" s="103"/>
      <c r="V93" s="112">
        <f t="shared" si="23"/>
        <v>0</v>
      </c>
      <c r="W93" s="112">
        <f t="shared" si="24"/>
        <v>0</v>
      </c>
      <c r="X93" s="113">
        <f t="shared" si="25"/>
        <v>0</v>
      </c>
      <c r="Y93" s="113">
        <v>0</v>
      </c>
      <c r="Z93" s="114">
        <v>0</v>
      </c>
      <c r="AA93" s="11">
        <f t="shared" si="26"/>
        <v>0</v>
      </c>
      <c r="AB93" s="115" t="e">
        <f t="shared" si="16"/>
        <v>#REF!</v>
      </c>
      <c r="AC93" s="115">
        <f t="shared" si="17"/>
        <v>0</v>
      </c>
      <c r="AD93" s="115">
        <f t="shared" si="18"/>
        <v>0</v>
      </c>
      <c r="AE93" s="11"/>
      <c r="AF93" s="115">
        <f t="shared" si="19"/>
        <v>0</v>
      </c>
      <c r="AG93" s="115">
        <f t="shared" si="20"/>
        <v>0</v>
      </c>
      <c r="AH93" s="115">
        <f t="shared" si="21"/>
        <v>0</v>
      </c>
      <c r="AJ93" s="11" t="e">
        <f t="shared" si="27"/>
        <v>#REF!</v>
      </c>
    </row>
    <row r="94" spans="1:36">
      <c r="A94" s="116" t="s">
        <v>60</v>
      </c>
      <c r="B94" s="116" t="s">
        <v>46</v>
      </c>
      <c r="C94" s="122" t="s">
        <v>162</v>
      </c>
      <c r="D94" s="120" t="s">
        <v>163</v>
      </c>
      <c r="E94" s="98"/>
      <c r="F94" s="99" t="e">
        <f>VLOOKUP(D94,#REF!,17,FALSE)</f>
        <v>#REF!</v>
      </c>
      <c r="G94" s="100"/>
      <c r="H94" s="100"/>
      <c r="I94" s="101"/>
      <c r="J94" s="102" t="e">
        <f t="shared" si="15"/>
        <v>#REF!</v>
      </c>
      <c r="K94" s="103"/>
      <c r="L94" s="104"/>
      <c r="M94" s="105"/>
      <c r="N94" s="103">
        <v>0</v>
      </c>
      <c r="O94" s="106"/>
      <c r="P94" s="103">
        <v>0</v>
      </c>
      <c r="Q94" s="107">
        <f t="shared" si="1"/>
        <v>0</v>
      </c>
      <c r="R94" s="108">
        <v>0</v>
      </c>
      <c r="S94" s="119"/>
      <c r="T94" s="110">
        <f t="shared" si="22"/>
        <v>0</v>
      </c>
      <c r="U94" s="103"/>
      <c r="V94" s="112">
        <f t="shared" si="23"/>
        <v>0</v>
      </c>
      <c r="W94" s="112">
        <f t="shared" si="24"/>
        <v>0</v>
      </c>
      <c r="X94" s="113">
        <f t="shared" si="25"/>
        <v>0</v>
      </c>
      <c r="Y94" s="113">
        <v>0</v>
      </c>
      <c r="Z94" s="114">
        <v>0</v>
      </c>
      <c r="AA94" s="11">
        <f t="shared" si="26"/>
        <v>0</v>
      </c>
      <c r="AB94" s="115">
        <f t="shared" si="16"/>
        <v>0</v>
      </c>
      <c r="AC94" s="115" t="e">
        <f t="shared" si="17"/>
        <v>#REF!</v>
      </c>
      <c r="AD94" s="115">
        <f t="shared" si="18"/>
        <v>0</v>
      </c>
      <c r="AE94" s="11"/>
      <c r="AF94" s="115">
        <f t="shared" si="19"/>
        <v>0</v>
      </c>
      <c r="AG94" s="115">
        <f t="shared" si="20"/>
        <v>0</v>
      </c>
      <c r="AH94" s="115">
        <f t="shared" si="21"/>
        <v>0</v>
      </c>
      <c r="AJ94" s="11" t="e">
        <f t="shared" si="27"/>
        <v>#REF!</v>
      </c>
    </row>
    <row r="95" spans="1:36">
      <c r="A95" s="116" t="s">
        <v>60</v>
      </c>
      <c r="B95" s="116" t="s">
        <v>46</v>
      </c>
      <c r="C95" s="122" t="s">
        <v>162</v>
      </c>
      <c r="D95" s="120" t="s">
        <v>164</v>
      </c>
      <c r="E95" s="98"/>
      <c r="F95" s="99" t="e">
        <f>VLOOKUP(D95,#REF!,17,FALSE)</f>
        <v>#REF!</v>
      </c>
      <c r="G95" s="100"/>
      <c r="H95" s="100"/>
      <c r="I95" s="101"/>
      <c r="J95" s="102" t="e">
        <f t="shared" si="15"/>
        <v>#REF!</v>
      </c>
      <c r="K95" s="103"/>
      <c r="L95" s="104"/>
      <c r="M95" s="105"/>
      <c r="N95" s="103">
        <v>0</v>
      </c>
      <c r="O95" s="106"/>
      <c r="P95" s="103">
        <v>0</v>
      </c>
      <c r="Q95" s="107">
        <f t="shared" si="1"/>
        <v>0</v>
      </c>
      <c r="R95" s="108">
        <v>0</v>
      </c>
      <c r="S95" s="119"/>
      <c r="T95" s="110">
        <f t="shared" si="22"/>
        <v>0</v>
      </c>
      <c r="U95" s="103"/>
      <c r="V95" s="112">
        <f t="shared" si="23"/>
        <v>0</v>
      </c>
      <c r="W95" s="112">
        <f t="shared" si="24"/>
        <v>0</v>
      </c>
      <c r="X95" s="113">
        <f t="shared" si="25"/>
        <v>0</v>
      </c>
      <c r="Y95" s="113">
        <v>0</v>
      </c>
      <c r="Z95" s="114">
        <v>0</v>
      </c>
      <c r="AA95" s="11">
        <f t="shared" si="26"/>
        <v>0</v>
      </c>
      <c r="AB95" s="115">
        <f t="shared" si="16"/>
        <v>0</v>
      </c>
      <c r="AC95" s="115" t="e">
        <f t="shared" si="17"/>
        <v>#REF!</v>
      </c>
      <c r="AD95" s="115">
        <f t="shared" si="18"/>
        <v>0</v>
      </c>
      <c r="AE95" s="11"/>
      <c r="AF95" s="115">
        <f t="shared" si="19"/>
        <v>0</v>
      </c>
      <c r="AG95" s="115">
        <f t="shared" si="20"/>
        <v>0</v>
      </c>
      <c r="AH95" s="115">
        <f t="shared" si="21"/>
        <v>0</v>
      </c>
      <c r="AJ95" s="11" t="e">
        <f t="shared" si="27"/>
        <v>#REF!</v>
      </c>
    </row>
    <row r="96" spans="1:36">
      <c r="A96" s="116" t="s">
        <v>46</v>
      </c>
      <c r="B96" s="116" t="s">
        <v>46</v>
      </c>
      <c r="C96" s="122"/>
      <c r="D96" s="120" t="s">
        <v>166</v>
      </c>
      <c r="E96" s="98">
        <v>2157.64</v>
      </c>
      <c r="F96" s="99" t="e">
        <f>VLOOKUP(D96,#REF!,17,FALSE)</f>
        <v>#REF!</v>
      </c>
      <c r="G96" s="100"/>
      <c r="H96" s="100"/>
      <c r="I96" s="101"/>
      <c r="J96" s="102" t="e">
        <f t="shared" si="15"/>
        <v>#REF!</v>
      </c>
      <c r="K96" s="103"/>
      <c r="L96" s="104"/>
      <c r="M96" s="105"/>
      <c r="N96" s="103">
        <v>0</v>
      </c>
      <c r="O96" s="106"/>
      <c r="P96" s="103">
        <v>0</v>
      </c>
      <c r="Q96" s="107">
        <f t="shared" si="1"/>
        <v>0</v>
      </c>
      <c r="R96" s="108">
        <v>0</v>
      </c>
      <c r="S96" s="119"/>
      <c r="T96" s="110">
        <f t="shared" si="22"/>
        <v>0</v>
      </c>
      <c r="U96" s="103"/>
      <c r="V96" s="112">
        <f t="shared" si="23"/>
        <v>0</v>
      </c>
      <c r="W96" s="112">
        <f t="shared" si="24"/>
        <v>0</v>
      </c>
      <c r="X96" s="113">
        <f t="shared" si="25"/>
        <v>0</v>
      </c>
      <c r="Y96" s="113">
        <v>0</v>
      </c>
      <c r="Z96" s="114">
        <v>0</v>
      </c>
      <c r="AA96" s="11">
        <f t="shared" si="26"/>
        <v>0</v>
      </c>
      <c r="AB96" s="115">
        <f t="shared" si="16"/>
        <v>0</v>
      </c>
      <c r="AC96" s="115" t="e">
        <f t="shared" si="17"/>
        <v>#REF!</v>
      </c>
      <c r="AD96" s="115">
        <f t="shared" si="18"/>
        <v>0</v>
      </c>
      <c r="AE96" s="11"/>
      <c r="AF96" s="115">
        <f t="shared" si="19"/>
        <v>0</v>
      </c>
      <c r="AG96" s="115">
        <f t="shared" si="20"/>
        <v>0</v>
      </c>
      <c r="AH96" s="115">
        <f t="shared" si="21"/>
        <v>0</v>
      </c>
      <c r="AJ96" s="11" t="e">
        <f t="shared" si="27"/>
        <v>#REF!</v>
      </c>
    </row>
    <row r="97" spans="1:36">
      <c r="A97" s="129"/>
      <c r="B97" s="129" t="s">
        <v>49</v>
      </c>
      <c r="C97" s="96"/>
      <c r="D97" s="120" t="s">
        <v>167</v>
      </c>
      <c r="E97" s="98"/>
      <c r="F97" s="99" t="e">
        <f>VLOOKUP(D97,#REF!,17,FALSE)</f>
        <v>#REF!</v>
      </c>
      <c r="G97" s="100"/>
      <c r="H97" s="100"/>
      <c r="I97" s="125">
        <v>101.44</v>
      </c>
      <c r="J97" s="102" t="e">
        <f t="shared" si="15"/>
        <v>#REF!</v>
      </c>
      <c r="K97" s="103"/>
      <c r="L97" s="104"/>
      <c r="M97" s="105"/>
      <c r="N97" s="103">
        <v>0</v>
      </c>
      <c r="O97" s="106"/>
      <c r="P97" s="103">
        <v>0</v>
      </c>
      <c r="Q97" s="107">
        <f t="shared" si="1"/>
        <v>0</v>
      </c>
      <c r="R97" s="108">
        <v>0</v>
      </c>
      <c r="S97" s="119"/>
      <c r="T97" s="110">
        <f t="shared" si="22"/>
        <v>0</v>
      </c>
      <c r="U97" s="103"/>
      <c r="V97" s="112">
        <f t="shared" si="23"/>
        <v>0</v>
      </c>
      <c r="W97" s="112">
        <f t="shared" si="24"/>
        <v>0</v>
      </c>
      <c r="X97" s="113">
        <f t="shared" si="25"/>
        <v>0</v>
      </c>
      <c r="Y97" s="113">
        <v>0</v>
      </c>
      <c r="Z97" s="114">
        <v>0</v>
      </c>
      <c r="AA97" s="11">
        <f t="shared" si="26"/>
        <v>0</v>
      </c>
      <c r="AB97" s="115" t="e">
        <f t="shared" si="16"/>
        <v>#REF!</v>
      </c>
      <c r="AC97" s="115">
        <f t="shared" si="17"/>
        <v>0</v>
      </c>
      <c r="AD97" s="115">
        <f t="shared" si="18"/>
        <v>0</v>
      </c>
      <c r="AE97" s="11"/>
      <c r="AF97" s="115">
        <f t="shared" si="19"/>
        <v>0</v>
      </c>
      <c r="AG97" s="115">
        <f t="shared" si="20"/>
        <v>0</v>
      </c>
      <c r="AH97" s="115">
        <f t="shared" si="21"/>
        <v>0</v>
      </c>
      <c r="AJ97" s="11" t="e">
        <f t="shared" si="27"/>
        <v>#REF!</v>
      </c>
    </row>
    <row r="98" spans="1:36">
      <c r="A98" s="129"/>
      <c r="B98" s="129" t="s">
        <v>49</v>
      </c>
      <c r="C98" s="96" t="s">
        <v>170</v>
      </c>
      <c r="D98" s="120" t="s">
        <v>169</v>
      </c>
      <c r="E98" s="98"/>
      <c r="F98" s="99" t="e">
        <f>VLOOKUP(D98,#REF!,17,FALSE)</f>
        <v>#REF!</v>
      </c>
      <c r="G98" s="100"/>
      <c r="H98" s="100"/>
      <c r="I98" s="101"/>
      <c r="J98" s="102" t="e">
        <f t="shared" si="15"/>
        <v>#REF!</v>
      </c>
      <c r="K98" s="103"/>
      <c r="L98" s="104"/>
      <c r="M98" s="105"/>
      <c r="N98" s="103">
        <v>0</v>
      </c>
      <c r="O98" s="106"/>
      <c r="P98" s="103">
        <v>0</v>
      </c>
      <c r="Q98" s="107">
        <f t="shared" si="1"/>
        <v>0</v>
      </c>
      <c r="R98" s="108">
        <v>0</v>
      </c>
      <c r="S98" s="119"/>
      <c r="T98" s="110">
        <f t="shared" si="22"/>
        <v>0</v>
      </c>
      <c r="U98" s="103"/>
      <c r="V98" s="112">
        <f t="shared" si="23"/>
        <v>0</v>
      </c>
      <c r="W98" s="112">
        <f t="shared" si="24"/>
        <v>0</v>
      </c>
      <c r="X98" s="113">
        <f t="shared" si="25"/>
        <v>0</v>
      </c>
      <c r="Y98" s="113">
        <v>0</v>
      </c>
      <c r="Z98" s="114">
        <v>0</v>
      </c>
      <c r="AA98" s="11">
        <f t="shared" si="26"/>
        <v>0</v>
      </c>
      <c r="AB98" s="115" t="e">
        <f t="shared" si="16"/>
        <v>#REF!</v>
      </c>
      <c r="AC98" s="115">
        <f t="shared" si="17"/>
        <v>0</v>
      </c>
      <c r="AD98" s="115">
        <f t="shared" si="18"/>
        <v>0</v>
      </c>
      <c r="AE98" s="11"/>
      <c r="AF98" s="115">
        <f t="shared" si="19"/>
        <v>0</v>
      </c>
      <c r="AG98" s="115">
        <f t="shared" si="20"/>
        <v>0</v>
      </c>
      <c r="AH98" s="115">
        <f t="shared" si="21"/>
        <v>0</v>
      </c>
      <c r="AJ98" s="11" t="e">
        <f t="shared" si="27"/>
        <v>#REF!</v>
      </c>
    </row>
    <row r="99" spans="1:36">
      <c r="A99" s="129"/>
      <c r="B99" s="129" t="s">
        <v>49</v>
      </c>
      <c r="C99" s="96" t="s">
        <v>170</v>
      </c>
      <c r="D99" s="120" t="s">
        <v>171</v>
      </c>
      <c r="E99" s="98"/>
      <c r="F99" s="99" t="e">
        <f>VLOOKUP(D99,#REF!,17,FALSE)</f>
        <v>#REF!</v>
      </c>
      <c r="G99" s="100"/>
      <c r="H99" s="100"/>
      <c r="I99" s="101"/>
      <c r="J99" s="102" t="e">
        <f t="shared" si="15"/>
        <v>#REF!</v>
      </c>
      <c r="K99" s="103"/>
      <c r="L99" s="104"/>
      <c r="M99" s="105"/>
      <c r="N99" s="103">
        <v>0</v>
      </c>
      <c r="O99" s="106"/>
      <c r="P99" s="103">
        <v>0</v>
      </c>
      <c r="Q99" s="107">
        <f t="shared" si="1"/>
        <v>0</v>
      </c>
      <c r="R99" s="108">
        <v>0</v>
      </c>
      <c r="S99" s="119"/>
      <c r="T99" s="110">
        <f t="shared" si="22"/>
        <v>0</v>
      </c>
      <c r="U99" s="103"/>
      <c r="V99" s="112">
        <f t="shared" si="23"/>
        <v>0</v>
      </c>
      <c r="W99" s="112">
        <f t="shared" si="24"/>
        <v>0</v>
      </c>
      <c r="X99" s="113">
        <f t="shared" si="25"/>
        <v>0</v>
      </c>
      <c r="Y99" s="113">
        <v>0</v>
      </c>
      <c r="Z99" s="114">
        <v>0</v>
      </c>
      <c r="AA99" s="11">
        <f t="shared" si="26"/>
        <v>0</v>
      </c>
      <c r="AB99" s="115" t="e">
        <f t="shared" si="16"/>
        <v>#REF!</v>
      </c>
      <c r="AC99" s="115">
        <f t="shared" si="17"/>
        <v>0</v>
      </c>
      <c r="AD99" s="115">
        <f t="shared" si="18"/>
        <v>0</v>
      </c>
      <c r="AE99" s="11"/>
      <c r="AF99" s="115">
        <f t="shared" si="19"/>
        <v>0</v>
      </c>
      <c r="AG99" s="115">
        <f t="shared" si="20"/>
        <v>0</v>
      </c>
      <c r="AH99" s="115">
        <f t="shared" si="21"/>
        <v>0</v>
      </c>
      <c r="AJ99" s="11" t="e">
        <f t="shared" si="27"/>
        <v>#REF!</v>
      </c>
    </row>
    <row r="100" spans="1:36">
      <c r="A100" s="116" t="s">
        <v>60</v>
      </c>
      <c r="B100" s="116" t="s">
        <v>49</v>
      </c>
      <c r="C100" s="122"/>
      <c r="D100" s="97" t="s">
        <v>173</v>
      </c>
      <c r="E100" s="98"/>
      <c r="F100" s="99" t="e">
        <f>VLOOKUP(D100,#REF!,17,FALSE)</f>
        <v>#REF!</v>
      </c>
      <c r="G100" s="100"/>
      <c r="H100" s="100"/>
      <c r="I100" s="125">
        <v>930.22</v>
      </c>
      <c r="J100" s="102" t="e">
        <f t="shared" si="15"/>
        <v>#REF!</v>
      </c>
      <c r="K100" s="103"/>
      <c r="L100" s="104"/>
      <c r="M100" s="105"/>
      <c r="N100" s="103">
        <v>0</v>
      </c>
      <c r="O100" s="106"/>
      <c r="P100" s="103">
        <v>0</v>
      </c>
      <c r="Q100" s="107">
        <f t="shared" si="1"/>
        <v>0</v>
      </c>
      <c r="R100" s="108">
        <v>0</v>
      </c>
      <c r="S100" s="119"/>
      <c r="T100" s="110">
        <f t="shared" si="22"/>
        <v>0</v>
      </c>
      <c r="U100" s="103"/>
      <c r="V100" s="112">
        <f t="shared" si="23"/>
        <v>0</v>
      </c>
      <c r="W100" s="112">
        <f t="shared" si="24"/>
        <v>0</v>
      </c>
      <c r="X100" s="113">
        <f t="shared" si="25"/>
        <v>0</v>
      </c>
      <c r="Y100" s="113">
        <v>0</v>
      </c>
      <c r="Z100" s="114">
        <v>0</v>
      </c>
      <c r="AA100" s="11">
        <f t="shared" si="26"/>
        <v>0</v>
      </c>
      <c r="AB100" s="115" t="e">
        <f t="shared" si="16"/>
        <v>#REF!</v>
      </c>
      <c r="AC100" s="115">
        <f t="shared" si="17"/>
        <v>0</v>
      </c>
      <c r="AD100" s="115">
        <f t="shared" si="18"/>
        <v>0</v>
      </c>
      <c r="AE100" s="11"/>
      <c r="AF100" s="115">
        <f t="shared" si="19"/>
        <v>0</v>
      </c>
      <c r="AG100" s="115">
        <f t="shared" si="20"/>
        <v>0</v>
      </c>
      <c r="AH100" s="115">
        <f t="shared" si="21"/>
        <v>0</v>
      </c>
      <c r="AJ100" s="11" t="e">
        <f t="shared" si="27"/>
        <v>#REF!</v>
      </c>
    </row>
    <row r="101" spans="1:36">
      <c r="A101" s="116"/>
      <c r="B101" s="116" t="s">
        <v>49</v>
      </c>
      <c r="C101" s="122"/>
      <c r="D101" s="97" t="s">
        <v>174</v>
      </c>
      <c r="E101" s="98">
        <f>5.94+70.59+104.92</f>
        <v>181.45</v>
      </c>
      <c r="F101" s="99" t="e">
        <f>VLOOKUP(D101,#REF!,17,FALSE)</f>
        <v>#REF!</v>
      </c>
      <c r="G101" s="100"/>
      <c r="H101" s="100"/>
      <c r="I101" s="101"/>
      <c r="J101" s="102" t="e">
        <f t="shared" si="15"/>
        <v>#REF!</v>
      </c>
      <c r="K101" s="103"/>
      <c r="L101" s="104"/>
      <c r="M101" s="105"/>
      <c r="N101" s="103">
        <v>0</v>
      </c>
      <c r="O101" s="106"/>
      <c r="P101" s="103">
        <v>0</v>
      </c>
      <c r="Q101" s="107">
        <f t="shared" si="1"/>
        <v>0</v>
      </c>
      <c r="R101" s="108">
        <v>0</v>
      </c>
      <c r="S101" s="119"/>
      <c r="T101" s="110">
        <f t="shared" si="22"/>
        <v>0</v>
      </c>
      <c r="U101" s="103"/>
      <c r="V101" s="112">
        <f t="shared" si="23"/>
        <v>0</v>
      </c>
      <c r="W101" s="112">
        <f t="shared" si="24"/>
        <v>0</v>
      </c>
      <c r="X101" s="113">
        <f t="shared" si="25"/>
        <v>0</v>
      </c>
      <c r="Y101" s="113">
        <v>0</v>
      </c>
      <c r="Z101" s="114">
        <v>0</v>
      </c>
      <c r="AA101" s="11">
        <f t="shared" si="26"/>
        <v>0</v>
      </c>
      <c r="AB101" s="115" t="e">
        <f t="shared" si="16"/>
        <v>#REF!</v>
      </c>
      <c r="AC101" s="115">
        <f t="shared" si="17"/>
        <v>0</v>
      </c>
      <c r="AD101" s="115">
        <f t="shared" si="18"/>
        <v>0</v>
      </c>
      <c r="AE101" s="11"/>
      <c r="AF101" s="115">
        <f t="shared" si="19"/>
        <v>0</v>
      </c>
      <c r="AG101" s="115">
        <f t="shared" si="20"/>
        <v>0</v>
      </c>
      <c r="AH101" s="115">
        <f t="shared" si="21"/>
        <v>0</v>
      </c>
      <c r="AJ101" s="11" t="e">
        <f t="shared" si="27"/>
        <v>#REF!</v>
      </c>
    </row>
    <row r="102" spans="1:36" s="124" customFormat="1">
      <c r="A102" s="123"/>
      <c r="B102" s="123" t="s">
        <v>49</v>
      </c>
      <c r="C102" s="122"/>
      <c r="D102" s="118" t="s">
        <v>416</v>
      </c>
      <c r="E102" s="98"/>
      <c r="F102" s="99" t="e">
        <f>VLOOKUP(D102,#REF!,17,FALSE)</f>
        <v>#REF!</v>
      </c>
      <c r="G102" s="100"/>
      <c r="H102" s="100"/>
      <c r="I102" s="125">
        <v>2186021.71</v>
      </c>
      <c r="J102" s="102" t="e">
        <f t="shared" si="15"/>
        <v>#REF!</v>
      </c>
      <c r="K102" s="103"/>
      <c r="L102" s="104"/>
      <c r="M102" s="105"/>
      <c r="N102" s="103">
        <v>0</v>
      </c>
      <c r="O102" s="106"/>
      <c r="P102" s="103">
        <v>0</v>
      </c>
      <c r="Q102" s="107">
        <f t="shared" si="1"/>
        <v>0</v>
      </c>
      <c r="R102" s="108">
        <v>0</v>
      </c>
      <c r="S102" s="119"/>
      <c r="T102" s="110">
        <f t="shared" si="22"/>
        <v>0</v>
      </c>
      <c r="U102" s="103"/>
      <c r="V102" s="112">
        <f t="shared" si="23"/>
        <v>0</v>
      </c>
      <c r="W102" s="112">
        <f t="shared" si="24"/>
        <v>0</v>
      </c>
      <c r="X102" s="113">
        <f t="shared" si="25"/>
        <v>0</v>
      </c>
      <c r="Y102" s="113">
        <v>0</v>
      </c>
      <c r="Z102" s="114">
        <v>0</v>
      </c>
      <c r="AA102" s="11">
        <f t="shared" si="26"/>
        <v>0</v>
      </c>
      <c r="AB102" s="115" t="e">
        <f t="shared" si="16"/>
        <v>#REF!</v>
      </c>
      <c r="AC102" s="115">
        <f t="shared" si="17"/>
        <v>0</v>
      </c>
      <c r="AD102" s="115">
        <f t="shared" si="18"/>
        <v>0</v>
      </c>
      <c r="AE102" s="11"/>
      <c r="AF102" s="115">
        <f t="shared" si="19"/>
        <v>0</v>
      </c>
      <c r="AG102" s="115">
        <f t="shared" si="20"/>
        <v>0</v>
      </c>
      <c r="AH102" s="115">
        <f t="shared" si="21"/>
        <v>0</v>
      </c>
      <c r="AJ102" s="11" t="e">
        <f t="shared" si="27"/>
        <v>#REF!</v>
      </c>
    </row>
    <row r="103" spans="1:36" s="124" customFormat="1">
      <c r="A103" s="123"/>
      <c r="B103" s="123" t="s">
        <v>49</v>
      </c>
      <c r="C103" s="122"/>
      <c r="D103" s="118" t="s">
        <v>417</v>
      </c>
      <c r="E103" s="98"/>
      <c r="F103" s="99" t="e">
        <f>VLOOKUP(D103,#REF!,17,FALSE)</f>
        <v>#REF!</v>
      </c>
      <c r="G103" s="100"/>
      <c r="H103" s="100"/>
      <c r="I103" s="125">
        <v>18252.45</v>
      </c>
      <c r="J103" s="102" t="e">
        <f t="shared" si="15"/>
        <v>#REF!</v>
      </c>
      <c r="K103" s="103"/>
      <c r="L103" s="104"/>
      <c r="M103" s="105"/>
      <c r="N103" s="103">
        <v>0</v>
      </c>
      <c r="O103" s="106"/>
      <c r="P103" s="103">
        <v>0</v>
      </c>
      <c r="Q103" s="107">
        <f t="shared" si="1"/>
        <v>0</v>
      </c>
      <c r="R103" s="108">
        <v>0</v>
      </c>
      <c r="S103" s="119"/>
      <c r="T103" s="110">
        <f t="shared" si="22"/>
        <v>0</v>
      </c>
      <c r="U103" s="103"/>
      <c r="V103" s="112">
        <f t="shared" si="23"/>
        <v>0</v>
      </c>
      <c r="W103" s="112">
        <f t="shared" si="24"/>
        <v>0</v>
      </c>
      <c r="X103" s="113">
        <f t="shared" si="25"/>
        <v>0</v>
      </c>
      <c r="Y103" s="113">
        <v>0</v>
      </c>
      <c r="Z103" s="114">
        <v>0</v>
      </c>
      <c r="AA103" s="11">
        <f t="shared" si="26"/>
        <v>0</v>
      </c>
      <c r="AB103" s="115" t="e">
        <f t="shared" si="16"/>
        <v>#REF!</v>
      </c>
      <c r="AC103" s="115">
        <f t="shared" si="17"/>
        <v>0</v>
      </c>
      <c r="AD103" s="115">
        <f t="shared" si="18"/>
        <v>0</v>
      </c>
      <c r="AE103" s="11"/>
      <c r="AF103" s="115">
        <f t="shared" si="19"/>
        <v>0</v>
      </c>
      <c r="AG103" s="115">
        <f t="shared" si="20"/>
        <v>0</v>
      </c>
      <c r="AH103" s="115">
        <f t="shared" si="21"/>
        <v>0</v>
      </c>
      <c r="AJ103" s="11" t="e">
        <f t="shared" si="27"/>
        <v>#REF!</v>
      </c>
    </row>
    <row r="104" spans="1:36" s="124" customFormat="1">
      <c r="A104" s="123"/>
      <c r="B104" s="123" t="s">
        <v>49</v>
      </c>
      <c r="C104" s="122"/>
      <c r="D104" s="285" t="s">
        <v>418</v>
      </c>
      <c r="E104" s="98"/>
      <c r="F104" s="99" t="e">
        <f>VLOOKUP(D104,#REF!,17,FALSE)</f>
        <v>#REF!</v>
      </c>
      <c r="G104" s="100"/>
      <c r="H104" s="100"/>
      <c r="I104" s="125">
        <v>1131293.52</v>
      </c>
      <c r="J104" s="102" t="e">
        <f t="shared" si="15"/>
        <v>#REF!</v>
      </c>
      <c r="K104" s="103"/>
      <c r="L104" s="104"/>
      <c r="M104" s="105"/>
      <c r="N104" s="103">
        <v>0</v>
      </c>
      <c r="O104" s="106"/>
      <c r="P104" s="103">
        <v>0</v>
      </c>
      <c r="Q104" s="107">
        <f t="shared" si="1"/>
        <v>0</v>
      </c>
      <c r="R104" s="108">
        <v>0</v>
      </c>
      <c r="S104" s="119"/>
      <c r="T104" s="110">
        <f t="shared" si="22"/>
        <v>0</v>
      </c>
      <c r="U104" s="103"/>
      <c r="V104" s="112">
        <f t="shared" si="23"/>
        <v>0</v>
      </c>
      <c r="W104" s="112">
        <f t="shared" si="24"/>
        <v>0</v>
      </c>
      <c r="X104" s="113">
        <f t="shared" si="25"/>
        <v>0</v>
      </c>
      <c r="Y104" s="113">
        <v>0</v>
      </c>
      <c r="Z104" s="114">
        <v>0</v>
      </c>
      <c r="AA104" s="11">
        <f t="shared" si="26"/>
        <v>0</v>
      </c>
      <c r="AB104" s="115" t="e">
        <f t="shared" si="16"/>
        <v>#REF!</v>
      </c>
      <c r="AC104" s="115">
        <f t="shared" si="17"/>
        <v>0</v>
      </c>
      <c r="AD104" s="115">
        <f t="shared" si="18"/>
        <v>0</v>
      </c>
      <c r="AE104" s="11"/>
      <c r="AF104" s="115">
        <f t="shared" si="19"/>
        <v>0</v>
      </c>
      <c r="AG104" s="115">
        <f t="shared" si="20"/>
        <v>0</v>
      </c>
      <c r="AH104" s="115">
        <f t="shared" si="21"/>
        <v>0</v>
      </c>
      <c r="AJ104" s="11" t="e">
        <f t="shared" si="27"/>
        <v>#REF!</v>
      </c>
    </row>
    <row r="105" spans="1:36" s="124" customFormat="1">
      <c r="A105" s="123"/>
      <c r="B105" s="123" t="s">
        <v>49</v>
      </c>
      <c r="C105" s="122"/>
      <c r="D105" s="118" t="s">
        <v>419</v>
      </c>
      <c r="E105" s="98"/>
      <c r="F105" s="99" t="e">
        <f>VLOOKUP(D105,#REF!,17,FALSE)</f>
        <v>#REF!</v>
      </c>
      <c r="G105" s="100"/>
      <c r="H105" s="100"/>
      <c r="I105" s="125">
        <v>788.26</v>
      </c>
      <c r="J105" s="102" t="e">
        <f t="shared" si="15"/>
        <v>#REF!</v>
      </c>
      <c r="K105" s="103"/>
      <c r="L105" s="104"/>
      <c r="M105" s="105"/>
      <c r="N105" s="103">
        <v>0</v>
      </c>
      <c r="O105" s="106"/>
      <c r="P105" s="103">
        <v>0</v>
      </c>
      <c r="Q105" s="107">
        <f t="shared" si="1"/>
        <v>0</v>
      </c>
      <c r="R105" s="108">
        <v>0</v>
      </c>
      <c r="S105" s="119"/>
      <c r="T105" s="110">
        <f t="shared" si="22"/>
        <v>0</v>
      </c>
      <c r="U105" s="103"/>
      <c r="V105" s="112">
        <f t="shared" si="23"/>
        <v>0</v>
      </c>
      <c r="W105" s="112">
        <f t="shared" si="24"/>
        <v>0</v>
      </c>
      <c r="X105" s="113">
        <f t="shared" si="25"/>
        <v>0</v>
      </c>
      <c r="Y105" s="113">
        <v>0</v>
      </c>
      <c r="Z105" s="114">
        <v>0</v>
      </c>
      <c r="AA105" s="11">
        <f t="shared" si="26"/>
        <v>0</v>
      </c>
      <c r="AB105" s="115" t="e">
        <f t="shared" si="16"/>
        <v>#REF!</v>
      </c>
      <c r="AC105" s="115">
        <f t="shared" si="17"/>
        <v>0</v>
      </c>
      <c r="AD105" s="115">
        <f t="shared" si="18"/>
        <v>0</v>
      </c>
      <c r="AE105" s="11"/>
      <c r="AF105" s="115">
        <f t="shared" si="19"/>
        <v>0</v>
      </c>
      <c r="AG105" s="115">
        <f t="shared" si="20"/>
        <v>0</v>
      </c>
      <c r="AH105" s="115">
        <f t="shared" si="21"/>
        <v>0</v>
      </c>
      <c r="AJ105" s="11" t="e">
        <f t="shared" si="27"/>
        <v>#REF!</v>
      </c>
    </row>
    <row r="106" spans="1:36" s="124" customFormat="1">
      <c r="A106" s="123"/>
      <c r="B106" s="123" t="s">
        <v>49</v>
      </c>
      <c r="C106" s="122"/>
      <c r="D106" s="118" t="s">
        <v>420</v>
      </c>
      <c r="E106" s="98"/>
      <c r="F106" s="99" t="e">
        <f>VLOOKUP(D106,#REF!,17,FALSE)</f>
        <v>#REF!</v>
      </c>
      <c r="G106" s="100"/>
      <c r="H106" s="100"/>
      <c r="I106" s="125">
        <v>280374.63</v>
      </c>
      <c r="J106" s="102" t="e">
        <f t="shared" si="15"/>
        <v>#REF!</v>
      </c>
      <c r="K106" s="103"/>
      <c r="L106" s="104"/>
      <c r="M106" s="105"/>
      <c r="N106" s="103">
        <v>0</v>
      </c>
      <c r="O106" s="106"/>
      <c r="P106" s="103">
        <v>0</v>
      </c>
      <c r="Q106" s="107">
        <f t="shared" si="1"/>
        <v>0</v>
      </c>
      <c r="R106" s="108">
        <v>0</v>
      </c>
      <c r="S106" s="119"/>
      <c r="T106" s="110">
        <f t="shared" si="22"/>
        <v>0</v>
      </c>
      <c r="U106" s="103"/>
      <c r="V106" s="112">
        <f t="shared" si="23"/>
        <v>0</v>
      </c>
      <c r="W106" s="112">
        <f t="shared" si="24"/>
        <v>0</v>
      </c>
      <c r="X106" s="113">
        <f t="shared" si="25"/>
        <v>0</v>
      </c>
      <c r="Y106" s="113">
        <v>0</v>
      </c>
      <c r="Z106" s="114">
        <v>0</v>
      </c>
      <c r="AA106" s="11">
        <f t="shared" si="26"/>
        <v>0</v>
      </c>
      <c r="AB106" s="115" t="e">
        <f t="shared" si="16"/>
        <v>#REF!</v>
      </c>
      <c r="AC106" s="115">
        <f t="shared" si="17"/>
        <v>0</v>
      </c>
      <c r="AD106" s="115">
        <f t="shared" si="18"/>
        <v>0</v>
      </c>
      <c r="AE106" s="11"/>
      <c r="AF106" s="115">
        <f t="shared" si="19"/>
        <v>0</v>
      </c>
      <c r="AG106" s="115">
        <f t="shared" si="20"/>
        <v>0</v>
      </c>
      <c r="AH106" s="115">
        <f t="shared" si="21"/>
        <v>0</v>
      </c>
      <c r="AJ106" s="11" t="e">
        <f t="shared" si="27"/>
        <v>#REF!</v>
      </c>
    </row>
    <row r="107" spans="1:36" s="124" customFormat="1">
      <c r="A107" s="123"/>
      <c r="B107" s="123" t="s">
        <v>49</v>
      </c>
      <c r="C107" s="122"/>
      <c r="D107" s="118" t="s">
        <v>421</v>
      </c>
      <c r="E107" s="98"/>
      <c r="F107" s="99" t="e">
        <f>VLOOKUP(D107,#REF!,17,FALSE)</f>
        <v>#REF!</v>
      </c>
      <c r="G107" s="100"/>
      <c r="H107" s="100"/>
      <c r="I107" s="125">
        <v>602.76</v>
      </c>
      <c r="J107" s="102" t="e">
        <f t="shared" si="15"/>
        <v>#REF!</v>
      </c>
      <c r="K107" s="103"/>
      <c r="L107" s="104"/>
      <c r="M107" s="105"/>
      <c r="N107" s="103">
        <v>0</v>
      </c>
      <c r="O107" s="106"/>
      <c r="P107" s="103">
        <v>0</v>
      </c>
      <c r="Q107" s="107">
        <f t="shared" si="1"/>
        <v>0</v>
      </c>
      <c r="R107" s="108">
        <v>0</v>
      </c>
      <c r="S107" s="119"/>
      <c r="T107" s="110">
        <f t="shared" si="22"/>
        <v>0</v>
      </c>
      <c r="U107" s="103"/>
      <c r="V107" s="112">
        <f t="shared" si="23"/>
        <v>0</v>
      </c>
      <c r="W107" s="112">
        <f t="shared" si="24"/>
        <v>0</v>
      </c>
      <c r="X107" s="113">
        <f t="shared" si="25"/>
        <v>0</v>
      </c>
      <c r="Y107" s="113">
        <v>0</v>
      </c>
      <c r="Z107" s="114">
        <v>0</v>
      </c>
      <c r="AA107" s="11">
        <f t="shared" si="26"/>
        <v>0</v>
      </c>
      <c r="AB107" s="115" t="e">
        <f t="shared" si="16"/>
        <v>#REF!</v>
      </c>
      <c r="AC107" s="115">
        <f t="shared" si="17"/>
        <v>0</v>
      </c>
      <c r="AD107" s="115">
        <f t="shared" si="18"/>
        <v>0</v>
      </c>
      <c r="AE107" s="11"/>
      <c r="AF107" s="115">
        <f t="shared" si="19"/>
        <v>0</v>
      </c>
      <c r="AG107" s="115">
        <f t="shared" si="20"/>
        <v>0</v>
      </c>
      <c r="AH107" s="115">
        <f t="shared" si="21"/>
        <v>0</v>
      </c>
      <c r="AJ107" s="11" t="e">
        <f t="shared" si="27"/>
        <v>#REF!</v>
      </c>
    </row>
    <row r="108" spans="1:36" s="124" customFormat="1">
      <c r="A108" s="123"/>
      <c r="B108" s="123" t="s">
        <v>49</v>
      </c>
      <c r="C108" s="122"/>
      <c r="D108" s="118" t="s">
        <v>422</v>
      </c>
      <c r="E108" s="98"/>
      <c r="F108" s="99" t="e">
        <f>VLOOKUP(D108,#REF!,17,FALSE)</f>
        <v>#REF!</v>
      </c>
      <c r="G108" s="100"/>
      <c r="H108" s="100"/>
      <c r="I108" s="125">
        <v>345870.59</v>
      </c>
      <c r="J108" s="102" t="e">
        <f t="shared" si="15"/>
        <v>#REF!</v>
      </c>
      <c r="K108" s="103"/>
      <c r="L108" s="104"/>
      <c r="M108" s="105"/>
      <c r="N108" s="103">
        <v>0</v>
      </c>
      <c r="O108" s="106"/>
      <c r="P108" s="103">
        <v>0</v>
      </c>
      <c r="Q108" s="107">
        <f t="shared" si="1"/>
        <v>0</v>
      </c>
      <c r="R108" s="108">
        <v>0</v>
      </c>
      <c r="S108" s="119"/>
      <c r="T108" s="110">
        <f t="shared" si="22"/>
        <v>0</v>
      </c>
      <c r="U108" s="103"/>
      <c r="V108" s="112">
        <f t="shared" si="23"/>
        <v>0</v>
      </c>
      <c r="W108" s="112">
        <f t="shared" si="24"/>
        <v>0</v>
      </c>
      <c r="X108" s="113">
        <f t="shared" si="25"/>
        <v>0</v>
      </c>
      <c r="Y108" s="113">
        <v>0</v>
      </c>
      <c r="Z108" s="114">
        <v>0</v>
      </c>
      <c r="AA108" s="11">
        <f t="shared" si="26"/>
        <v>0</v>
      </c>
      <c r="AB108" s="115" t="e">
        <f t="shared" si="16"/>
        <v>#REF!</v>
      </c>
      <c r="AC108" s="115">
        <f t="shared" si="17"/>
        <v>0</v>
      </c>
      <c r="AD108" s="115">
        <f t="shared" si="18"/>
        <v>0</v>
      </c>
      <c r="AE108" s="11"/>
      <c r="AF108" s="115">
        <f t="shared" si="19"/>
        <v>0</v>
      </c>
      <c r="AG108" s="115">
        <f t="shared" si="20"/>
        <v>0</v>
      </c>
      <c r="AH108" s="115">
        <f t="shared" si="21"/>
        <v>0</v>
      </c>
      <c r="AJ108" s="11" t="e">
        <f t="shared" si="27"/>
        <v>#REF!</v>
      </c>
    </row>
    <row r="109" spans="1:36" s="124" customFormat="1">
      <c r="A109" s="123"/>
      <c r="B109" s="123" t="s">
        <v>49</v>
      </c>
      <c r="C109" s="122"/>
      <c r="D109" s="118" t="s">
        <v>423</v>
      </c>
      <c r="E109" s="98"/>
      <c r="F109" s="99" t="e">
        <f>VLOOKUP(D109,#REF!,17,FALSE)</f>
        <v>#REF!</v>
      </c>
      <c r="G109" s="100"/>
      <c r="H109" s="100"/>
      <c r="I109" s="125">
        <v>753.64</v>
      </c>
      <c r="J109" s="102" t="e">
        <f t="shared" si="15"/>
        <v>#REF!</v>
      </c>
      <c r="K109" s="103"/>
      <c r="L109" s="104"/>
      <c r="M109" s="105"/>
      <c r="N109" s="103">
        <v>0</v>
      </c>
      <c r="O109" s="106"/>
      <c r="P109" s="103">
        <v>0</v>
      </c>
      <c r="Q109" s="107">
        <f t="shared" si="1"/>
        <v>0</v>
      </c>
      <c r="R109" s="108">
        <v>0</v>
      </c>
      <c r="S109" s="119"/>
      <c r="T109" s="110">
        <f t="shared" si="22"/>
        <v>0</v>
      </c>
      <c r="U109" s="103"/>
      <c r="V109" s="112">
        <f t="shared" si="23"/>
        <v>0</v>
      </c>
      <c r="W109" s="112">
        <f t="shared" si="24"/>
        <v>0</v>
      </c>
      <c r="X109" s="113">
        <f t="shared" si="25"/>
        <v>0</v>
      </c>
      <c r="Y109" s="113">
        <v>0</v>
      </c>
      <c r="Z109" s="114">
        <v>0</v>
      </c>
      <c r="AA109" s="11">
        <f t="shared" si="26"/>
        <v>0</v>
      </c>
      <c r="AB109" s="115" t="e">
        <f t="shared" si="16"/>
        <v>#REF!</v>
      </c>
      <c r="AC109" s="115">
        <f t="shared" si="17"/>
        <v>0</v>
      </c>
      <c r="AD109" s="115">
        <f t="shared" si="18"/>
        <v>0</v>
      </c>
      <c r="AE109" s="11"/>
      <c r="AF109" s="115">
        <f t="shared" si="19"/>
        <v>0</v>
      </c>
      <c r="AG109" s="115">
        <f t="shared" si="20"/>
        <v>0</v>
      </c>
      <c r="AH109" s="115">
        <f t="shared" si="21"/>
        <v>0</v>
      </c>
      <c r="AJ109" s="11" t="e">
        <f t="shared" si="27"/>
        <v>#REF!</v>
      </c>
    </row>
    <row r="110" spans="1:36" s="124" customFormat="1">
      <c r="A110" s="123"/>
      <c r="B110" s="123" t="s">
        <v>49</v>
      </c>
      <c r="C110" s="122"/>
      <c r="D110" s="118" t="s">
        <v>424</v>
      </c>
      <c r="E110" s="98"/>
      <c r="F110" s="99" t="e">
        <f>VLOOKUP(D110,#REF!,17,FALSE)</f>
        <v>#REF!</v>
      </c>
      <c r="G110" s="100"/>
      <c r="H110" s="100"/>
      <c r="I110" s="125">
        <v>91492.35</v>
      </c>
      <c r="J110" s="102" t="e">
        <f t="shared" si="15"/>
        <v>#REF!</v>
      </c>
      <c r="K110" s="103"/>
      <c r="L110" s="104"/>
      <c r="M110" s="105"/>
      <c r="N110" s="103">
        <v>0</v>
      </c>
      <c r="O110" s="106"/>
      <c r="P110" s="103">
        <v>0</v>
      </c>
      <c r="Q110" s="107">
        <f t="shared" si="1"/>
        <v>0</v>
      </c>
      <c r="R110" s="108">
        <v>0</v>
      </c>
      <c r="S110" s="119"/>
      <c r="T110" s="110">
        <f t="shared" si="22"/>
        <v>0</v>
      </c>
      <c r="U110" s="103"/>
      <c r="V110" s="112">
        <f t="shared" si="23"/>
        <v>0</v>
      </c>
      <c r="W110" s="112">
        <f t="shared" si="24"/>
        <v>0</v>
      </c>
      <c r="X110" s="113">
        <f t="shared" si="25"/>
        <v>0</v>
      </c>
      <c r="Y110" s="113">
        <v>0</v>
      </c>
      <c r="Z110" s="114">
        <v>0</v>
      </c>
      <c r="AA110" s="11">
        <f t="shared" si="26"/>
        <v>0</v>
      </c>
      <c r="AB110" s="115" t="e">
        <f t="shared" si="16"/>
        <v>#REF!</v>
      </c>
      <c r="AC110" s="115">
        <f t="shared" si="17"/>
        <v>0</v>
      </c>
      <c r="AD110" s="115">
        <f t="shared" si="18"/>
        <v>0</v>
      </c>
      <c r="AE110" s="11"/>
      <c r="AF110" s="115">
        <f t="shared" si="19"/>
        <v>0</v>
      </c>
      <c r="AG110" s="115">
        <f t="shared" si="20"/>
        <v>0</v>
      </c>
      <c r="AH110" s="115">
        <f t="shared" si="21"/>
        <v>0</v>
      </c>
      <c r="AJ110" s="11" t="e">
        <f t="shared" si="27"/>
        <v>#REF!</v>
      </c>
    </row>
    <row r="111" spans="1:36" s="124" customFormat="1">
      <c r="A111" s="123"/>
      <c r="B111" s="123" t="s">
        <v>49</v>
      </c>
      <c r="C111" s="122"/>
      <c r="D111" s="118" t="s">
        <v>425</v>
      </c>
      <c r="E111" s="98"/>
      <c r="F111" s="99" t="e">
        <f>VLOOKUP(D111,#REF!,17,FALSE)</f>
        <v>#REF!</v>
      </c>
      <c r="G111" s="100"/>
      <c r="H111" s="100"/>
      <c r="I111" s="125">
        <v>86423.89</v>
      </c>
      <c r="J111" s="102" t="e">
        <f t="shared" si="15"/>
        <v>#REF!</v>
      </c>
      <c r="K111" s="103"/>
      <c r="L111" s="104"/>
      <c r="M111" s="105"/>
      <c r="N111" s="103">
        <v>0</v>
      </c>
      <c r="O111" s="106"/>
      <c r="P111" s="103">
        <v>0</v>
      </c>
      <c r="Q111" s="107">
        <f t="shared" si="1"/>
        <v>0</v>
      </c>
      <c r="R111" s="108">
        <v>0</v>
      </c>
      <c r="S111" s="119"/>
      <c r="T111" s="110">
        <f t="shared" si="22"/>
        <v>0</v>
      </c>
      <c r="U111" s="103"/>
      <c r="V111" s="112">
        <f t="shared" si="23"/>
        <v>0</v>
      </c>
      <c r="W111" s="112">
        <f t="shared" si="24"/>
        <v>0</v>
      </c>
      <c r="X111" s="113">
        <f t="shared" si="25"/>
        <v>0</v>
      </c>
      <c r="Y111" s="113">
        <v>0</v>
      </c>
      <c r="Z111" s="114">
        <v>0</v>
      </c>
      <c r="AA111" s="11">
        <f t="shared" si="26"/>
        <v>0</v>
      </c>
      <c r="AB111" s="115" t="e">
        <f t="shared" si="16"/>
        <v>#REF!</v>
      </c>
      <c r="AC111" s="115">
        <f t="shared" si="17"/>
        <v>0</v>
      </c>
      <c r="AD111" s="115">
        <f t="shared" si="18"/>
        <v>0</v>
      </c>
      <c r="AE111" s="11"/>
      <c r="AF111" s="115">
        <f t="shared" si="19"/>
        <v>0</v>
      </c>
      <c r="AG111" s="115">
        <f t="shared" si="20"/>
        <v>0</v>
      </c>
      <c r="AH111" s="115">
        <f t="shared" si="21"/>
        <v>0</v>
      </c>
      <c r="AJ111" s="11" t="e">
        <f t="shared" si="27"/>
        <v>#REF!</v>
      </c>
    </row>
    <row r="112" spans="1:36" s="124" customFormat="1">
      <c r="A112" s="123"/>
      <c r="B112" s="123" t="s">
        <v>49</v>
      </c>
      <c r="C112" s="122"/>
      <c r="D112" s="118" t="s">
        <v>426</v>
      </c>
      <c r="E112" s="98"/>
      <c r="F112" s="99" t="e">
        <f>VLOOKUP(D112,#REF!,17,FALSE)</f>
        <v>#REF!</v>
      </c>
      <c r="G112" s="100"/>
      <c r="H112" s="100"/>
      <c r="I112" s="125">
        <v>101.18</v>
      </c>
      <c r="J112" s="102" t="e">
        <f t="shared" si="15"/>
        <v>#REF!</v>
      </c>
      <c r="K112" s="103"/>
      <c r="L112" s="104"/>
      <c r="M112" s="105"/>
      <c r="N112" s="103">
        <v>0</v>
      </c>
      <c r="O112" s="106"/>
      <c r="P112" s="103">
        <v>0</v>
      </c>
      <c r="Q112" s="107">
        <f t="shared" si="1"/>
        <v>0</v>
      </c>
      <c r="R112" s="108">
        <v>0</v>
      </c>
      <c r="S112" s="119"/>
      <c r="T112" s="110">
        <f t="shared" si="22"/>
        <v>0</v>
      </c>
      <c r="U112" s="103"/>
      <c r="V112" s="112">
        <f t="shared" si="23"/>
        <v>0</v>
      </c>
      <c r="W112" s="112">
        <f t="shared" si="24"/>
        <v>0</v>
      </c>
      <c r="X112" s="113">
        <f t="shared" si="25"/>
        <v>0</v>
      </c>
      <c r="Y112" s="113">
        <v>0</v>
      </c>
      <c r="Z112" s="114">
        <v>0</v>
      </c>
      <c r="AA112" s="11">
        <f t="shared" si="26"/>
        <v>0</v>
      </c>
      <c r="AB112" s="115" t="e">
        <f t="shared" si="16"/>
        <v>#REF!</v>
      </c>
      <c r="AC112" s="115">
        <f t="shared" si="17"/>
        <v>0</v>
      </c>
      <c r="AD112" s="115">
        <f t="shared" si="18"/>
        <v>0</v>
      </c>
      <c r="AE112" s="11"/>
      <c r="AF112" s="115">
        <f t="shared" si="19"/>
        <v>0</v>
      </c>
      <c r="AG112" s="115">
        <f t="shared" si="20"/>
        <v>0</v>
      </c>
      <c r="AH112" s="115">
        <f t="shared" si="21"/>
        <v>0</v>
      </c>
      <c r="AJ112" s="11" t="e">
        <f t="shared" si="27"/>
        <v>#REF!</v>
      </c>
    </row>
    <row r="113" spans="1:36" s="124" customFormat="1">
      <c r="A113" s="123"/>
      <c r="B113" s="123" t="s">
        <v>49</v>
      </c>
      <c r="C113" s="122"/>
      <c r="D113" s="118" t="s">
        <v>427</v>
      </c>
      <c r="E113" s="98"/>
      <c r="F113" s="99" t="e">
        <f>VLOOKUP(D113,#REF!,17,FALSE)</f>
        <v>#REF!</v>
      </c>
      <c r="G113" s="100"/>
      <c r="H113" s="100"/>
      <c r="I113" s="125">
        <v>1916.13</v>
      </c>
      <c r="J113" s="102" t="e">
        <f t="shared" si="15"/>
        <v>#REF!</v>
      </c>
      <c r="K113" s="103"/>
      <c r="L113" s="104"/>
      <c r="M113" s="105"/>
      <c r="N113" s="103">
        <v>0</v>
      </c>
      <c r="O113" s="106"/>
      <c r="P113" s="103">
        <v>0</v>
      </c>
      <c r="Q113" s="107">
        <f t="shared" si="1"/>
        <v>0</v>
      </c>
      <c r="R113" s="108">
        <v>0</v>
      </c>
      <c r="S113" s="119"/>
      <c r="T113" s="110">
        <f t="shared" si="22"/>
        <v>0</v>
      </c>
      <c r="U113" s="103"/>
      <c r="V113" s="112">
        <f t="shared" si="23"/>
        <v>0</v>
      </c>
      <c r="W113" s="112">
        <f t="shared" si="24"/>
        <v>0</v>
      </c>
      <c r="X113" s="113">
        <f t="shared" si="25"/>
        <v>0</v>
      </c>
      <c r="Y113" s="113">
        <v>0</v>
      </c>
      <c r="Z113" s="114">
        <v>0</v>
      </c>
      <c r="AA113" s="11">
        <f t="shared" si="26"/>
        <v>0</v>
      </c>
      <c r="AB113" s="115" t="e">
        <f t="shared" si="16"/>
        <v>#REF!</v>
      </c>
      <c r="AC113" s="115">
        <f t="shared" si="17"/>
        <v>0</v>
      </c>
      <c r="AD113" s="115">
        <f t="shared" si="18"/>
        <v>0</v>
      </c>
      <c r="AE113" s="11"/>
      <c r="AF113" s="115">
        <f t="shared" si="19"/>
        <v>0</v>
      </c>
      <c r="AG113" s="115">
        <f t="shared" si="20"/>
        <v>0</v>
      </c>
      <c r="AH113" s="115">
        <f t="shared" si="21"/>
        <v>0</v>
      </c>
      <c r="AJ113" s="11" t="e">
        <f t="shared" si="27"/>
        <v>#REF!</v>
      </c>
    </row>
    <row r="114" spans="1:36" s="124" customFormat="1">
      <c r="A114" s="123"/>
      <c r="B114" s="123" t="s">
        <v>49</v>
      </c>
      <c r="C114" s="122"/>
      <c r="D114" s="118" t="s">
        <v>428</v>
      </c>
      <c r="E114" s="98"/>
      <c r="F114" s="99" t="e">
        <f>VLOOKUP(D114,#REF!,17,FALSE)</f>
        <v>#REF!</v>
      </c>
      <c r="G114" s="100"/>
      <c r="H114" s="100"/>
      <c r="I114" s="125">
        <v>1474.04</v>
      </c>
      <c r="J114" s="102" t="e">
        <f t="shared" si="15"/>
        <v>#REF!</v>
      </c>
      <c r="K114" s="103"/>
      <c r="L114" s="104"/>
      <c r="M114" s="105"/>
      <c r="N114" s="103">
        <v>0</v>
      </c>
      <c r="O114" s="106"/>
      <c r="P114" s="103">
        <v>0</v>
      </c>
      <c r="Q114" s="107">
        <f t="shared" si="1"/>
        <v>0</v>
      </c>
      <c r="R114" s="108">
        <v>0</v>
      </c>
      <c r="S114" s="119"/>
      <c r="T114" s="110">
        <f t="shared" si="22"/>
        <v>0</v>
      </c>
      <c r="U114" s="103"/>
      <c r="V114" s="112">
        <f t="shared" si="23"/>
        <v>0</v>
      </c>
      <c r="W114" s="112">
        <f t="shared" si="24"/>
        <v>0</v>
      </c>
      <c r="X114" s="113">
        <f t="shared" si="25"/>
        <v>0</v>
      </c>
      <c r="Y114" s="113">
        <v>0</v>
      </c>
      <c r="Z114" s="114">
        <v>0</v>
      </c>
      <c r="AA114" s="11">
        <f t="shared" si="26"/>
        <v>0</v>
      </c>
      <c r="AB114" s="115" t="e">
        <f t="shared" si="16"/>
        <v>#REF!</v>
      </c>
      <c r="AC114" s="115">
        <f t="shared" si="17"/>
        <v>0</v>
      </c>
      <c r="AD114" s="115">
        <f t="shared" si="18"/>
        <v>0</v>
      </c>
      <c r="AE114" s="11"/>
      <c r="AF114" s="115">
        <f t="shared" si="19"/>
        <v>0</v>
      </c>
      <c r="AG114" s="115">
        <f t="shared" si="20"/>
        <v>0</v>
      </c>
      <c r="AH114" s="115">
        <f t="shared" si="21"/>
        <v>0</v>
      </c>
      <c r="AJ114" s="11" t="e">
        <f t="shared" si="27"/>
        <v>#REF!</v>
      </c>
    </row>
    <row r="115" spans="1:36" s="124" customFormat="1">
      <c r="A115" s="123"/>
      <c r="B115" s="123" t="s">
        <v>49</v>
      </c>
      <c r="C115" s="122"/>
      <c r="D115" s="118" t="s">
        <v>429</v>
      </c>
      <c r="E115" s="98"/>
      <c r="F115" s="99" t="e">
        <f>VLOOKUP(D115,#REF!,17,FALSE)</f>
        <v>#REF!</v>
      </c>
      <c r="G115" s="100"/>
      <c r="H115" s="100"/>
      <c r="I115" s="125">
        <f>16896.24+2387.17+1441.32+6442.28+347.76+87.76</f>
        <v>27602.53</v>
      </c>
      <c r="J115" s="102" t="e">
        <f>SUM(E115:I115)</f>
        <v>#REF!</v>
      </c>
      <c r="K115" s="103"/>
      <c r="L115" s="104"/>
      <c r="M115" s="105"/>
      <c r="N115" s="103">
        <v>0</v>
      </c>
      <c r="O115" s="106"/>
      <c r="P115" s="103"/>
      <c r="Q115" s="107">
        <f t="shared" si="1"/>
        <v>0</v>
      </c>
      <c r="R115" s="108">
        <v>0</v>
      </c>
      <c r="S115" s="119"/>
      <c r="T115" s="110">
        <f t="shared" si="22"/>
        <v>0</v>
      </c>
      <c r="U115" s="103"/>
      <c r="V115" s="112">
        <f t="shared" si="23"/>
        <v>0</v>
      </c>
      <c r="W115" s="112">
        <f t="shared" si="24"/>
        <v>0</v>
      </c>
      <c r="X115" s="113">
        <f t="shared" si="25"/>
        <v>0</v>
      </c>
      <c r="Y115" s="113">
        <v>0</v>
      </c>
      <c r="Z115" s="114">
        <v>0</v>
      </c>
      <c r="AA115" s="11">
        <f t="shared" si="26"/>
        <v>0</v>
      </c>
      <c r="AB115" s="115" t="e">
        <f t="shared" si="16"/>
        <v>#REF!</v>
      </c>
      <c r="AC115" s="115">
        <f t="shared" si="17"/>
        <v>0</v>
      </c>
      <c r="AD115" s="115">
        <f t="shared" si="18"/>
        <v>0</v>
      </c>
      <c r="AE115" s="11"/>
      <c r="AF115" s="115">
        <f t="shared" si="19"/>
        <v>0</v>
      </c>
      <c r="AG115" s="115">
        <f t="shared" si="20"/>
        <v>0</v>
      </c>
      <c r="AH115" s="115">
        <f t="shared" si="21"/>
        <v>0</v>
      </c>
      <c r="AJ115" s="11" t="e">
        <f t="shared" si="27"/>
        <v>#REF!</v>
      </c>
    </row>
    <row r="116" spans="1:36" s="14" customFormat="1">
      <c r="A116" s="130"/>
      <c r="B116" s="130" t="s">
        <v>49</v>
      </c>
      <c r="C116" s="122"/>
      <c r="D116" s="120" t="s">
        <v>184</v>
      </c>
      <c r="E116" s="98">
        <v>33.619999999999997</v>
      </c>
      <c r="F116" s="99" t="e">
        <f>VLOOKUP(D116,#REF!,17,FALSE)</f>
        <v>#REF!</v>
      </c>
      <c r="G116" s="100"/>
      <c r="H116" s="100"/>
      <c r="I116" s="125">
        <v>19.36</v>
      </c>
      <c r="J116" s="102" t="e">
        <f t="shared" ref="J116" si="28">SUM(E116:I116)</f>
        <v>#REF!</v>
      </c>
      <c r="K116" s="103"/>
      <c r="L116" s="104"/>
      <c r="M116" s="105"/>
      <c r="N116" s="133"/>
      <c r="O116" s="136"/>
      <c r="P116" s="133"/>
      <c r="Q116" s="107">
        <f t="shared" si="1"/>
        <v>0</v>
      </c>
      <c r="R116" s="108">
        <v>0</v>
      </c>
      <c r="S116" s="119"/>
      <c r="T116" s="110">
        <f t="shared" si="22"/>
        <v>0</v>
      </c>
      <c r="U116" s="103"/>
      <c r="V116" s="112">
        <f t="shared" si="23"/>
        <v>0</v>
      </c>
      <c r="W116" s="112">
        <f t="shared" si="24"/>
        <v>0</v>
      </c>
      <c r="X116" s="113">
        <f t="shared" si="25"/>
        <v>0</v>
      </c>
      <c r="Y116" s="113">
        <v>0</v>
      </c>
      <c r="Z116" s="114">
        <v>0</v>
      </c>
      <c r="AA116" s="11">
        <f t="shared" si="26"/>
        <v>0</v>
      </c>
      <c r="AB116" s="115" t="e">
        <f t="shared" si="16"/>
        <v>#REF!</v>
      </c>
      <c r="AC116" s="115">
        <f t="shared" si="17"/>
        <v>0</v>
      </c>
      <c r="AD116" s="115">
        <f t="shared" si="18"/>
        <v>0</v>
      </c>
      <c r="AE116" s="11"/>
      <c r="AF116" s="115">
        <f t="shared" si="19"/>
        <v>0</v>
      </c>
      <c r="AG116" s="115">
        <f t="shared" si="20"/>
        <v>0</v>
      </c>
      <c r="AH116" s="115">
        <f t="shared" si="21"/>
        <v>0</v>
      </c>
      <c r="AJ116" s="11" t="e">
        <f t="shared" si="27"/>
        <v>#REF!</v>
      </c>
    </row>
    <row r="117" spans="1:36">
      <c r="A117" s="129"/>
      <c r="B117" s="129" t="s">
        <v>46</v>
      </c>
      <c r="C117" s="96" t="s">
        <v>186</v>
      </c>
      <c r="D117" s="120" t="s">
        <v>187</v>
      </c>
      <c r="E117" s="98"/>
      <c r="F117" s="99" t="e">
        <f>VLOOKUP(D117,#REF!,17,FALSE)</f>
        <v>#REF!</v>
      </c>
      <c r="G117" s="100"/>
      <c r="H117" s="100"/>
      <c r="I117" s="101"/>
      <c r="J117" s="102" t="e">
        <f t="shared" si="15"/>
        <v>#REF!</v>
      </c>
      <c r="K117" s="103"/>
      <c r="L117" s="104"/>
      <c r="M117" s="105"/>
      <c r="N117" s="103">
        <v>0</v>
      </c>
      <c r="O117" s="106"/>
      <c r="P117" s="103">
        <v>0</v>
      </c>
      <c r="Q117" s="107">
        <f t="shared" si="1"/>
        <v>0</v>
      </c>
      <c r="R117" s="108">
        <v>2748.67</v>
      </c>
      <c r="S117" s="119"/>
      <c r="T117" s="110">
        <f t="shared" si="22"/>
        <v>2748.67</v>
      </c>
      <c r="U117" s="103"/>
      <c r="V117" s="112">
        <f t="shared" si="23"/>
        <v>0</v>
      </c>
      <c r="W117" s="112">
        <f t="shared" si="24"/>
        <v>0</v>
      </c>
      <c r="X117" s="113">
        <f t="shared" si="25"/>
        <v>0</v>
      </c>
      <c r="Y117" s="113">
        <v>0</v>
      </c>
      <c r="Z117" s="114">
        <v>0</v>
      </c>
      <c r="AA117" s="11">
        <f t="shared" si="26"/>
        <v>0</v>
      </c>
      <c r="AB117" s="115">
        <f t="shared" si="16"/>
        <v>0</v>
      </c>
      <c r="AC117" s="115" t="e">
        <f t="shared" si="17"/>
        <v>#REF!</v>
      </c>
      <c r="AD117" s="115">
        <f t="shared" si="18"/>
        <v>0</v>
      </c>
      <c r="AE117" s="11"/>
      <c r="AF117" s="115">
        <f t="shared" si="19"/>
        <v>0</v>
      </c>
      <c r="AG117" s="115">
        <f t="shared" si="20"/>
        <v>0</v>
      </c>
      <c r="AH117" s="115">
        <f t="shared" si="21"/>
        <v>0</v>
      </c>
      <c r="AJ117" s="11" t="e">
        <f t="shared" si="27"/>
        <v>#REF!</v>
      </c>
    </row>
    <row r="118" spans="1:36">
      <c r="A118" s="116"/>
      <c r="B118" s="116" t="s">
        <v>46</v>
      </c>
      <c r="C118" s="122" t="s">
        <v>188</v>
      </c>
      <c r="D118" s="120" t="s">
        <v>189</v>
      </c>
      <c r="E118" s="98"/>
      <c r="F118" s="99" t="e">
        <f>VLOOKUP(D118,#REF!,17,FALSE)</f>
        <v>#REF!</v>
      </c>
      <c r="G118" s="100"/>
      <c r="H118" s="100"/>
      <c r="I118" s="101"/>
      <c r="J118" s="102" t="e">
        <f t="shared" si="15"/>
        <v>#REF!</v>
      </c>
      <c r="K118" s="103"/>
      <c r="L118" s="104"/>
      <c r="M118" s="105"/>
      <c r="N118" s="103">
        <v>0</v>
      </c>
      <c r="O118" s="106"/>
      <c r="P118" s="103">
        <v>0</v>
      </c>
      <c r="Q118" s="107">
        <f t="shared" si="1"/>
        <v>0</v>
      </c>
      <c r="R118" s="108">
        <v>0</v>
      </c>
      <c r="S118" s="119"/>
      <c r="T118" s="110">
        <f t="shared" si="22"/>
        <v>0</v>
      </c>
      <c r="U118" s="103"/>
      <c r="V118" s="112">
        <f t="shared" si="23"/>
        <v>0</v>
      </c>
      <c r="W118" s="112">
        <f t="shared" si="24"/>
        <v>0</v>
      </c>
      <c r="X118" s="113">
        <f t="shared" si="25"/>
        <v>0</v>
      </c>
      <c r="Y118" s="113">
        <v>0</v>
      </c>
      <c r="Z118" s="114">
        <v>0</v>
      </c>
      <c r="AA118" s="11">
        <f t="shared" si="26"/>
        <v>0</v>
      </c>
      <c r="AB118" s="115">
        <f t="shared" si="16"/>
        <v>0</v>
      </c>
      <c r="AC118" s="115" t="e">
        <f t="shared" si="17"/>
        <v>#REF!</v>
      </c>
      <c r="AD118" s="115">
        <f t="shared" si="18"/>
        <v>0</v>
      </c>
      <c r="AE118" s="11"/>
      <c r="AF118" s="115">
        <f t="shared" si="19"/>
        <v>0</v>
      </c>
      <c r="AG118" s="115">
        <f t="shared" si="20"/>
        <v>0</v>
      </c>
      <c r="AH118" s="115">
        <f t="shared" si="21"/>
        <v>0</v>
      </c>
      <c r="AJ118" s="11" t="e">
        <f t="shared" si="27"/>
        <v>#REF!</v>
      </c>
    </row>
    <row r="119" spans="1:36">
      <c r="A119" s="116"/>
      <c r="B119" s="116" t="s">
        <v>49</v>
      </c>
      <c r="C119" s="122"/>
      <c r="D119" s="120" t="s">
        <v>190</v>
      </c>
      <c r="E119" s="98"/>
      <c r="F119" s="99" t="e">
        <f>VLOOKUP(D119,#REF!,17,FALSE)</f>
        <v>#REF!</v>
      </c>
      <c r="G119" s="100"/>
      <c r="H119" s="100"/>
      <c r="I119" s="101"/>
      <c r="J119" s="102" t="e">
        <f t="shared" si="15"/>
        <v>#REF!</v>
      </c>
      <c r="K119" s="103"/>
      <c r="L119" s="104"/>
      <c r="M119" s="105"/>
      <c r="N119" s="103">
        <v>0</v>
      </c>
      <c r="O119" s="106"/>
      <c r="P119" s="103">
        <v>0</v>
      </c>
      <c r="Q119" s="107">
        <f t="shared" si="1"/>
        <v>0</v>
      </c>
      <c r="R119" s="108">
        <v>0</v>
      </c>
      <c r="S119" s="119"/>
      <c r="T119" s="110">
        <f t="shared" si="22"/>
        <v>0</v>
      </c>
      <c r="U119" s="103"/>
      <c r="V119" s="112">
        <f t="shared" si="23"/>
        <v>0</v>
      </c>
      <c r="W119" s="112">
        <f t="shared" si="24"/>
        <v>0</v>
      </c>
      <c r="X119" s="113">
        <f t="shared" si="25"/>
        <v>0</v>
      </c>
      <c r="Y119" s="113">
        <v>0</v>
      </c>
      <c r="Z119" s="114">
        <v>0</v>
      </c>
      <c r="AA119" s="11">
        <f t="shared" si="26"/>
        <v>0</v>
      </c>
      <c r="AB119" s="115" t="e">
        <f t="shared" si="16"/>
        <v>#REF!</v>
      </c>
      <c r="AC119" s="115">
        <f t="shared" si="17"/>
        <v>0</v>
      </c>
      <c r="AD119" s="115">
        <f t="shared" si="18"/>
        <v>0</v>
      </c>
      <c r="AE119" s="11"/>
      <c r="AF119" s="115">
        <f t="shared" si="19"/>
        <v>0</v>
      </c>
      <c r="AG119" s="115">
        <f t="shared" si="20"/>
        <v>0</v>
      </c>
      <c r="AH119" s="115">
        <f t="shared" si="21"/>
        <v>0</v>
      </c>
      <c r="AJ119" s="11" t="e">
        <f t="shared" si="27"/>
        <v>#REF!</v>
      </c>
    </row>
    <row r="120" spans="1:36">
      <c r="A120" s="129"/>
      <c r="B120" s="129" t="s">
        <v>49</v>
      </c>
      <c r="C120" s="96" t="s">
        <v>196</v>
      </c>
      <c r="D120" s="120" t="s">
        <v>197</v>
      </c>
      <c r="E120" s="98"/>
      <c r="F120" s="99" t="e">
        <f>VLOOKUP(D120,#REF!,17,FALSE)</f>
        <v>#REF!</v>
      </c>
      <c r="G120" s="100"/>
      <c r="H120" s="100"/>
      <c r="I120" s="101"/>
      <c r="J120" s="102" t="e">
        <f t="shared" ref="J120:J135" si="29">SUM(E120:I120)</f>
        <v>#REF!</v>
      </c>
      <c r="K120" s="103"/>
      <c r="L120" s="104"/>
      <c r="M120" s="105">
        <v>25000</v>
      </c>
      <c r="N120" s="103">
        <v>0</v>
      </c>
      <c r="O120" s="106"/>
      <c r="P120" s="103">
        <v>0</v>
      </c>
      <c r="Q120" s="107">
        <f t="shared" si="1"/>
        <v>25000</v>
      </c>
      <c r="R120" s="108">
        <v>23633.77</v>
      </c>
      <c r="S120" s="119"/>
      <c r="T120" s="110">
        <f t="shared" si="22"/>
        <v>-1366.2299999999996</v>
      </c>
      <c r="U120" s="103"/>
      <c r="V120" s="112">
        <f t="shared" si="23"/>
        <v>25000</v>
      </c>
      <c r="W120" s="112">
        <f t="shared" si="24"/>
        <v>0</v>
      </c>
      <c r="X120" s="113">
        <f t="shared" si="25"/>
        <v>0</v>
      </c>
      <c r="Y120" s="113">
        <v>0</v>
      </c>
      <c r="Z120" s="114">
        <v>0</v>
      </c>
      <c r="AA120" s="11">
        <f t="shared" si="26"/>
        <v>0</v>
      </c>
      <c r="AB120" s="115" t="e">
        <f t="shared" si="16"/>
        <v>#REF!</v>
      </c>
      <c r="AC120" s="115">
        <f t="shared" si="17"/>
        <v>0</v>
      </c>
      <c r="AD120" s="115">
        <f t="shared" si="18"/>
        <v>0</v>
      </c>
      <c r="AE120" s="11"/>
      <c r="AF120" s="115">
        <f t="shared" si="19"/>
        <v>25000</v>
      </c>
      <c r="AG120" s="115">
        <f t="shared" si="20"/>
        <v>0</v>
      </c>
      <c r="AH120" s="115">
        <f t="shared" si="21"/>
        <v>0</v>
      </c>
      <c r="AJ120" s="11" t="e">
        <f t="shared" si="27"/>
        <v>#REF!</v>
      </c>
    </row>
    <row r="121" spans="1:36">
      <c r="A121" s="129"/>
      <c r="B121" s="129" t="s">
        <v>46</v>
      </c>
      <c r="C121" s="96" t="s">
        <v>198</v>
      </c>
      <c r="D121" s="120" t="s">
        <v>199</v>
      </c>
      <c r="E121" s="98"/>
      <c r="F121" s="99" t="e">
        <f>VLOOKUP(D121,#REF!,17,FALSE)</f>
        <v>#REF!</v>
      </c>
      <c r="G121" s="100"/>
      <c r="H121" s="100"/>
      <c r="I121" s="101"/>
      <c r="J121" s="102" t="e">
        <f t="shared" si="29"/>
        <v>#REF!</v>
      </c>
      <c r="K121" s="103"/>
      <c r="L121" s="104"/>
      <c r="M121" s="105"/>
      <c r="N121" s="103">
        <v>0</v>
      </c>
      <c r="O121" s="106"/>
      <c r="P121" s="103">
        <v>0</v>
      </c>
      <c r="Q121" s="107">
        <f t="shared" si="1"/>
        <v>0</v>
      </c>
      <c r="R121" s="108">
        <v>0</v>
      </c>
      <c r="S121" s="119"/>
      <c r="T121" s="110">
        <f t="shared" si="22"/>
        <v>0</v>
      </c>
      <c r="U121" s="103"/>
      <c r="V121" s="112">
        <f t="shared" si="23"/>
        <v>0</v>
      </c>
      <c r="W121" s="112">
        <f t="shared" si="24"/>
        <v>0</v>
      </c>
      <c r="X121" s="113">
        <f t="shared" si="25"/>
        <v>0</v>
      </c>
      <c r="Y121" s="113">
        <v>0</v>
      </c>
      <c r="Z121" s="114">
        <v>0</v>
      </c>
      <c r="AA121" s="11">
        <f t="shared" si="26"/>
        <v>0</v>
      </c>
      <c r="AB121" s="115">
        <f t="shared" si="16"/>
        <v>0</v>
      </c>
      <c r="AC121" s="115" t="e">
        <f t="shared" si="17"/>
        <v>#REF!</v>
      </c>
      <c r="AD121" s="115">
        <f t="shared" si="18"/>
        <v>0</v>
      </c>
      <c r="AE121" s="11"/>
      <c r="AF121" s="115">
        <f t="shared" si="19"/>
        <v>0</v>
      </c>
      <c r="AG121" s="115">
        <f t="shared" si="20"/>
        <v>0</v>
      </c>
      <c r="AH121" s="115">
        <f t="shared" si="21"/>
        <v>0</v>
      </c>
      <c r="AJ121" s="11" t="e">
        <f t="shared" si="27"/>
        <v>#REF!</v>
      </c>
    </row>
    <row r="122" spans="1:36">
      <c r="A122" s="129"/>
      <c r="B122" s="129" t="s">
        <v>49</v>
      </c>
      <c r="C122" s="96"/>
      <c r="D122" s="120" t="s">
        <v>201</v>
      </c>
      <c r="E122" s="98"/>
      <c r="F122" s="99" t="e">
        <f>VLOOKUP(D122,#REF!,17,FALSE)</f>
        <v>#REF!</v>
      </c>
      <c r="G122" s="100"/>
      <c r="H122" s="100"/>
      <c r="I122" s="125">
        <v>1058.4000000000001</v>
      </c>
      <c r="J122" s="102" t="e">
        <f t="shared" si="29"/>
        <v>#REF!</v>
      </c>
      <c r="K122" s="103"/>
      <c r="L122" s="104"/>
      <c r="M122" s="105"/>
      <c r="N122" s="103">
        <v>0</v>
      </c>
      <c r="O122" s="106"/>
      <c r="P122" s="103">
        <v>0</v>
      </c>
      <c r="Q122" s="107">
        <f t="shared" si="1"/>
        <v>0</v>
      </c>
      <c r="R122" s="108">
        <v>0</v>
      </c>
      <c r="S122" s="119"/>
      <c r="T122" s="110">
        <f t="shared" si="22"/>
        <v>0</v>
      </c>
      <c r="U122" s="103"/>
      <c r="V122" s="112">
        <f t="shared" si="23"/>
        <v>0</v>
      </c>
      <c r="W122" s="112">
        <f t="shared" si="24"/>
        <v>0</v>
      </c>
      <c r="X122" s="113">
        <f t="shared" si="25"/>
        <v>0</v>
      </c>
      <c r="Y122" s="113">
        <v>0</v>
      </c>
      <c r="Z122" s="114">
        <v>0</v>
      </c>
      <c r="AA122" s="11">
        <f t="shared" si="26"/>
        <v>0</v>
      </c>
      <c r="AB122" s="115" t="e">
        <f t="shared" si="16"/>
        <v>#REF!</v>
      </c>
      <c r="AC122" s="115">
        <f t="shared" si="17"/>
        <v>0</v>
      </c>
      <c r="AD122" s="115">
        <f t="shared" si="18"/>
        <v>0</v>
      </c>
      <c r="AE122" s="11"/>
      <c r="AF122" s="115">
        <f t="shared" si="19"/>
        <v>0</v>
      </c>
      <c r="AG122" s="115">
        <f t="shared" si="20"/>
        <v>0</v>
      </c>
      <c r="AH122" s="115">
        <f t="shared" si="21"/>
        <v>0</v>
      </c>
      <c r="AJ122" s="11" t="e">
        <f t="shared" si="27"/>
        <v>#REF!</v>
      </c>
    </row>
    <row r="123" spans="1:36">
      <c r="A123" s="129"/>
      <c r="B123" s="129" t="s">
        <v>81</v>
      </c>
      <c r="C123" s="96" t="s">
        <v>202</v>
      </c>
      <c r="D123" s="120" t="s">
        <v>203</v>
      </c>
      <c r="E123" s="98">
        <v>3201.4</v>
      </c>
      <c r="F123" s="99" t="e">
        <f>VLOOKUP(D123,#REF!,17,FALSE)</f>
        <v>#REF!</v>
      </c>
      <c r="G123" s="100"/>
      <c r="H123" s="100"/>
      <c r="I123" s="101"/>
      <c r="J123" s="102" t="e">
        <f>SUM(E123:I123)</f>
        <v>#REF!</v>
      </c>
      <c r="K123" s="103"/>
      <c r="L123" s="104"/>
      <c r="M123" s="105"/>
      <c r="N123" s="103">
        <v>0</v>
      </c>
      <c r="O123" s="106"/>
      <c r="P123" s="103">
        <v>0</v>
      </c>
      <c r="Q123" s="107">
        <f>L123+M123</f>
        <v>0</v>
      </c>
      <c r="R123" s="108">
        <v>0</v>
      </c>
      <c r="S123" s="119"/>
      <c r="T123" s="110">
        <f t="shared" si="22"/>
        <v>0</v>
      </c>
      <c r="U123" s="103"/>
      <c r="V123" s="112">
        <f t="shared" si="23"/>
        <v>0</v>
      </c>
      <c r="W123" s="112">
        <f t="shared" si="24"/>
        <v>0</v>
      </c>
      <c r="X123" s="113">
        <f t="shared" si="25"/>
        <v>0</v>
      </c>
      <c r="Y123" s="113">
        <v>0</v>
      </c>
      <c r="Z123" s="114">
        <v>0</v>
      </c>
      <c r="AA123" s="11">
        <f t="shared" si="26"/>
        <v>0</v>
      </c>
      <c r="AB123" s="115">
        <f t="shared" si="16"/>
        <v>0</v>
      </c>
      <c r="AC123" s="115">
        <f t="shared" si="17"/>
        <v>0</v>
      </c>
      <c r="AD123" s="115" t="e">
        <f t="shared" si="18"/>
        <v>#REF!</v>
      </c>
      <c r="AE123" s="11"/>
      <c r="AF123" s="115">
        <f t="shared" si="19"/>
        <v>0</v>
      </c>
      <c r="AG123" s="115">
        <f t="shared" si="20"/>
        <v>0</v>
      </c>
      <c r="AH123" s="115">
        <f t="shared" si="21"/>
        <v>0</v>
      </c>
      <c r="AJ123" s="11" t="e">
        <f t="shared" si="27"/>
        <v>#REF!</v>
      </c>
    </row>
    <row r="124" spans="1:36">
      <c r="A124" s="129"/>
      <c r="B124" s="129" t="s">
        <v>46</v>
      </c>
      <c r="C124" s="96" t="s">
        <v>204</v>
      </c>
      <c r="D124" s="120" t="s">
        <v>205</v>
      </c>
      <c r="E124" s="98"/>
      <c r="F124" s="99" t="e">
        <f>VLOOKUP(D124,#REF!,17,FALSE)</f>
        <v>#REF!</v>
      </c>
      <c r="G124" s="100"/>
      <c r="H124" s="100"/>
      <c r="I124" s="101"/>
      <c r="J124" s="102" t="e">
        <f t="shared" si="29"/>
        <v>#REF!</v>
      </c>
      <c r="K124" s="103"/>
      <c r="L124" s="104"/>
      <c r="M124" s="105"/>
      <c r="N124" s="103">
        <v>0</v>
      </c>
      <c r="O124" s="106"/>
      <c r="P124" s="103">
        <v>0</v>
      </c>
      <c r="Q124" s="107">
        <f t="shared" si="1"/>
        <v>0</v>
      </c>
      <c r="R124" s="108">
        <v>0</v>
      </c>
      <c r="S124" s="119"/>
      <c r="T124" s="110">
        <f t="shared" si="22"/>
        <v>0</v>
      </c>
      <c r="U124" s="103"/>
      <c r="V124" s="112">
        <f t="shared" si="23"/>
        <v>0</v>
      </c>
      <c r="W124" s="112">
        <f t="shared" si="24"/>
        <v>0</v>
      </c>
      <c r="X124" s="113">
        <f t="shared" si="25"/>
        <v>0</v>
      </c>
      <c r="Y124" s="113">
        <v>0</v>
      </c>
      <c r="Z124" s="114">
        <v>0</v>
      </c>
      <c r="AA124" s="11">
        <f t="shared" si="26"/>
        <v>0</v>
      </c>
      <c r="AB124" s="115">
        <f t="shared" si="16"/>
        <v>0</v>
      </c>
      <c r="AC124" s="115" t="e">
        <f t="shared" si="17"/>
        <v>#REF!</v>
      </c>
      <c r="AD124" s="115">
        <f t="shared" si="18"/>
        <v>0</v>
      </c>
      <c r="AE124" s="11"/>
      <c r="AF124" s="115">
        <f t="shared" si="19"/>
        <v>0</v>
      </c>
      <c r="AG124" s="115">
        <f t="shared" si="20"/>
        <v>0</v>
      </c>
      <c r="AH124" s="115">
        <f t="shared" si="21"/>
        <v>0</v>
      </c>
      <c r="AJ124" s="11" t="e">
        <f t="shared" si="27"/>
        <v>#REF!</v>
      </c>
    </row>
    <row r="125" spans="1:36" s="124" customFormat="1">
      <c r="A125" s="123" t="s">
        <v>60</v>
      </c>
      <c r="B125" s="123" t="s">
        <v>46</v>
      </c>
      <c r="C125" s="122" t="s">
        <v>206</v>
      </c>
      <c r="D125" s="118" t="s">
        <v>207</v>
      </c>
      <c r="E125" s="98"/>
      <c r="F125" s="99" t="e">
        <f>VLOOKUP(D125,#REF!,17,FALSE)</f>
        <v>#REF!</v>
      </c>
      <c r="G125" s="100"/>
      <c r="H125" s="100"/>
      <c r="I125" s="101"/>
      <c r="J125" s="102" t="e">
        <f t="shared" si="29"/>
        <v>#REF!</v>
      </c>
      <c r="K125" s="103"/>
      <c r="L125" s="104"/>
      <c r="M125" s="105"/>
      <c r="N125" s="103">
        <v>0</v>
      </c>
      <c r="O125" s="106"/>
      <c r="P125" s="103">
        <v>0</v>
      </c>
      <c r="Q125" s="107">
        <f t="shared" si="1"/>
        <v>0</v>
      </c>
      <c r="R125" s="108">
        <v>0</v>
      </c>
      <c r="S125" s="119"/>
      <c r="T125" s="110">
        <f t="shared" si="22"/>
        <v>0</v>
      </c>
      <c r="U125" s="103"/>
      <c r="V125" s="112">
        <f t="shared" si="23"/>
        <v>0</v>
      </c>
      <c r="W125" s="112">
        <f t="shared" si="24"/>
        <v>0</v>
      </c>
      <c r="X125" s="113">
        <f t="shared" si="25"/>
        <v>0</v>
      </c>
      <c r="Y125" s="113">
        <v>0</v>
      </c>
      <c r="Z125" s="114">
        <v>0</v>
      </c>
      <c r="AA125" s="11">
        <f t="shared" si="26"/>
        <v>0</v>
      </c>
      <c r="AB125" s="115">
        <f t="shared" si="16"/>
        <v>0</v>
      </c>
      <c r="AC125" s="115" t="e">
        <f t="shared" si="17"/>
        <v>#REF!</v>
      </c>
      <c r="AD125" s="115">
        <f t="shared" si="18"/>
        <v>0</v>
      </c>
      <c r="AE125" s="11"/>
      <c r="AF125" s="115">
        <f t="shared" si="19"/>
        <v>0</v>
      </c>
      <c r="AG125" s="115">
        <f t="shared" si="20"/>
        <v>0</v>
      </c>
      <c r="AH125" s="115">
        <f t="shared" si="21"/>
        <v>0</v>
      </c>
      <c r="AJ125" s="11" t="e">
        <f t="shared" si="27"/>
        <v>#REF!</v>
      </c>
    </row>
    <row r="126" spans="1:36" s="124" customFormat="1">
      <c r="A126" s="123"/>
      <c r="B126" s="123" t="s">
        <v>49</v>
      </c>
      <c r="C126" s="122"/>
      <c r="D126" s="118" t="s">
        <v>208</v>
      </c>
      <c r="E126" s="98"/>
      <c r="F126" s="99" t="e">
        <f>VLOOKUP(D126,#REF!,17,FALSE)</f>
        <v>#REF!</v>
      </c>
      <c r="G126" s="100"/>
      <c r="H126" s="100"/>
      <c r="I126" s="101"/>
      <c r="J126" s="102" t="e">
        <f>SUM(E126:I126)</f>
        <v>#REF!</v>
      </c>
      <c r="K126" s="103"/>
      <c r="L126" s="104"/>
      <c r="M126" s="105"/>
      <c r="N126" s="103">
        <v>0</v>
      </c>
      <c r="O126" s="106"/>
      <c r="P126" s="103">
        <v>0</v>
      </c>
      <c r="Q126" s="107">
        <f t="shared" si="1"/>
        <v>0</v>
      </c>
      <c r="R126" s="108">
        <v>1248.92</v>
      </c>
      <c r="S126" s="119"/>
      <c r="T126" s="110">
        <f t="shared" si="22"/>
        <v>1248.92</v>
      </c>
      <c r="U126" s="103"/>
      <c r="V126" s="112">
        <f t="shared" si="23"/>
        <v>0</v>
      </c>
      <c r="W126" s="112">
        <f t="shared" si="24"/>
        <v>0</v>
      </c>
      <c r="X126" s="113">
        <f t="shared" si="25"/>
        <v>0</v>
      </c>
      <c r="Y126" s="113">
        <v>0</v>
      </c>
      <c r="Z126" s="114">
        <v>0</v>
      </c>
      <c r="AA126" s="11">
        <f t="shared" si="26"/>
        <v>0</v>
      </c>
      <c r="AB126" s="115" t="e">
        <f t="shared" si="16"/>
        <v>#REF!</v>
      </c>
      <c r="AC126" s="115">
        <f t="shared" si="17"/>
        <v>0</v>
      </c>
      <c r="AD126" s="115">
        <f t="shared" si="18"/>
        <v>0</v>
      </c>
      <c r="AE126" s="11"/>
      <c r="AF126" s="115">
        <f t="shared" si="19"/>
        <v>0</v>
      </c>
      <c r="AG126" s="115">
        <f t="shared" si="20"/>
        <v>0</v>
      </c>
      <c r="AH126" s="115">
        <f t="shared" si="21"/>
        <v>0</v>
      </c>
      <c r="AJ126" s="11" t="e">
        <f t="shared" si="27"/>
        <v>#REF!</v>
      </c>
    </row>
    <row r="127" spans="1:36" s="124" customFormat="1">
      <c r="A127" s="123"/>
      <c r="B127" s="123" t="s">
        <v>46</v>
      </c>
      <c r="C127" s="122"/>
      <c r="D127" s="118" t="s">
        <v>209</v>
      </c>
      <c r="E127" s="98"/>
      <c r="F127" s="99" t="e">
        <f>VLOOKUP(D127,#REF!,17,FALSE)</f>
        <v>#REF!</v>
      </c>
      <c r="G127" s="100"/>
      <c r="H127" s="100"/>
      <c r="I127" s="101"/>
      <c r="J127" s="102" t="e">
        <f>SUM(E127:I127)</f>
        <v>#REF!</v>
      </c>
      <c r="K127" s="103"/>
      <c r="L127" s="104"/>
      <c r="M127" s="105">
        <v>12000</v>
      </c>
      <c r="N127" s="103">
        <v>0</v>
      </c>
      <c r="O127" s="106"/>
      <c r="P127" s="103">
        <v>0</v>
      </c>
      <c r="Q127" s="107">
        <f t="shared" si="1"/>
        <v>12000</v>
      </c>
      <c r="R127" s="108">
        <f>10570.61+1168.88</f>
        <v>11739.490000000002</v>
      </c>
      <c r="S127" s="119"/>
      <c r="T127" s="110">
        <f t="shared" si="22"/>
        <v>-260.5099999999984</v>
      </c>
      <c r="U127" s="103"/>
      <c r="V127" s="112">
        <f t="shared" si="23"/>
        <v>0</v>
      </c>
      <c r="W127" s="112">
        <f t="shared" si="24"/>
        <v>12000</v>
      </c>
      <c r="X127" s="113">
        <f t="shared" si="25"/>
        <v>0</v>
      </c>
      <c r="Y127" s="113">
        <v>0</v>
      </c>
      <c r="Z127" s="114">
        <v>0</v>
      </c>
      <c r="AA127" s="11">
        <f t="shared" si="26"/>
        <v>0</v>
      </c>
      <c r="AB127" s="115">
        <f t="shared" si="16"/>
        <v>0</v>
      </c>
      <c r="AC127" s="115" t="e">
        <f t="shared" si="17"/>
        <v>#REF!</v>
      </c>
      <c r="AD127" s="115">
        <f t="shared" si="18"/>
        <v>0</v>
      </c>
      <c r="AE127" s="11"/>
      <c r="AF127" s="115">
        <f t="shared" si="19"/>
        <v>0</v>
      </c>
      <c r="AG127" s="115">
        <f t="shared" si="20"/>
        <v>12000</v>
      </c>
      <c r="AH127" s="115">
        <f t="shared" si="21"/>
        <v>0</v>
      </c>
      <c r="AJ127" s="11" t="e">
        <f t="shared" si="27"/>
        <v>#REF!</v>
      </c>
    </row>
    <row r="128" spans="1:36" s="124" customFormat="1">
      <c r="A128" s="123"/>
      <c r="B128" s="123" t="s">
        <v>49</v>
      </c>
      <c r="C128" s="122"/>
      <c r="D128" s="142" t="s">
        <v>211</v>
      </c>
      <c r="E128" s="98"/>
      <c r="F128" s="99">
        <v>0</v>
      </c>
      <c r="G128" s="100"/>
      <c r="H128" s="100"/>
      <c r="I128" s="101"/>
      <c r="J128" s="102">
        <f t="shared" ref="J128" si="30">SUM(E128:I128)</f>
        <v>0</v>
      </c>
      <c r="K128" s="103"/>
      <c r="L128" s="104"/>
      <c r="M128" s="105"/>
      <c r="N128" s="103">
        <v>0</v>
      </c>
      <c r="O128" s="106"/>
      <c r="P128" s="103">
        <v>0</v>
      </c>
      <c r="Q128" s="107">
        <f t="shared" si="1"/>
        <v>0</v>
      </c>
      <c r="R128" s="108">
        <v>0</v>
      </c>
      <c r="S128" s="119"/>
      <c r="T128" s="110">
        <f t="shared" si="22"/>
        <v>0</v>
      </c>
      <c r="U128" s="103"/>
      <c r="V128" s="112">
        <f t="shared" si="23"/>
        <v>0</v>
      </c>
      <c r="W128" s="112">
        <f t="shared" si="24"/>
        <v>0</v>
      </c>
      <c r="X128" s="113">
        <f t="shared" si="25"/>
        <v>0</v>
      </c>
      <c r="Y128" s="113">
        <v>0</v>
      </c>
      <c r="Z128" s="114">
        <v>0</v>
      </c>
      <c r="AA128" s="11">
        <f t="shared" si="26"/>
        <v>0</v>
      </c>
      <c r="AB128" s="115">
        <f t="shared" si="16"/>
        <v>0</v>
      </c>
      <c r="AC128" s="115">
        <f t="shared" si="17"/>
        <v>0</v>
      </c>
      <c r="AD128" s="115">
        <f t="shared" si="18"/>
        <v>0</v>
      </c>
      <c r="AE128" s="11"/>
      <c r="AF128" s="115">
        <f t="shared" si="19"/>
        <v>0</v>
      </c>
      <c r="AG128" s="115">
        <f t="shared" si="20"/>
        <v>0</v>
      </c>
      <c r="AH128" s="115">
        <f t="shared" si="21"/>
        <v>0</v>
      </c>
      <c r="AJ128" s="11">
        <f t="shared" si="27"/>
        <v>0</v>
      </c>
    </row>
    <row r="129" spans="1:36" s="124" customFormat="1">
      <c r="A129" s="123"/>
      <c r="B129" s="123" t="s">
        <v>49</v>
      </c>
      <c r="C129" s="122"/>
      <c r="D129" s="120" t="s">
        <v>212</v>
      </c>
      <c r="E129" s="98"/>
      <c r="F129" s="99" t="e">
        <f>VLOOKUP(D129,#REF!,17,FALSE)</f>
        <v>#REF!</v>
      </c>
      <c r="G129" s="100"/>
      <c r="H129" s="100"/>
      <c r="I129" s="101"/>
      <c r="J129" s="102" t="e">
        <f t="shared" si="29"/>
        <v>#REF!</v>
      </c>
      <c r="K129" s="103"/>
      <c r="L129" s="104"/>
      <c r="M129" s="105"/>
      <c r="N129" s="103">
        <v>0</v>
      </c>
      <c r="O129" s="106"/>
      <c r="P129" s="103">
        <v>0</v>
      </c>
      <c r="Q129" s="107">
        <f t="shared" si="1"/>
        <v>0</v>
      </c>
      <c r="R129" s="108">
        <v>0</v>
      </c>
      <c r="S129" s="119"/>
      <c r="T129" s="110">
        <f t="shared" si="22"/>
        <v>0</v>
      </c>
      <c r="U129" s="103"/>
      <c r="V129" s="112">
        <f t="shared" si="23"/>
        <v>0</v>
      </c>
      <c r="W129" s="112">
        <f t="shared" si="24"/>
        <v>0</v>
      </c>
      <c r="X129" s="113">
        <f t="shared" si="25"/>
        <v>0</v>
      </c>
      <c r="Y129" s="113">
        <v>0</v>
      </c>
      <c r="Z129" s="114">
        <v>0</v>
      </c>
      <c r="AA129" s="11">
        <f t="shared" si="26"/>
        <v>0</v>
      </c>
      <c r="AB129" s="115" t="e">
        <f t="shared" si="16"/>
        <v>#REF!</v>
      </c>
      <c r="AC129" s="115">
        <f t="shared" si="17"/>
        <v>0</v>
      </c>
      <c r="AD129" s="115">
        <f t="shared" si="18"/>
        <v>0</v>
      </c>
      <c r="AE129" s="11"/>
      <c r="AF129" s="115">
        <f t="shared" si="19"/>
        <v>0</v>
      </c>
      <c r="AG129" s="115">
        <f t="shared" si="20"/>
        <v>0</v>
      </c>
      <c r="AH129" s="115">
        <f t="shared" si="21"/>
        <v>0</v>
      </c>
      <c r="AJ129" s="11" t="e">
        <f t="shared" si="27"/>
        <v>#REF!</v>
      </c>
    </row>
    <row r="130" spans="1:36" s="124" customFormat="1">
      <c r="A130" s="123"/>
      <c r="B130" s="123" t="s">
        <v>49</v>
      </c>
      <c r="C130" s="122" t="s">
        <v>213</v>
      </c>
      <c r="D130" s="118" t="s">
        <v>214</v>
      </c>
      <c r="E130" s="98"/>
      <c r="F130" s="99" t="e">
        <f>VLOOKUP(D130,#REF!,17,FALSE)</f>
        <v>#REF!</v>
      </c>
      <c r="G130" s="100"/>
      <c r="H130" s="100"/>
      <c r="I130" s="125">
        <v>4027.42</v>
      </c>
      <c r="J130" s="102" t="e">
        <f t="shared" si="29"/>
        <v>#REF!</v>
      </c>
      <c r="K130" s="103"/>
      <c r="L130" s="104"/>
      <c r="M130" s="105"/>
      <c r="N130" s="103">
        <v>0</v>
      </c>
      <c r="O130" s="106"/>
      <c r="P130" s="103">
        <v>0</v>
      </c>
      <c r="Q130" s="107">
        <f t="shared" si="1"/>
        <v>0</v>
      </c>
      <c r="R130" s="108">
        <v>0</v>
      </c>
      <c r="S130" s="119"/>
      <c r="T130" s="110">
        <f t="shared" si="22"/>
        <v>0</v>
      </c>
      <c r="U130" s="103"/>
      <c r="V130" s="112">
        <f t="shared" si="23"/>
        <v>0</v>
      </c>
      <c r="W130" s="112">
        <f t="shared" si="24"/>
        <v>0</v>
      </c>
      <c r="X130" s="113">
        <f t="shared" si="25"/>
        <v>0</v>
      </c>
      <c r="Y130" s="113">
        <v>0</v>
      </c>
      <c r="Z130" s="114">
        <v>0</v>
      </c>
      <c r="AA130" s="11">
        <f t="shared" si="26"/>
        <v>0</v>
      </c>
      <c r="AB130" s="115" t="e">
        <f t="shared" si="16"/>
        <v>#REF!</v>
      </c>
      <c r="AC130" s="115">
        <f t="shared" si="17"/>
        <v>0</v>
      </c>
      <c r="AD130" s="115">
        <f t="shared" si="18"/>
        <v>0</v>
      </c>
      <c r="AE130" s="11"/>
      <c r="AF130" s="115">
        <f t="shared" si="19"/>
        <v>0</v>
      </c>
      <c r="AG130" s="115">
        <f t="shared" si="20"/>
        <v>0</v>
      </c>
      <c r="AH130" s="115">
        <f t="shared" si="21"/>
        <v>0</v>
      </c>
      <c r="AJ130" s="11" t="e">
        <f t="shared" si="27"/>
        <v>#REF!</v>
      </c>
    </row>
    <row r="131" spans="1:36" s="124" customFormat="1">
      <c r="A131" s="123"/>
      <c r="B131" s="123" t="s">
        <v>49</v>
      </c>
      <c r="C131" s="122" t="s">
        <v>213</v>
      </c>
      <c r="D131" s="118" t="s">
        <v>215</v>
      </c>
      <c r="E131" s="98"/>
      <c r="F131" s="99" t="e">
        <f>VLOOKUP(D131,#REF!,17,FALSE)</f>
        <v>#REF!</v>
      </c>
      <c r="G131" s="100"/>
      <c r="H131" s="100"/>
      <c r="I131" s="125">
        <v>294.82</v>
      </c>
      <c r="J131" s="102" t="e">
        <f t="shared" si="29"/>
        <v>#REF!</v>
      </c>
      <c r="K131" s="103"/>
      <c r="L131" s="104"/>
      <c r="M131" s="105"/>
      <c r="N131" s="103">
        <v>0</v>
      </c>
      <c r="O131" s="106"/>
      <c r="P131" s="103">
        <v>0</v>
      </c>
      <c r="Q131" s="107">
        <f t="shared" si="1"/>
        <v>0</v>
      </c>
      <c r="R131" s="108">
        <v>0</v>
      </c>
      <c r="S131" s="119"/>
      <c r="T131" s="110">
        <f t="shared" si="22"/>
        <v>0</v>
      </c>
      <c r="U131" s="103"/>
      <c r="V131" s="112">
        <f t="shared" si="23"/>
        <v>0</v>
      </c>
      <c r="W131" s="112">
        <f t="shared" si="24"/>
        <v>0</v>
      </c>
      <c r="X131" s="113">
        <f t="shared" si="25"/>
        <v>0</v>
      </c>
      <c r="Y131" s="113">
        <v>0</v>
      </c>
      <c r="Z131" s="114">
        <v>0</v>
      </c>
      <c r="AA131" s="11">
        <f t="shared" si="26"/>
        <v>0</v>
      </c>
      <c r="AB131" s="115" t="e">
        <f t="shared" si="16"/>
        <v>#REF!</v>
      </c>
      <c r="AC131" s="115">
        <f t="shared" si="17"/>
        <v>0</v>
      </c>
      <c r="AD131" s="115">
        <f t="shared" si="18"/>
        <v>0</v>
      </c>
      <c r="AE131" s="11"/>
      <c r="AF131" s="115">
        <f t="shared" si="19"/>
        <v>0</v>
      </c>
      <c r="AG131" s="115">
        <f t="shared" si="20"/>
        <v>0</v>
      </c>
      <c r="AH131" s="115">
        <f t="shared" si="21"/>
        <v>0</v>
      </c>
      <c r="AJ131" s="11" t="e">
        <f t="shared" si="27"/>
        <v>#REF!</v>
      </c>
    </row>
    <row r="132" spans="1:36" s="124" customFormat="1">
      <c r="A132" s="123"/>
      <c r="B132" s="123" t="s">
        <v>49</v>
      </c>
      <c r="C132" s="122" t="s">
        <v>213</v>
      </c>
      <c r="D132" s="118" t="s">
        <v>216</v>
      </c>
      <c r="E132" s="98"/>
      <c r="F132" s="99" t="e">
        <f>VLOOKUP(D132,#REF!,17,FALSE)</f>
        <v>#REF!</v>
      </c>
      <c r="G132" s="100"/>
      <c r="H132" s="100"/>
      <c r="I132" s="125">
        <v>75.489999999999995</v>
      </c>
      <c r="J132" s="102" t="e">
        <f t="shared" si="29"/>
        <v>#REF!</v>
      </c>
      <c r="K132" s="103"/>
      <c r="L132" s="104"/>
      <c r="M132" s="105"/>
      <c r="N132" s="103">
        <v>0</v>
      </c>
      <c r="O132" s="106"/>
      <c r="P132" s="103">
        <v>0</v>
      </c>
      <c r="Q132" s="107">
        <f t="shared" si="1"/>
        <v>0</v>
      </c>
      <c r="R132" s="108">
        <v>0</v>
      </c>
      <c r="S132" s="119"/>
      <c r="T132" s="110">
        <f t="shared" si="22"/>
        <v>0</v>
      </c>
      <c r="U132" s="103"/>
      <c r="V132" s="112">
        <f t="shared" si="23"/>
        <v>0</v>
      </c>
      <c r="W132" s="112">
        <f t="shared" si="24"/>
        <v>0</v>
      </c>
      <c r="X132" s="113">
        <f t="shared" si="25"/>
        <v>0</v>
      </c>
      <c r="Y132" s="113">
        <v>0</v>
      </c>
      <c r="Z132" s="114">
        <v>0</v>
      </c>
      <c r="AA132" s="11">
        <f t="shared" si="26"/>
        <v>0</v>
      </c>
      <c r="AB132" s="115" t="e">
        <f t="shared" si="16"/>
        <v>#REF!</v>
      </c>
      <c r="AC132" s="115">
        <f t="shared" si="17"/>
        <v>0</v>
      </c>
      <c r="AD132" s="115">
        <f t="shared" si="18"/>
        <v>0</v>
      </c>
      <c r="AE132" s="11"/>
      <c r="AF132" s="115">
        <f t="shared" si="19"/>
        <v>0</v>
      </c>
      <c r="AG132" s="115">
        <f t="shared" si="20"/>
        <v>0</v>
      </c>
      <c r="AH132" s="115">
        <f t="shared" si="21"/>
        <v>0</v>
      </c>
      <c r="AJ132" s="11" t="e">
        <f t="shared" si="27"/>
        <v>#REF!</v>
      </c>
    </row>
    <row r="133" spans="1:36" s="124" customFormat="1">
      <c r="A133" s="123"/>
      <c r="B133" s="123" t="s">
        <v>49</v>
      </c>
      <c r="C133" s="122" t="s">
        <v>213</v>
      </c>
      <c r="D133" s="118" t="s">
        <v>217</v>
      </c>
      <c r="E133" s="98"/>
      <c r="F133" s="99" t="e">
        <f>VLOOKUP(D133,#REF!,17,FALSE)</f>
        <v>#REF!</v>
      </c>
      <c r="G133" s="100"/>
      <c r="H133" s="100"/>
      <c r="I133" s="125">
        <v>4.63</v>
      </c>
      <c r="J133" s="102" t="e">
        <f t="shared" si="29"/>
        <v>#REF!</v>
      </c>
      <c r="K133" s="103"/>
      <c r="L133" s="104"/>
      <c r="M133" s="105"/>
      <c r="N133" s="103">
        <v>0</v>
      </c>
      <c r="O133" s="106"/>
      <c r="P133" s="103">
        <v>0</v>
      </c>
      <c r="Q133" s="107">
        <f t="shared" si="1"/>
        <v>0</v>
      </c>
      <c r="R133" s="108">
        <v>0</v>
      </c>
      <c r="S133" s="119"/>
      <c r="T133" s="110">
        <f t="shared" si="22"/>
        <v>0</v>
      </c>
      <c r="U133" s="103"/>
      <c r="V133" s="112">
        <f t="shared" si="23"/>
        <v>0</v>
      </c>
      <c r="W133" s="112">
        <f t="shared" si="24"/>
        <v>0</v>
      </c>
      <c r="X133" s="113">
        <f t="shared" si="25"/>
        <v>0</v>
      </c>
      <c r="Y133" s="113">
        <v>0</v>
      </c>
      <c r="Z133" s="114">
        <v>0</v>
      </c>
      <c r="AA133" s="11">
        <f t="shared" si="26"/>
        <v>0</v>
      </c>
      <c r="AB133" s="115" t="e">
        <f t="shared" si="16"/>
        <v>#REF!</v>
      </c>
      <c r="AC133" s="115">
        <f t="shared" si="17"/>
        <v>0</v>
      </c>
      <c r="AD133" s="115">
        <f t="shared" si="18"/>
        <v>0</v>
      </c>
      <c r="AE133" s="11"/>
      <c r="AF133" s="115">
        <f t="shared" si="19"/>
        <v>0</v>
      </c>
      <c r="AG133" s="115">
        <f t="shared" si="20"/>
        <v>0</v>
      </c>
      <c r="AH133" s="115">
        <f t="shared" si="21"/>
        <v>0</v>
      </c>
      <c r="AJ133" s="11" t="e">
        <f t="shared" si="27"/>
        <v>#REF!</v>
      </c>
    </row>
    <row r="134" spans="1:36" s="124" customFormat="1">
      <c r="A134" s="123"/>
      <c r="B134" s="123" t="s">
        <v>49</v>
      </c>
      <c r="C134" s="122" t="s">
        <v>213</v>
      </c>
      <c r="D134" s="118" t="s">
        <v>218</v>
      </c>
      <c r="E134" s="98"/>
      <c r="F134" s="99" t="e">
        <f>VLOOKUP(D134,#REF!,17,FALSE)</f>
        <v>#REF!</v>
      </c>
      <c r="G134" s="100"/>
      <c r="H134" s="100"/>
      <c r="I134" s="125">
        <v>140.38</v>
      </c>
      <c r="J134" s="102" t="e">
        <f t="shared" si="29"/>
        <v>#REF!</v>
      </c>
      <c r="K134" s="103"/>
      <c r="L134" s="104"/>
      <c r="M134" s="105"/>
      <c r="N134" s="103">
        <v>0</v>
      </c>
      <c r="O134" s="106"/>
      <c r="P134" s="103">
        <v>0</v>
      </c>
      <c r="Q134" s="107">
        <f t="shared" si="1"/>
        <v>0</v>
      </c>
      <c r="R134" s="108">
        <v>0</v>
      </c>
      <c r="S134" s="119"/>
      <c r="T134" s="110">
        <f t="shared" si="22"/>
        <v>0</v>
      </c>
      <c r="U134" s="103"/>
      <c r="V134" s="112">
        <f t="shared" si="23"/>
        <v>0</v>
      </c>
      <c r="W134" s="112">
        <f t="shared" si="24"/>
        <v>0</v>
      </c>
      <c r="X134" s="113">
        <f t="shared" si="25"/>
        <v>0</v>
      </c>
      <c r="Y134" s="113">
        <v>0</v>
      </c>
      <c r="Z134" s="114">
        <v>0</v>
      </c>
      <c r="AA134" s="11">
        <f t="shared" si="26"/>
        <v>0</v>
      </c>
      <c r="AB134" s="115" t="e">
        <f t="shared" si="16"/>
        <v>#REF!</v>
      </c>
      <c r="AC134" s="115">
        <f t="shared" si="17"/>
        <v>0</v>
      </c>
      <c r="AD134" s="115">
        <f t="shared" si="18"/>
        <v>0</v>
      </c>
      <c r="AE134" s="11"/>
      <c r="AF134" s="115">
        <f t="shared" si="19"/>
        <v>0</v>
      </c>
      <c r="AG134" s="115">
        <f t="shared" si="20"/>
        <v>0</v>
      </c>
      <c r="AH134" s="115">
        <f t="shared" si="21"/>
        <v>0</v>
      </c>
      <c r="AJ134" s="11" t="e">
        <f t="shared" si="27"/>
        <v>#REF!</v>
      </c>
    </row>
    <row r="135" spans="1:36" s="124" customFormat="1">
      <c r="A135" s="123"/>
      <c r="B135" s="123" t="s">
        <v>49</v>
      </c>
      <c r="C135" s="122" t="s">
        <v>213</v>
      </c>
      <c r="D135" s="118" t="s">
        <v>219</v>
      </c>
      <c r="E135" s="98"/>
      <c r="F135" s="99" t="e">
        <f>VLOOKUP(D135,#REF!,17,FALSE)</f>
        <v>#REF!</v>
      </c>
      <c r="G135" s="100"/>
      <c r="H135" s="100"/>
      <c r="I135" s="125">
        <v>2.2799999999999998</v>
      </c>
      <c r="J135" s="102" t="e">
        <f t="shared" si="29"/>
        <v>#REF!</v>
      </c>
      <c r="K135" s="103"/>
      <c r="L135" s="104"/>
      <c r="M135" s="105"/>
      <c r="N135" s="103">
        <v>0</v>
      </c>
      <c r="O135" s="106"/>
      <c r="P135" s="103">
        <v>0</v>
      </c>
      <c r="Q135" s="107">
        <f t="shared" si="1"/>
        <v>0</v>
      </c>
      <c r="R135" s="108">
        <v>0</v>
      </c>
      <c r="S135" s="119"/>
      <c r="T135" s="110">
        <f t="shared" si="22"/>
        <v>0</v>
      </c>
      <c r="U135" s="103"/>
      <c r="V135" s="112">
        <f t="shared" si="23"/>
        <v>0</v>
      </c>
      <c r="W135" s="112">
        <f t="shared" si="24"/>
        <v>0</v>
      </c>
      <c r="X135" s="113">
        <f t="shared" si="25"/>
        <v>0</v>
      </c>
      <c r="Y135" s="113">
        <v>0</v>
      </c>
      <c r="Z135" s="114">
        <v>0</v>
      </c>
      <c r="AA135" s="11">
        <f t="shared" si="26"/>
        <v>0</v>
      </c>
      <c r="AB135" s="115" t="e">
        <f t="shared" si="16"/>
        <v>#REF!</v>
      </c>
      <c r="AC135" s="115">
        <f t="shared" si="17"/>
        <v>0</v>
      </c>
      <c r="AD135" s="115">
        <f t="shared" si="18"/>
        <v>0</v>
      </c>
      <c r="AE135" s="11"/>
      <c r="AF135" s="115">
        <f t="shared" si="19"/>
        <v>0</v>
      </c>
      <c r="AG135" s="115">
        <f t="shared" si="20"/>
        <v>0</v>
      </c>
      <c r="AH135" s="115">
        <f t="shared" si="21"/>
        <v>0</v>
      </c>
      <c r="AJ135" s="11" t="e">
        <f t="shared" si="27"/>
        <v>#REF!</v>
      </c>
    </row>
    <row r="136" spans="1:36" s="124" customFormat="1">
      <c r="A136" s="123"/>
      <c r="B136" s="123" t="s">
        <v>49</v>
      </c>
      <c r="C136" s="122" t="s">
        <v>213</v>
      </c>
      <c r="D136" s="118" t="s">
        <v>220</v>
      </c>
      <c r="E136" s="98"/>
      <c r="F136" s="99" t="e">
        <f>VLOOKUP(D136,#REF!,17,FALSE)</f>
        <v>#REF!</v>
      </c>
      <c r="G136" s="100"/>
      <c r="H136" s="100"/>
      <c r="I136" s="125">
        <f>1293.28+214.87+246.82</f>
        <v>1754.97</v>
      </c>
      <c r="J136" s="102" t="e">
        <f t="shared" ref="J136:J185" si="31">SUM(E136:I136)</f>
        <v>#REF!</v>
      </c>
      <c r="K136" s="103"/>
      <c r="L136" s="104"/>
      <c r="M136" s="105"/>
      <c r="N136" s="103">
        <v>0</v>
      </c>
      <c r="O136" s="106"/>
      <c r="P136" s="103">
        <v>0</v>
      </c>
      <c r="Q136" s="107">
        <f t="shared" si="1"/>
        <v>0</v>
      </c>
      <c r="R136" s="108">
        <v>0</v>
      </c>
      <c r="S136" s="119"/>
      <c r="T136" s="110">
        <f t="shared" si="22"/>
        <v>0</v>
      </c>
      <c r="U136" s="103"/>
      <c r="V136" s="112">
        <f t="shared" si="23"/>
        <v>0</v>
      </c>
      <c r="W136" s="112">
        <f t="shared" si="24"/>
        <v>0</v>
      </c>
      <c r="X136" s="113">
        <f t="shared" si="25"/>
        <v>0</v>
      </c>
      <c r="Y136" s="113">
        <v>0</v>
      </c>
      <c r="Z136" s="114">
        <v>0</v>
      </c>
      <c r="AA136" s="11">
        <f t="shared" si="26"/>
        <v>0</v>
      </c>
      <c r="AB136" s="115" t="e">
        <f t="shared" si="16"/>
        <v>#REF!</v>
      </c>
      <c r="AC136" s="115">
        <f t="shared" si="17"/>
        <v>0</v>
      </c>
      <c r="AD136" s="115">
        <f t="shared" si="18"/>
        <v>0</v>
      </c>
      <c r="AE136" s="11"/>
      <c r="AF136" s="115">
        <f t="shared" si="19"/>
        <v>0</v>
      </c>
      <c r="AG136" s="115">
        <f t="shared" si="20"/>
        <v>0</v>
      </c>
      <c r="AH136" s="115">
        <f t="shared" si="21"/>
        <v>0</v>
      </c>
      <c r="AJ136" s="11" t="e">
        <f t="shared" si="27"/>
        <v>#REF!</v>
      </c>
    </row>
    <row r="137" spans="1:36" s="124" customFormat="1">
      <c r="A137" s="123"/>
      <c r="B137" s="123" t="s">
        <v>49</v>
      </c>
      <c r="C137" s="122" t="s">
        <v>213</v>
      </c>
      <c r="D137" s="118" t="s">
        <v>221</v>
      </c>
      <c r="E137" s="98"/>
      <c r="F137" s="99" t="e">
        <f>VLOOKUP(D137,#REF!,17,FALSE)</f>
        <v>#REF!</v>
      </c>
      <c r="G137" s="100"/>
      <c r="H137" s="100"/>
      <c r="I137" s="125">
        <v>447.81</v>
      </c>
      <c r="J137" s="102" t="e">
        <f t="shared" si="31"/>
        <v>#REF!</v>
      </c>
      <c r="K137" s="103"/>
      <c r="L137" s="104"/>
      <c r="M137" s="105"/>
      <c r="N137" s="103">
        <v>0</v>
      </c>
      <c r="O137" s="106"/>
      <c r="P137" s="103">
        <v>0</v>
      </c>
      <c r="Q137" s="107">
        <f t="shared" si="1"/>
        <v>0</v>
      </c>
      <c r="R137" s="108">
        <v>0</v>
      </c>
      <c r="S137" s="119"/>
      <c r="T137" s="110">
        <f t="shared" si="22"/>
        <v>0</v>
      </c>
      <c r="U137" s="103"/>
      <c r="V137" s="112">
        <f t="shared" si="23"/>
        <v>0</v>
      </c>
      <c r="W137" s="112">
        <f t="shared" si="24"/>
        <v>0</v>
      </c>
      <c r="X137" s="113">
        <f t="shared" si="25"/>
        <v>0</v>
      </c>
      <c r="Y137" s="113">
        <v>0</v>
      </c>
      <c r="Z137" s="114">
        <v>0</v>
      </c>
      <c r="AA137" s="11">
        <f t="shared" si="26"/>
        <v>0</v>
      </c>
      <c r="AB137" s="115" t="e">
        <f t="shared" si="16"/>
        <v>#REF!</v>
      </c>
      <c r="AC137" s="115">
        <f t="shared" si="17"/>
        <v>0</v>
      </c>
      <c r="AD137" s="115">
        <f t="shared" si="18"/>
        <v>0</v>
      </c>
      <c r="AE137" s="11"/>
      <c r="AF137" s="115">
        <f t="shared" si="19"/>
        <v>0</v>
      </c>
      <c r="AG137" s="115">
        <f t="shared" si="20"/>
        <v>0</v>
      </c>
      <c r="AH137" s="115">
        <f t="shared" si="21"/>
        <v>0</v>
      </c>
      <c r="AJ137" s="11" t="e">
        <f t="shared" si="27"/>
        <v>#REF!</v>
      </c>
    </row>
    <row r="138" spans="1:36" s="124" customFormat="1">
      <c r="A138" s="123"/>
      <c r="B138" s="123" t="s">
        <v>46</v>
      </c>
      <c r="C138" s="122" t="s">
        <v>213</v>
      </c>
      <c r="D138" s="118" t="s">
        <v>222</v>
      </c>
      <c r="E138" s="98"/>
      <c r="F138" s="99" t="e">
        <f>VLOOKUP(D138,#REF!,17,FALSE)</f>
        <v>#REF!</v>
      </c>
      <c r="G138" s="100"/>
      <c r="H138" s="100"/>
      <c r="I138" s="101"/>
      <c r="J138" s="102" t="e">
        <f t="shared" si="31"/>
        <v>#REF!</v>
      </c>
      <c r="K138" s="103"/>
      <c r="L138" s="104"/>
      <c r="M138" s="105"/>
      <c r="N138" s="103">
        <v>0</v>
      </c>
      <c r="O138" s="106"/>
      <c r="P138" s="103">
        <v>0</v>
      </c>
      <c r="Q138" s="107">
        <f t="shared" si="1"/>
        <v>0</v>
      </c>
      <c r="R138" s="108">
        <v>0</v>
      </c>
      <c r="S138" s="119"/>
      <c r="T138" s="110">
        <f t="shared" si="22"/>
        <v>0</v>
      </c>
      <c r="U138" s="103"/>
      <c r="V138" s="112">
        <f t="shared" si="23"/>
        <v>0</v>
      </c>
      <c r="W138" s="112">
        <f t="shared" si="24"/>
        <v>0</v>
      </c>
      <c r="X138" s="113">
        <f t="shared" si="25"/>
        <v>0</v>
      </c>
      <c r="Y138" s="113">
        <v>0</v>
      </c>
      <c r="Z138" s="114">
        <v>0</v>
      </c>
      <c r="AA138" s="11">
        <f t="shared" si="26"/>
        <v>0</v>
      </c>
      <c r="AB138" s="115">
        <f t="shared" si="16"/>
        <v>0</v>
      </c>
      <c r="AC138" s="115" t="e">
        <f t="shared" si="17"/>
        <v>#REF!</v>
      </c>
      <c r="AD138" s="115">
        <f t="shared" si="18"/>
        <v>0</v>
      </c>
      <c r="AE138" s="11"/>
      <c r="AF138" s="115">
        <f t="shared" si="19"/>
        <v>0</v>
      </c>
      <c r="AG138" s="115">
        <f t="shared" si="20"/>
        <v>0</v>
      </c>
      <c r="AH138" s="115">
        <f t="shared" si="21"/>
        <v>0</v>
      </c>
      <c r="AJ138" s="11" t="e">
        <f t="shared" si="27"/>
        <v>#REF!</v>
      </c>
    </row>
    <row r="139" spans="1:36" s="124" customFormat="1">
      <c r="A139" s="123"/>
      <c r="B139" s="116" t="s">
        <v>46</v>
      </c>
      <c r="C139" s="122"/>
      <c r="D139" s="120" t="s">
        <v>223</v>
      </c>
      <c r="E139" s="98"/>
      <c r="F139" s="99" t="e">
        <f>VLOOKUP(D139,#REF!,17,FALSE)</f>
        <v>#REF!</v>
      </c>
      <c r="G139" s="100"/>
      <c r="H139" s="100"/>
      <c r="I139" s="101"/>
      <c r="J139" s="102" t="e">
        <f t="shared" si="31"/>
        <v>#REF!</v>
      </c>
      <c r="K139" s="103"/>
      <c r="L139" s="104"/>
      <c r="M139" s="105">
        <v>20000</v>
      </c>
      <c r="N139" s="103">
        <v>0</v>
      </c>
      <c r="O139" s="106"/>
      <c r="P139" s="103">
        <v>0</v>
      </c>
      <c r="Q139" s="107">
        <f t="shared" si="1"/>
        <v>20000</v>
      </c>
      <c r="R139" s="108">
        <v>0</v>
      </c>
      <c r="S139" s="119"/>
      <c r="T139" s="110">
        <f t="shared" si="22"/>
        <v>-20000</v>
      </c>
      <c r="U139" s="103"/>
      <c r="V139" s="112">
        <f t="shared" si="23"/>
        <v>0</v>
      </c>
      <c r="W139" s="112">
        <f t="shared" si="24"/>
        <v>20000</v>
      </c>
      <c r="X139" s="113">
        <f t="shared" si="25"/>
        <v>0</v>
      </c>
      <c r="Y139" s="113">
        <v>0</v>
      </c>
      <c r="Z139" s="114">
        <v>0</v>
      </c>
      <c r="AA139" s="11">
        <f t="shared" si="26"/>
        <v>0</v>
      </c>
      <c r="AB139" s="115">
        <f t="shared" si="16"/>
        <v>0</v>
      </c>
      <c r="AC139" s="115" t="e">
        <f t="shared" si="17"/>
        <v>#REF!</v>
      </c>
      <c r="AD139" s="115">
        <f t="shared" si="18"/>
        <v>0</v>
      </c>
      <c r="AE139" s="11"/>
      <c r="AF139" s="115">
        <f t="shared" si="19"/>
        <v>0</v>
      </c>
      <c r="AG139" s="115">
        <f t="shared" si="20"/>
        <v>20000</v>
      </c>
      <c r="AH139" s="115">
        <f t="shared" si="21"/>
        <v>0</v>
      </c>
      <c r="AJ139" s="11" t="e">
        <f t="shared" si="27"/>
        <v>#REF!</v>
      </c>
    </row>
    <row r="140" spans="1:36">
      <c r="A140" s="129"/>
      <c r="B140" s="129" t="s">
        <v>49</v>
      </c>
      <c r="C140" s="96" t="s">
        <v>224</v>
      </c>
      <c r="D140" s="120" t="s">
        <v>225</v>
      </c>
      <c r="E140" s="98"/>
      <c r="F140" s="99" t="e">
        <f>VLOOKUP(D140,#REF!,17,FALSE)</f>
        <v>#REF!</v>
      </c>
      <c r="G140" s="100"/>
      <c r="H140" s="100"/>
      <c r="I140" s="101"/>
      <c r="J140" s="102" t="e">
        <f t="shared" si="31"/>
        <v>#REF!</v>
      </c>
      <c r="K140" s="103"/>
      <c r="L140" s="104"/>
      <c r="M140" s="105">
        <v>90000</v>
      </c>
      <c r="N140" s="103">
        <v>0</v>
      </c>
      <c r="O140" s="106"/>
      <c r="P140" s="103">
        <v>0</v>
      </c>
      <c r="Q140" s="107">
        <f t="shared" si="1"/>
        <v>90000</v>
      </c>
      <c r="R140" s="108">
        <f>95701.09-R141</f>
        <v>86482.069999999992</v>
      </c>
      <c r="S140" s="119"/>
      <c r="T140" s="110">
        <f t="shared" si="22"/>
        <v>-3517.9300000000076</v>
      </c>
      <c r="U140" s="103"/>
      <c r="V140" s="112">
        <f t="shared" si="23"/>
        <v>90000</v>
      </c>
      <c r="W140" s="112">
        <f t="shared" si="24"/>
        <v>0</v>
      </c>
      <c r="X140" s="113">
        <f t="shared" si="25"/>
        <v>0</v>
      </c>
      <c r="Y140" s="113">
        <v>0</v>
      </c>
      <c r="Z140" s="114">
        <v>0</v>
      </c>
      <c r="AA140" s="11">
        <f t="shared" si="26"/>
        <v>0</v>
      </c>
      <c r="AB140" s="115" t="e">
        <f t="shared" si="16"/>
        <v>#REF!</v>
      </c>
      <c r="AC140" s="115">
        <f t="shared" si="17"/>
        <v>0</v>
      </c>
      <c r="AD140" s="115">
        <f t="shared" si="18"/>
        <v>0</v>
      </c>
      <c r="AE140" s="11"/>
      <c r="AF140" s="115">
        <f t="shared" si="19"/>
        <v>90000</v>
      </c>
      <c r="AG140" s="115">
        <f t="shared" si="20"/>
        <v>0</v>
      </c>
      <c r="AH140" s="115">
        <f t="shared" si="21"/>
        <v>0</v>
      </c>
      <c r="AJ140" s="11" t="e">
        <f t="shared" si="27"/>
        <v>#REF!</v>
      </c>
    </row>
    <row r="141" spans="1:36" s="141" customFormat="1">
      <c r="A141" s="129"/>
      <c r="B141" s="129" t="s">
        <v>49</v>
      </c>
      <c r="C141" s="96" t="s">
        <v>224</v>
      </c>
      <c r="D141" s="120" t="s">
        <v>226</v>
      </c>
      <c r="E141" s="98"/>
      <c r="F141" s="99" t="e">
        <f>VLOOKUP(D141,#REF!,17,FALSE)</f>
        <v>#REF!</v>
      </c>
      <c r="G141" s="100"/>
      <c r="H141" s="100"/>
      <c r="I141" s="101"/>
      <c r="J141" s="102" t="e">
        <f t="shared" si="31"/>
        <v>#REF!</v>
      </c>
      <c r="K141" s="103"/>
      <c r="L141" s="104"/>
      <c r="M141" s="105">
        <v>10000</v>
      </c>
      <c r="N141" s="103">
        <v>0</v>
      </c>
      <c r="O141" s="106"/>
      <c r="P141" s="103">
        <v>0</v>
      </c>
      <c r="Q141" s="107">
        <f t="shared" si="1"/>
        <v>10000</v>
      </c>
      <c r="R141" s="108">
        <v>9219.02</v>
      </c>
      <c r="S141" s="119"/>
      <c r="T141" s="110">
        <f t="shared" si="22"/>
        <v>-780.97999999999956</v>
      </c>
      <c r="U141" s="103"/>
      <c r="V141" s="112">
        <f t="shared" si="23"/>
        <v>10000</v>
      </c>
      <c r="W141" s="112">
        <f t="shared" si="24"/>
        <v>0</v>
      </c>
      <c r="X141" s="113">
        <f t="shared" si="25"/>
        <v>0</v>
      </c>
      <c r="Y141" s="113">
        <v>0</v>
      </c>
      <c r="Z141" s="114">
        <v>0</v>
      </c>
      <c r="AA141" s="11">
        <f t="shared" si="26"/>
        <v>0</v>
      </c>
      <c r="AB141" s="115" t="e">
        <f t="shared" si="16"/>
        <v>#REF!</v>
      </c>
      <c r="AC141" s="115">
        <f t="shared" si="17"/>
        <v>0</v>
      </c>
      <c r="AD141" s="115">
        <f t="shared" si="18"/>
        <v>0</v>
      </c>
      <c r="AE141" s="11"/>
      <c r="AF141" s="115">
        <f t="shared" si="19"/>
        <v>10000</v>
      </c>
      <c r="AG141" s="115">
        <f t="shared" si="20"/>
        <v>0</v>
      </c>
      <c r="AH141" s="115">
        <f t="shared" si="21"/>
        <v>0</v>
      </c>
      <c r="AJ141" s="11" t="e">
        <f t="shared" si="27"/>
        <v>#REF!</v>
      </c>
    </row>
    <row r="142" spans="1:36" s="141" customFormat="1">
      <c r="A142" s="129"/>
      <c r="B142" s="129" t="s">
        <v>81</v>
      </c>
      <c r="C142" s="128" t="s">
        <v>227</v>
      </c>
      <c r="D142" s="120" t="s">
        <v>228</v>
      </c>
      <c r="E142" s="98"/>
      <c r="F142" s="99" t="e">
        <f>VLOOKUP(D142,#REF!,17,FALSE)</f>
        <v>#REF!</v>
      </c>
      <c r="G142" s="100"/>
      <c r="H142" s="100"/>
      <c r="I142" s="125">
        <v>4815.72</v>
      </c>
      <c r="J142" s="102" t="e">
        <f t="shared" ref="J142" si="32">SUM(E142:I142)</f>
        <v>#REF!</v>
      </c>
      <c r="K142" s="103"/>
      <c r="L142" s="104"/>
      <c r="M142" s="105"/>
      <c r="N142" s="103">
        <v>0</v>
      </c>
      <c r="O142" s="106"/>
      <c r="P142" s="103">
        <v>0</v>
      </c>
      <c r="Q142" s="107">
        <f t="shared" ref="Q142:Q206" si="33">L142+M142</f>
        <v>0</v>
      </c>
      <c r="R142" s="108">
        <v>0</v>
      </c>
      <c r="S142" s="119"/>
      <c r="T142" s="110">
        <f t="shared" si="22"/>
        <v>0</v>
      </c>
      <c r="U142" s="103"/>
      <c r="V142" s="112">
        <f t="shared" si="23"/>
        <v>0</v>
      </c>
      <c r="W142" s="112">
        <f t="shared" si="24"/>
        <v>0</v>
      </c>
      <c r="X142" s="113">
        <f t="shared" si="25"/>
        <v>0</v>
      </c>
      <c r="Y142" s="113">
        <v>0</v>
      </c>
      <c r="Z142" s="114">
        <v>0</v>
      </c>
      <c r="AA142" s="11">
        <f t="shared" si="26"/>
        <v>0</v>
      </c>
      <c r="AB142" s="115">
        <f t="shared" si="16"/>
        <v>0</v>
      </c>
      <c r="AC142" s="115">
        <f t="shared" si="17"/>
        <v>0</v>
      </c>
      <c r="AD142" s="115" t="e">
        <f t="shared" si="18"/>
        <v>#REF!</v>
      </c>
      <c r="AE142" s="11"/>
      <c r="AF142" s="115">
        <f t="shared" si="19"/>
        <v>0</v>
      </c>
      <c r="AG142" s="115">
        <f t="shared" si="20"/>
        <v>0</v>
      </c>
      <c r="AH142" s="115">
        <f t="shared" si="21"/>
        <v>0</v>
      </c>
      <c r="AJ142" s="11" t="e">
        <f t="shared" si="27"/>
        <v>#REF!</v>
      </c>
    </row>
    <row r="143" spans="1:36">
      <c r="A143" s="129"/>
      <c r="B143" s="129" t="s">
        <v>46</v>
      </c>
      <c r="C143" s="96"/>
      <c r="D143" s="120" t="s">
        <v>229</v>
      </c>
      <c r="E143" s="98">
        <v>7.43</v>
      </c>
      <c r="F143" s="99" t="e">
        <f>VLOOKUP(D143,#REF!,17,FALSE)</f>
        <v>#REF!</v>
      </c>
      <c r="G143" s="100"/>
      <c r="H143" s="100"/>
      <c r="I143" s="101"/>
      <c r="J143" s="102" t="e">
        <f t="shared" si="31"/>
        <v>#REF!</v>
      </c>
      <c r="K143" s="103"/>
      <c r="L143" s="104"/>
      <c r="M143" s="105"/>
      <c r="N143" s="103">
        <v>0</v>
      </c>
      <c r="O143" s="106"/>
      <c r="P143" s="103">
        <v>0</v>
      </c>
      <c r="Q143" s="107">
        <f t="shared" si="33"/>
        <v>0</v>
      </c>
      <c r="R143" s="108">
        <v>10.37</v>
      </c>
      <c r="S143" s="119"/>
      <c r="T143" s="110">
        <f t="shared" si="22"/>
        <v>10.37</v>
      </c>
      <c r="U143" s="103"/>
      <c r="V143" s="112">
        <f t="shared" si="23"/>
        <v>0</v>
      </c>
      <c r="W143" s="112">
        <f t="shared" si="24"/>
        <v>0</v>
      </c>
      <c r="X143" s="113">
        <f t="shared" si="25"/>
        <v>0</v>
      </c>
      <c r="Y143" s="113">
        <v>0</v>
      </c>
      <c r="Z143" s="114">
        <v>0</v>
      </c>
      <c r="AA143" s="11">
        <f t="shared" si="26"/>
        <v>0</v>
      </c>
      <c r="AB143" s="115">
        <f t="shared" si="16"/>
        <v>0</v>
      </c>
      <c r="AC143" s="115" t="e">
        <f t="shared" si="17"/>
        <v>#REF!</v>
      </c>
      <c r="AD143" s="115">
        <f t="shared" si="18"/>
        <v>0</v>
      </c>
      <c r="AE143" s="11"/>
      <c r="AF143" s="115">
        <f t="shared" si="19"/>
        <v>0</v>
      </c>
      <c r="AG143" s="115">
        <f t="shared" si="20"/>
        <v>0</v>
      </c>
      <c r="AH143" s="115">
        <f t="shared" si="21"/>
        <v>0</v>
      </c>
      <c r="AJ143" s="11" t="e">
        <f t="shared" si="27"/>
        <v>#REF!</v>
      </c>
    </row>
    <row r="144" spans="1:36">
      <c r="A144" s="116"/>
      <c r="B144" s="116" t="s">
        <v>46</v>
      </c>
      <c r="C144" s="122" t="s">
        <v>230</v>
      </c>
      <c r="D144" s="120" t="s">
        <v>231</v>
      </c>
      <c r="E144" s="98"/>
      <c r="F144" s="99" t="e">
        <f>VLOOKUP(D144,#REF!,17,FALSE)</f>
        <v>#REF!</v>
      </c>
      <c r="G144" s="100"/>
      <c r="H144" s="100"/>
      <c r="I144" s="101"/>
      <c r="J144" s="102" t="e">
        <f t="shared" si="31"/>
        <v>#REF!</v>
      </c>
      <c r="K144" s="103"/>
      <c r="L144" s="104"/>
      <c r="M144" s="105"/>
      <c r="N144" s="103">
        <v>0</v>
      </c>
      <c r="O144" s="106"/>
      <c r="P144" s="103">
        <v>0</v>
      </c>
      <c r="Q144" s="107">
        <f t="shared" si="33"/>
        <v>0</v>
      </c>
      <c r="R144" s="108">
        <v>0</v>
      </c>
      <c r="S144" s="119"/>
      <c r="T144" s="110">
        <f t="shared" si="22"/>
        <v>0</v>
      </c>
      <c r="U144" s="103"/>
      <c r="V144" s="112">
        <f t="shared" si="23"/>
        <v>0</v>
      </c>
      <c r="W144" s="112">
        <f t="shared" si="24"/>
        <v>0</v>
      </c>
      <c r="X144" s="113">
        <f t="shared" si="25"/>
        <v>0</v>
      </c>
      <c r="Y144" s="113">
        <v>0</v>
      </c>
      <c r="Z144" s="114">
        <v>0</v>
      </c>
      <c r="AA144" s="11">
        <f t="shared" si="26"/>
        <v>0</v>
      </c>
      <c r="AB144" s="115">
        <f t="shared" si="16"/>
        <v>0</v>
      </c>
      <c r="AC144" s="115" t="e">
        <f t="shared" si="17"/>
        <v>#REF!</v>
      </c>
      <c r="AD144" s="115">
        <f t="shared" si="18"/>
        <v>0</v>
      </c>
      <c r="AE144" s="11"/>
      <c r="AF144" s="115">
        <f t="shared" si="19"/>
        <v>0</v>
      </c>
      <c r="AG144" s="115">
        <f t="shared" si="20"/>
        <v>0</v>
      </c>
      <c r="AH144" s="115">
        <f t="shared" si="21"/>
        <v>0</v>
      </c>
      <c r="AJ144" s="11" t="e">
        <f t="shared" si="27"/>
        <v>#REF!</v>
      </c>
    </row>
    <row r="145" spans="1:36">
      <c r="A145" s="129"/>
      <c r="B145" s="129" t="s">
        <v>49</v>
      </c>
      <c r="C145" s="96"/>
      <c r="D145" s="120" t="s">
        <v>232</v>
      </c>
      <c r="E145" s="98"/>
      <c r="F145" s="99" t="e">
        <f>VLOOKUP(D145,#REF!,17,FALSE)</f>
        <v>#REF!</v>
      </c>
      <c r="G145" s="100"/>
      <c r="H145" s="100"/>
      <c r="I145" s="101"/>
      <c r="J145" s="102" t="e">
        <f t="shared" si="31"/>
        <v>#REF!</v>
      </c>
      <c r="K145" s="103"/>
      <c r="L145" s="104"/>
      <c r="M145" s="105"/>
      <c r="N145" s="103">
        <v>0</v>
      </c>
      <c r="O145" s="106"/>
      <c r="P145" s="103">
        <v>0</v>
      </c>
      <c r="Q145" s="107">
        <f t="shared" si="33"/>
        <v>0</v>
      </c>
      <c r="R145" s="108">
        <v>0</v>
      </c>
      <c r="S145" s="119"/>
      <c r="T145" s="110">
        <f t="shared" si="22"/>
        <v>0</v>
      </c>
      <c r="U145" s="103"/>
      <c r="V145" s="112">
        <f t="shared" si="23"/>
        <v>0</v>
      </c>
      <c r="W145" s="112">
        <f t="shared" si="24"/>
        <v>0</v>
      </c>
      <c r="X145" s="113">
        <f t="shared" si="25"/>
        <v>0</v>
      </c>
      <c r="Y145" s="113">
        <v>0</v>
      </c>
      <c r="Z145" s="114">
        <v>0</v>
      </c>
      <c r="AA145" s="11">
        <f t="shared" si="26"/>
        <v>0</v>
      </c>
      <c r="AB145" s="115" t="e">
        <f t="shared" ref="AB145:AB209" si="34">IF(B145="D",J145,0)</f>
        <v>#REF!</v>
      </c>
      <c r="AC145" s="115">
        <f t="shared" ref="AC145:AC209" si="35">IF(B145="M",J145,0)</f>
        <v>0</v>
      </c>
      <c r="AD145" s="115">
        <f t="shared" ref="AD145:AD209" si="36">IF(B145="V",J145,0)</f>
        <v>0</v>
      </c>
      <c r="AE145" s="11"/>
      <c r="AF145" s="115">
        <f t="shared" ref="AF145:AF209" si="37">IF(B145="D",Q145,0)</f>
        <v>0</v>
      </c>
      <c r="AG145" s="115">
        <f t="shared" ref="AG145:AG209" si="38">IF(B145="M",Q145,0)</f>
        <v>0</v>
      </c>
      <c r="AH145" s="115">
        <f t="shared" ref="AH145:AH209" si="39">IF(B145="V",Q145,0)</f>
        <v>0</v>
      </c>
      <c r="AJ145" s="11" t="e">
        <f t="shared" si="27"/>
        <v>#REF!</v>
      </c>
    </row>
    <row r="146" spans="1:36">
      <c r="A146" s="129"/>
      <c r="B146" s="129" t="s">
        <v>49</v>
      </c>
      <c r="C146" s="96" t="s">
        <v>235</v>
      </c>
      <c r="D146" s="120" t="s">
        <v>236</v>
      </c>
      <c r="E146" s="98">
        <f>1488.78+1859.37+2312.52+1870.09</f>
        <v>7530.76</v>
      </c>
      <c r="F146" s="99" t="e">
        <f>VLOOKUP(D146,#REF!,17,FALSE)</f>
        <v>#REF!</v>
      </c>
      <c r="G146" s="100"/>
      <c r="H146" s="100"/>
      <c r="I146" s="101"/>
      <c r="J146" s="102" t="e">
        <f t="shared" si="31"/>
        <v>#REF!</v>
      </c>
      <c r="K146" s="103"/>
      <c r="L146" s="104"/>
      <c r="M146" s="105">
        <v>8000</v>
      </c>
      <c r="N146" s="103">
        <v>0</v>
      </c>
      <c r="O146" s="106"/>
      <c r="P146" s="103">
        <v>0</v>
      </c>
      <c r="Q146" s="107">
        <f t="shared" si="33"/>
        <v>8000</v>
      </c>
      <c r="R146" s="108">
        <v>0</v>
      </c>
      <c r="S146" s="119"/>
      <c r="T146" s="110">
        <f t="shared" ref="T146:T209" si="40">IF(R146="","",R146-Q146)</f>
        <v>-8000</v>
      </c>
      <c r="U146" s="103"/>
      <c r="V146" s="112">
        <f t="shared" ref="V146:V210" si="41">IF(B146="D",Q146,0)</f>
        <v>8000</v>
      </c>
      <c r="W146" s="112">
        <f t="shared" ref="W146:W210" si="42">IF(B146="M",Q146,0)</f>
        <v>0</v>
      </c>
      <c r="X146" s="113">
        <f t="shared" ref="X146:X210" si="43">IF(B146="V",Q146,0)</f>
        <v>0</v>
      </c>
      <c r="Y146" s="113">
        <v>0</v>
      </c>
      <c r="Z146" s="114">
        <v>0</v>
      </c>
      <c r="AA146" s="11">
        <f t="shared" ref="AA146:AA209" si="44">(L146+M146)-(V146+W146+X146+Y146+Z146)</f>
        <v>0</v>
      </c>
      <c r="AB146" s="115" t="e">
        <f t="shared" si="34"/>
        <v>#REF!</v>
      </c>
      <c r="AC146" s="115">
        <f t="shared" si="35"/>
        <v>0</v>
      </c>
      <c r="AD146" s="115">
        <f t="shared" si="36"/>
        <v>0</v>
      </c>
      <c r="AE146" s="11"/>
      <c r="AF146" s="115">
        <f t="shared" si="37"/>
        <v>8000</v>
      </c>
      <c r="AG146" s="115">
        <f t="shared" si="38"/>
        <v>0</v>
      </c>
      <c r="AH146" s="115">
        <f t="shared" si="39"/>
        <v>0</v>
      </c>
      <c r="AJ146" s="11" t="e">
        <f t="shared" si="27"/>
        <v>#REF!</v>
      </c>
    </row>
    <row r="147" spans="1:36">
      <c r="A147" s="129"/>
      <c r="B147" s="129" t="s">
        <v>81</v>
      </c>
      <c r="C147" s="96" t="s">
        <v>235</v>
      </c>
      <c r="D147" s="120" t="s">
        <v>237</v>
      </c>
      <c r="E147" s="98">
        <f>4.68+3.88+2.96+1.3</f>
        <v>12.82</v>
      </c>
      <c r="F147" s="99" t="e">
        <f>VLOOKUP(D147,#REF!,17,FALSE)</f>
        <v>#REF!</v>
      </c>
      <c r="G147" s="100"/>
      <c r="H147" s="100"/>
      <c r="I147" s="101"/>
      <c r="J147" s="102" t="e">
        <f t="shared" ref="J147" si="45">SUM(E147:I147)</f>
        <v>#REF!</v>
      </c>
      <c r="K147" s="103"/>
      <c r="L147" s="104"/>
      <c r="M147" s="105"/>
      <c r="N147" s="103">
        <v>0</v>
      </c>
      <c r="O147" s="106"/>
      <c r="P147" s="103">
        <v>0</v>
      </c>
      <c r="Q147" s="107">
        <f t="shared" si="33"/>
        <v>0</v>
      </c>
      <c r="R147" s="108">
        <v>0</v>
      </c>
      <c r="S147" s="119"/>
      <c r="T147" s="110">
        <f t="shared" si="40"/>
        <v>0</v>
      </c>
      <c r="U147" s="103"/>
      <c r="V147" s="112">
        <f t="shared" si="41"/>
        <v>0</v>
      </c>
      <c r="W147" s="112">
        <f t="shared" si="42"/>
        <v>0</v>
      </c>
      <c r="X147" s="113">
        <f t="shared" si="43"/>
        <v>0</v>
      </c>
      <c r="Y147" s="113">
        <v>0</v>
      </c>
      <c r="Z147" s="114">
        <v>0</v>
      </c>
      <c r="AA147" s="11">
        <f t="shared" si="44"/>
        <v>0</v>
      </c>
      <c r="AB147" s="115">
        <f t="shared" si="34"/>
        <v>0</v>
      </c>
      <c r="AC147" s="115">
        <f t="shared" si="35"/>
        <v>0</v>
      </c>
      <c r="AD147" s="115" t="e">
        <f t="shared" si="36"/>
        <v>#REF!</v>
      </c>
      <c r="AE147" s="11"/>
      <c r="AF147" s="115">
        <f t="shared" si="37"/>
        <v>0</v>
      </c>
      <c r="AG147" s="115">
        <f t="shared" si="38"/>
        <v>0</v>
      </c>
      <c r="AH147" s="115">
        <f t="shared" si="39"/>
        <v>0</v>
      </c>
      <c r="AJ147" s="11" t="e">
        <f t="shared" ref="AJ147:AJ210" si="46">SUM(AB147:AH147)</f>
        <v>#REF!</v>
      </c>
    </row>
    <row r="148" spans="1:36">
      <c r="A148" s="129"/>
      <c r="B148" s="129" t="s">
        <v>46</v>
      </c>
      <c r="C148" s="96" t="s">
        <v>238</v>
      </c>
      <c r="D148" s="120" t="s">
        <v>239</v>
      </c>
      <c r="E148" s="98"/>
      <c r="F148" s="99" t="e">
        <f>VLOOKUP(D148,#REF!,17,FALSE)</f>
        <v>#REF!</v>
      </c>
      <c r="G148" s="100"/>
      <c r="H148" s="100"/>
      <c r="I148" s="125">
        <v>2804</v>
      </c>
      <c r="J148" s="102" t="e">
        <f t="shared" si="31"/>
        <v>#REF!</v>
      </c>
      <c r="K148" s="103"/>
      <c r="L148" s="104"/>
      <c r="M148" s="105"/>
      <c r="N148" s="103">
        <v>0</v>
      </c>
      <c r="O148" s="106"/>
      <c r="P148" s="103">
        <v>0</v>
      </c>
      <c r="Q148" s="107">
        <f t="shared" si="33"/>
        <v>0</v>
      </c>
      <c r="R148" s="108">
        <v>0</v>
      </c>
      <c r="S148" s="119"/>
      <c r="T148" s="110">
        <f t="shared" si="40"/>
        <v>0</v>
      </c>
      <c r="U148" s="103"/>
      <c r="V148" s="112">
        <f t="shared" si="41"/>
        <v>0</v>
      </c>
      <c r="W148" s="112">
        <f t="shared" si="42"/>
        <v>0</v>
      </c>
      <c r="X148" s="113">
        <f t="shared" si="43"/>
        <v>0</v>
      </c>
      <c r="Y148" s="113">
        <v>0</v>
      </c>
      <c r="Z148" s="114">
        <v>0</v>
      </c>
      <c r="AA148" s="11">
        <f t="shared" si="44"/>
        <v>0</v>
      </c>
      <c r="AB148" s="115">
        <f t="shared" si="34"/>
        <v>0</v>
      </c>
      <c r="AC148" s="115" t="e">
        <f t="shared" si="35"/>
        <v>#REF!</v>
      </c>
      <c r="AD148" s="115">
        <f t="shared" si="36"/>
        <v>0</v>
      </c>
      <c r="AE148" s="11"/>
      <c r="AF148" s="115">
        <f t="shared" si="37"/>
        <v>0</v>
      </c>
      <c r="AG148" s="115">
        <f t="shared" si="38"/>
        <v>0</v>
      </c>
      <c r="AH148" s="115">
        <f t="shared" si="39"/>
        <v>0</v>
      </c>
      <c r="AJ148" s="11" t="e">
        <f t="shared" si="46"/>
        <v>#REF!</v>
      </c>
    </row>
    <row r="149" spans="1:36">
      <c r="A149" s="129"/>
      <c r="B149" s="129" t="s">
        <v>46</v>
      </c>
      <c r="C149" s="96" t="s">
        <v>240</v>
      </c>
      <c r="D149" s="120" t="s">
        <v>241</v>
      </c>
      <c r="E149" s="98"/>
      <c r="F149" s="99" t="e">
        <f>VLOOKUP(D149,#REF!,17,FALSE)</f>
        <v>#REF!</v>
      </c>
      <c r="G149" s="100"/>
      <c r="H149" s="100"/>
      <c r="I149" s="101"/>
      <c r="J149" s="102" t="e">
        <f t="shared" si="31"/>
        <v>#REF!</v>
      </c>
      <c r="K149" s="103"/>
      <c r="L149" s="104"/>
      <c r="M149" s="105"/>
      <c r="N149" s="103">
        <v>0</v>
      </c>
      <c r="O149" s="106"/>
      <c r="P149" s="103">
        <v>0</v>
      </c>
      <c r="Q149" s="107">
        <f t="shared" si="33"/>
        <v>0</v>
      </c>
      <c r="R149" s="108">
        <v>250.24</v>
      </c>
      <c r="S149" s="119"/>
      <c r="T149" s="110">
        <f t="shared" si="40"/>
        <v>250.24</v>
      </c>
      <c r="U149" s="103"/>
      <c r="V149" s="112">
        <f t="shared" si="41"/>
        <v>0</v>
      </c>
      <c r="W149" s="112">
        <f t="shared" si="42"/>
        <v>0</v>
      </c>
      <c r="X149" s="113">
        <f t="shared" si="43"/>
        <v>0</v>
      </c>
      <c r="Y149" s="113">
        <v>0</v>
      </c>
      <c r="Z149" s="114">
        <v>0</v>
      </c>
      <c r="AA149" s="11">
        <f t="shared" si="44"/>
        <v>0</v>
      </c>
      <c r="AB149" s="115">
        <f t="shared" si="34"/>
        <v>0</v>
      </c>
      <c r="AC149" s="115" t="e">
        <f t="shared" si="35"/>
        <v>#REF!</v>
      </c>
      <c r="AD149" s="115">
        <f t="shared" si="36"/>
        <v>0</v>
      </c>
      <c r="AE149" s="11"/>
      <c r="AF149" s="115">
        <f t="shared" si="37"/>
        <v>0</v>
      </c>
      <c r="AG149" s="115">
        <f t="shared" si="38"/>
        <v>0</v>
      </c>
      <c r="AH149" s="115">
        <f t="shared" si="39"/>
        <v>0</v>
      </c>
      <c r="AJ149" s="11" t="e">
        <f t="shared" si="46"/>
        <v>#REF!</v>
      </c>
    </row>
    <row r="150" spans="1:36" s="124" customFormat="1">
      <c r="A150" s="123"/>
      <c r="B150" s="123" t="s">
        <v>81</v>
      </c>
      <c r="C150" s="122"/>
      <c r="D150" s="281" t="s">
        <v>242</v>
      </c>
      <c r="E150" s="98">
        <f>9087.5*2</f>
        <v>18175</v>
      </c>
      <c r="F150" s="99" t="e">
        <f>VLOOKUP(D150,#REF!,17,FALSE)</f>
        <v>#REF!</v>
      </c>
      <c r="G150" s="100"/>
      <c r="H150" s="100"/>
      <c r="I150" s="125">
        <v>9087.5</v>
      </c>
      <c r="J150" s="102" t="e">
        <f t="shared" si="31"/>
        <v>#REF!</v>
      </c>
      <c r="K150" s="103"/>
      <c r="L150" s="104"/>
      <c r="M150" s="105"/>
      <c r="N150" s="103">
        <v>0</v>
      </c>
      <c r="O150" s="106"/>
      <c r="P150" s="103">
        <v>0</v>
      </c>
      <c r="Q150" s="107">
        <f t="shared" si="33"/>
        <v>0</v>
      </c>
      <c r="R150" s="108">
        <v>0</v>
      </c>
      <c r="S150" s="119"/>
      <c r="T150" s="110">
        <f t="shared" si="40"/>
        <v>0</v>
      </c>
      <c r="U150" s="103"/>
      <c r="V150" s="112">
        <f t="shared" si="41"/>
        <v>0</v>
      </c>
      <c r="W150" s="112">
        <f t="shared" si="42"/>
        <v>0</v>
      </c>
      <c r="X150" s="113">
        <f t="shared" si="43"/>
        <v>0</v>
      </c>
      <c r="Y150" s="113">
        <v>0</v>
      </c>
      <c r="Z150" s="114">
        <v>0</v>
      </c>
      <c r="AA150" s="11">
        <f t="shared" si="44"/>
        <v>0</v>
      </c>
      <c r="AB150" s="115">
        <f t="shared" si="34"/>
        <v>0</v>
      </c>
      <c r="AC150" s="115">
        <f t="shared" si="35"/>
        <v>0</v>
      </c>
      <c r="AD150" s="115" t="e">
        <f t="shared" si="36"/>
        <v>#REF!</v>
      </c>
      <c r="AE150" s="11"/>
      <c r="AF150" s="115">
        <f t="shared" si="37"/>
        <v>0</v>
      </c>
      <c r="AG150" s="115">
        <f t="shared" si="38"/>
        <v>0</v>
      </c>
      <c r="AH150" s="115">
        <f t="shared" si="39"/>
        <v>0</v>
      </c>
      <c r="AJ150" s="11" t="e">
        <f t="shared" si="46"/>
        <v>#REF!</v>
      </c>
    </row>
    <row r="151" spans="1:36" s="124" customFormat="1">
      <c r="A151" s="123"/>
      <c r="B151" s="123" t="s">
        <v>49</v>
      </c>
      <c r="C151" s="122"/>
      <c r="D151" s="142" t="s">
        <v>244</v>
      </c>
      <c r="E151" s="98"/>
      <c r="F151" s="99" t="e">
        <f>VLOOKUP(D151,#REF!,17,FALSE)</f>
        <v>#REF!</v>
      </c>
      <c r="G151" s="100"/>
      <c r="H151" s="100"/>
      <c r="I151" s="101"/>
      <c r="J151" s="102" t="e">
        <f t="shared" si="31"/>
        <v>#REF!</v>
      </c>
      <c r="K151" s="103"/>
      <c r="L151" s="104"/>
      <c r="M151" s="105"/>
      <c r="N151" s="103">
        <v>0</v>
      </c>
      <c r="O151" s="106"/>
      <c r="P151" s="103">
        <v>0</v>
      </c>
      <c r="Q151" s="107">
        <f t="shared" si="33"/>
        <v>0</v>
      </c>
      <c r="R151" s="108">
        <v>0</v>
      </c>
      <c r="S151" s="119"/>
      <c r="T151" s="110">
        <f t="shared" si="40"/>
        <v>0</v>
      </c>
      <c r="U151" s="103"/>
      <c r="V151" s="112">
        <f t="shared" si="41"/>
        <v>0</v>
      </c>
      <c r="W151" s="112">
        <f t="shared" si="42"/>
        <v>0</v>
      </c>
      <c r="X151" s="113">
        <f t="shared" si="43"/>
        <v>0</v>
      </c>
      <c r="Y151" s="113">
        <v>0</v>
      </c>
      <c r="Z151" s="114">
        <v>0</v>
      </c>
      <c r="AA151" s="11">
        <f t="shared" si="44"/>
        <v>0</v>
      </c>
      <c r="AB151" s="115" t="e">
        <f t="shared" si="34"/>
        <v>#REF!</v>
      </c>
      <c r="AC151" s="115">
        <f t="shared" si="35"/>
        <v>0</v>
      </c>
      <c r="AD151" s="115">
        <f t="shared" si="36"/>
        <v>0</v>
      </c>
      <c r="AE151" s="11"/>
      <c r="AF151" s="115">
        <f t="shared" si="37"/>
        <v>0</v>
      </c>
      <c r="AG151" s="115">
        <f t="shared" si="38"/>
        <v>0</v>
      </c>
      <c r="AH151" s="115">
        <f t="shared" si="39"/>
        <v>0</v>
      </c>
      <c r="AJ151" s="11" t="e">
        <f t="shared" si="46"/>
        <v>#REF!</v>
      </c>
    </row>
    <row r="152" spans="1:36" s="124" customFormat="1">
      <c r="A152" s="123"/>
      <c r="B152" s="123" t="s">
        <v>46</v>
      </c>
      <c r="C152" s="122" t="s">
        <v>245</v>
      </c>
      <c r="D152" s="142" t="s">
        <v>246</v>
      </c>
      <c r="E152" s="98"/>
      <c r="F152" s="99" t="e">
        <f>VLOOKUP(D152,#REF!,17,FALSE)</f>
        <v>#REF!</v>
      </c>
      <c r="G152" s="100"/>
      <c r="H152" s="100"/>
      <c r="I152" s="101"/>
      <c r="J152" s="102" t="e">
        <f t="shared" si="31"/>
        <v>#REF!</v>
      </c>
      <c r="K152" s="103"/>
      <c r="L152" s="104"/>
      <c r="M152" s="105">
        <v>10000</v>
      </c>
      <c r="N152" s="103">
        <v>0</v>
      </c>
      <c r="O152" s="106"/>
      <c r="P152" s="103">
        <v>0</v>
      </c>
      <c r="Q152" s="107">
        <f t="shared" si="33"/>
        <v>10000</v>
      </c>
      <c r="R152" s="108">
        <v>9924.57</v>
      </c>
      <c r="S152" s="119"/>
      <c r="T152" s="110">
        <f t="shared" si="40"/>
        <v>-75.430000000000291</v>
      </c>
      <c r="U152" s="103"/>
      <c r="V152" s="112">
        <f t="shared" si="41"/>
        <v>0</v>
      </c>
      <c r="W152" s="112">
        <f t="shared" si="42"/>
        <v>10000</v>
      </c>
      <c r="X152" s="113">
        <f t="shared" si="43"/>
        <v>0</v>
      </c>
      <c r="Y152" s="113">
        <v>0</v>
      </c>
      <c r="Z152" s="114">
        <v>0</v>
      </c>
      <c r="AA152" s="11">
        <f t="shared" si="44"/>
        <v>0</v>
      </c>
      <c r="AB152" s="115">
        <f t="shared" si="34"/>
        <v>0</v>
      </c>
      <c r="AC152" s="115" t="e">
        <f t="shared" si="35"/>
        <v>#REF!</v>
      </c>
      <c r="AD152" s="115">
        <f t="shared" si="36"/>
        <v>0</v>
      </c>
      <c r="AE152" s="11"/>
      <c r="AF152" s="115">
        <f t="shared" si="37"/>
        <v>0</v>
      </c>
      <c r="AG152" s="115">
        <f t="shared" si="38"/>
        <v>10000</v>
      </c>
      <c r="AH152" s="115">
        <f t="shared" si="39"/>
        <v>0</v>
      </c>
      <c r="AJ152" s="11" t="e">
        <f t="shared" si="46"/>
        <v>#REF!</v>
      </c>
    </row>
    <row r="153" spans="1:36" s="124" customFormat="1">
      <c r="A153" s="127"/>
      <c r="B153" s="127" t="s">
        <v>46</v>
      </c>
      <c r="C153" s="96" t="s">
        <v>210</v>
      </c>
      <c r="D153" s="118" t="s">
        <v>247</v>
      </c>
      <c r="E153" s="98"/>
      <c r="F153" s="99" t="e">
        <f>VLOOKUP(D153,#REF!,17,FALSE)</f>
        <v>#REF!</v>
      </c>
      <c r="G153" s="100"/>
      <c r="H153" s="100"/>
      <c r="I153" s="101"/>
      <c r="J153" s="102" t="e">
        <f t="shared" si="31"/>
        <v>#REF!</v>
      </c>
      <c r="K153" s="103"/>
      <c r="L153" s="104"/>
      <c r="M153" s="105">
        <v>90000</v>
      </c>
      <c r="N153" s="103">
        <v>0</v>
      </c>
      <c r="O153" s="106"/>
      <c r="P153" s="103">
        <v>0</v>
      </c>
      <c r="Q153" s="107">
        <f t="shared" si="33"/>
        <v>90000</v>
      </c>
      <c r="R153" s="108">
        <v>87388.14</v>
      </c>
      <c r="S153" s="119"/>
      <c r="T153" s="110">
        <f t="shared" si="40"/>
        <v>-2611.8600000000006</v>
      </c>
      <c r="U153" s="103"/>
      <c r="V153" s="112">
        <f t="shared" si="41"/>
        <v>0</v>
      </c>
      <c r="W153" s="112">
        <f t="shared" si="42"/>
        <v>90000</v>
      </c>
      <c r="X153" s="113">
        <f t="shared" si="43"/>
        <v>0</v>
      </c>
      <c r="Y153" s="113">
        <v>0</v>
      </c>
      <c r="Z153" s="114">
        <v>0</v>
      </c>
      <c r="AA153" s="11">
        <f t="shared" si="44"/>
        <v>0</v>
      </c>
      <c r="AB153" s="115">
        <f t="shared" si="34"/>
        <v>0</v>
      </c>
      <c r="AC153" s="115" t="e">
        <f t="shared" si="35"/>
        <v>#REF!</v>
      </c>
      <c r="AD153" s="115">
        <f t="shared" si="36"/>
        <v>0</v>
      </c>
      <c r="AE153" s="11"/>
      <c r="AF153" s="115">
        <f t="shared" si="37"/>
        <v>0</v>
      </c>
      <c r="AG153" s="115">
        <f t="shared" si="38"/>
        <v>90000</v>
      </c>
      <c r="AH153" s="115">
        <f t="shared" si="39"/>
        <v>0</v>
      </c>
      <c r="AJ153" s="11" t="e">
        <f t="shared" si="46"/>
        <v>#REF!</v>
      </c>
    </row>
    <row r="154" spans="1:36" s="124" customFormat="1">
      <c r="A154" s="127"/>
      <c r="B154" s="127" t="s">
        <v>49</v>
      </c>
      <c r="C154" s="96" t="s">
        <v>210</v>
      </c>
      <c r="D154" s="118" t="s">
        <v>248</v>
      </c>
      <c r="E154" s="98">
        <v>1369.35</v>
      </c>
      <c r="F154" s="99" t="e">
        <f>VLOOKUP(D154,#REF!,17,FALSE)</f>
        <v>#REF!</v>
      </c>
      <c r="G154" s="100"/>
      <c r="H154" s="100"/>
      <c r="I154" s="101"/>
      <c r="J154" s="102" t="e">
        <f t="shared" si="31"/>
        <v>#REF!</v>
      </c>
      <c r="K154" s="103"/>
      <c r="L154" s="104"/>
      <c r="M154" s="105"/>
      <c r="N154" s="103">
        <v>0</v>
      </c>
      <c r="O154" s="106"/>
      <c r="P154" s="103">
        <v>0</v>
      </c>
      <c r="Q154" s="107">
        <f t="shared" si="33"/>
        <v>0</v>
      </c>
      <c r="R154" s="108">
        <v>0</v>
      </c>
      <c r="S154" s="119"/>
      <c r="T154" s="110">
        <f t="shared" si="40"/>
        <v>0</v>
      </c>
      <c r="U154" s="103"/>
      <c r="V154" s="112">
        <f t="shared" si="41"/>
        <v>0</v>
      </c>
      <c r="W154" s="112">
        <f t="shared" si="42"/>
        <v>0</v>
      </c>
      <c r="X154" s="113">
        <f t="shared" si="43"/>
        <v>0</v>
      </c>
      <c r="Y154" s="113">
        <v>0</v>
      </c>
      <c r="Z154" s="114">
        <v>0</v>
      </c>
      <c r="AA154" s="11">
        <f t="shared" si="44"/>
        <v>0</v>
      </c>
      <c r="AB154" s="115" t="e">
        <f t="shared" si="34"/>
        <v>#REF!</v>
      </c>
      <c r="AC154" s="115">
        <f t="shared" si="35"/>
        <v>0</v>
      </c>
      <c r="AD154" s="115">
        <f t="shared" si="36"/>
        <v>0</v>
      </c>
      <c r="AE154" s="11"/>
      <c r="AF154" s="115">
        <f t="shared" si="37"/>
        <v>0</v>
      </c>
      <c r="AG154" s="115">
        <f t="shared" si="38"/>
        <v>0</v>
      </c>
      <c r="AH154" s="115">
        <f t="shared" si="39"/>
        <v>0</v>
      </c>
      <c r="AJ154" s="11" t="e">
        <f t="shared" si="46"/>
        <v>#REF!</v>
      </c>
    </row>
    <row r="155" spans="1:36">
      <c r="A155" s="129" t="s">
        <v>249</v>
      </c>
      <c r="B155" s="129" t="s">
        <v>49</v>
      </c>
      <c r="C155" s="96"/>
      <c r="D155" s="120" t="s">
        <v>250</v>
      </c>
      <c r="E155" s="98">
        <v>8358.25</v>
      </c>
      <c r="F155" s="99" t="e">
        <f>VLOOKUP(D155,#REF!,17,FALSE)</f>
        <v>#REF!</v>
      </c>
      <c r="G155" s="100"/>
      <c r="H155" s="100"/>
      <c r="I155" s="101"/>
      <c r="J155" s="102" t="e">
        <f t="shared" si="31"/>
        <v>#REF!</v>
      </c>
      <c r="K155" s="103"/>
      <c r="L155" s="104"/>
      <c r="M155" s="105"/>
      <c r="N155" s="103">
        <v>0</v>
      </c>
      <c r="O155" s="106"/>
      <c r="P155" s="103">
        <v>0</v>
      </c>
      <c r="Q155" s="107">
        <f t="shared" si="33"/>
        <v>0</v>
      </c>
      <c r="R155" s="108">
        <v>0</v>
      </c>
      <c r="S155" s="119"/>
      <c r="T155" s="110">
        <f t="shared" si="40"/>
        <v>0</v>
      </c>
      <c r="U155" s="103"/>
      <c r="V155" s="112">
        <f t="shared" si="41"/>
        <v>0</v>
      </c>
      <c r="W155" s="112">
        <f t="shared" si="42"/>
        <v>0</v>
      </c>
      <c r="X155" s="113">
        <f t="shared" si="43"/>
        <v>0</v>
      </c>
      <c r="Y155" s="113">
        <v>0</v>
      </c>
      <c r="Z155" s="114">
        <v>0</v>
      </c>
      <c r="AA155" s="11">
        <f t="shared" si="44"/>
        <v>0</v>
      </c>
      <c r="AB155" s="115" t="e">
        <f t="shared" si="34"/>
        <v>#REF!</v>
      </c>
      <c r="AC155" s="115">
        <f t="shared" si="35"/>
        <v>0</v>
      </c>
      <c r="AD155" s="115">
        <f t="shared" si="36"/>
        <v>0</v>
      </c>
      <c r="AE155" s="11"/>
      <c r="AF155" s="115">
        <f t="shared" si="37"/>
        <v>0</v>
      </c>
      <c r="AG155" s="115">
        <f t="shared" si="38"/>
        <v>0</v>
      </c>
      <c r="AH155" s="115">
        <f t="shared" si="39"/>
        <v>0</v>
      </c>
      <c r="AJ155" s="11" t="e">
        <f t="shared" si="46"/>
        <v>#REF!</v>
      </c>
    </row>
    <row r="156" spans="1:36">
      <c r="A156" s="129"/>
      <c r="B156" s="129" t="s">
        <v>46</v>
      </c>
      <c r="C156" s="96" t="s">
        <v>251</v>
      </c>
      <c r="D156" s="120" t="s">
        <v>252</v>
      </c>
      <c r="E156" s="98"/>
      <c r="F156" s="99" t="e">
        <f>VLOOKUP(D156,#REF!,17,FALSE)</f>
        <v>#REF!</v>
      </c>
      <c r="G156" s="100"/>
      <c r="H156" s="100"/>
      <c r="I156" s="101"/>
      <c r="J156" s="102" t="e">
        <f t="shared" si="31"/>
        <v>#REF!</v>
      </c>
      <c r="K156" s="103"/>
      <c r="L156" s="104"/>
      <c r="M156" s="105"/>
      <c r="N156" s="103">
        <v>0</v>
      </c>
      <c r="O156" s="106"/>
      <c r="P156" s="103">
        <v>0</v>
      </c>
      <c r="Q156" s="107">
        <f t="shared" si="33"/>
        <v>0</v>
      </c>
      <c r="R156" s="108">
        <v>0</v>
      </c>
      <c r="S156" s="119"/>
      <c r="T156" s="110">
        <f t="shared" si="40"/>
        <v>0</v>
      </c>
      <c r="U156" s="103"/>
      <c r="V156" s="112">
        <f t="shared" si="41"/>
        <v>0</v>
      </c>
      <c r="W156" s="112">
        <f t="shared" si="42"/>
        <v>0</v>
      </c>
      <c r="X156" s="113">
        <f t="shared" si="43"/>
        <v>0</v>
      </c>
      <c r="Y156" s="113">
        <v>0</v>
      </c>
      <c r="Z156" s="114">
        <v>0</v>
      </c>
      <c r="AA156" s="11">
        <f t="shared" si="44"/>
        <v>0</v>
      </c>
      <c r="AB156" s="115">
        <f t="shared" si="34"/>
        <v>0</v>
      </c>
      <c r="AC156" s="115" t="e">
        <f t="shared" si="35"/>
        <v>#REF!</v>
      </c>
      <c r="AD156" s="115">
        <f t="shared" si="36"/>
        <v>0</v>
      </c>
      <c r="AE156" s="11"/>
      <c r="AF156" s="115">
        <f t="shared" si="37"/>
        <v>0</v>
      </c>
      <c r="AG156" s="115">
        <f t="shared" si="38"/>
        <v>0</v>
      </c>
      <c r="AH156" s="115">
        <f t="shared" si="39"/>
        <v>0</v>
      </c>
      <c r="AJ156" s="11" t="e">
        <f t="shared" si="46"/>
        <v>#REF!</v>
      </c>
    </row>
    <row r="157" spans="1:36">
      <c r="A157" s="129"/>
      <c r="B157" s="129" t="s">
        <v>46</v>
      </c>
      <c r="C157" s="96" t="s">
        <v>251</v>
      </c>
      <c r="D157" s="120" t="s">
        <v>253</v>
      </c>
      <c r="E157" s="98"/>
      <c r="F157" s="99" t="e">
        <f>VLOOKUP(D157,#REF!,17,FALSE)</f>
        <v>#REF!</v>
      </c>
      <c r="G157" s="100"/>
      <c r="H157" s="100"/>
      <c r="I157" s="101"/>
      <c r="J157" s="102" t="e">
        <f t="shared" si="31"/>
        <v>#REF!</v>
      </c>
      <c r="K157" s="103"/>
      <c r="L157" s="104"/>
      <c r="M157" s="105"/>
      <c r="N157" s="103">
        <v>0</v>
      </c>
      <c r="O157" s="106"/>
      <c r="P157" s="103">
        <v>0</v>
      </c>
      <c r="Q157" s="107">
        <f t="shared" si="33"/>
        <v>0</v>
      </c>
      <c r="R157" s="108">
        <v>0</v>
      </c>
      <c r="S157" s="119"/>
      <c r="T157" s="110">
        <f t="shared" si="40"/>
        <v>0</v>
      </c>
      <c r="U157" s="103"/>
      <c r="V157" s="112">
        <f t="shared" si="41"/>
        <v>0</v>
      </c>
      <c r="W157" s="112">
        <f t="shared" si="42"/>
        <v>0</v>
      </c>
      <c r="X157" s="113">
        <f t="shared" si="43"/>
        <v>0</v>
      </c>
      <c r="Y157" s="113">
        <v>0</v>
      </c>
      <c r="Z157" s="114">
        <v>0</v>
      </c>
      <c r="AA157" s="11">
        <f t="shared" si="44"/>
        <v>0</v>
      </c>
      <c r="AB157" s="115">
        <f t="shared" si="34"/>
        <v>0</v>
      </c>
      <c r="AC157" s="115" t="e">
        <f t="shared" si="35"/>
        <v>#REF!</v>
      </c>
      <c r="AD157" s="115">
        <f t="shared" si="36"/>
        <v>0</v>
      </c>
      <c r="AE157" s="11"/>
      <c r="AF157" s="115">
        <f t="shared" si="37"/>
        <v>0</v>
      </c>
      <c r="AG157" s="115">
        <f t="shared" si="38"/>
        <v>0</v>
      </c>
      <c r="AH157" s="115">
        <f t="shared" si="39"/>
        <v>0</v>
      </c>
      <c r="AJ157" s="11" t="e">
        <f t="shared" si="46"/>
        <v>#REF!</v>
      </c>
    </row>
    <row r="158" spans="1:36">
      <c r="A158" s="129"/>
      <c r="B158" s="129" t="s">
        <v>46</v>
      </c>
      <c r="C158" s="96" t="s">
        <v>254</v>
      </c>
      <c r="D158" s="120" t="s">
        <v>255</v>
      </c>
      <c r="E158" s="98"/>
      <c r="F158" s="99" t="e">
        <f>VLOOKUP(D158,#REF!,17,FALSE)</f>
        <v>#REF!</v>
      </c>
      <c r="G158" s="100"/>
      <c r="H158" s="100"/>
      <c r="I158" s="101"/>
      <c r="J158" s="102" t="e">
        <f t="shared" si="31"/>
        <v>#REF!</v>
      </c>
      <c r="K158" s="103"/>
      <c r="L158" s="104"/>
      <c r="M158" s="105">
        <v>69000</v>
      </c>
      <c r="N158" s="103"/>
      <c r="O158" s="106"/>
      <c r="P158" s="103"/>
      <c r="Q158" s="107">
        <f t="shared" si="33"/>
        <v>69000</v>
      </c>
      <c r="R158" s="108">
        <f>12788.02+6035.69+8228.01+2564.09+491.47+34491.56+1241.05+1000.87+1352.44+17935.13</f>
        <v>86128.33</v>
      </c>
      <c r="S158" s="119"/>
      <c r="T158" s="110">
        <f t="shared" si="40"/>
        <v>17128.330000000002</v>
      </c>
      <c r="U158" s="103"/>
      <c r="V158" s="112">
        <f t="shared" si="41"/>
        <v>0</v>
      </c>
      <c r="W158" s="112">
        <f t="shared" si="42"/>
        <v>69000</v>
      </c>
      <c r="X158" s="113">
        <f t="shared" si="43"/>
        <v>0</v>
      </c>
      <c r="Y158" s="113">
        <v>0</v>
      </c>
      <c r="Z158" s="114">
        <v>0</v>
      </c>
      <c r="AA158" s="11">
        <f t="shared" si="44"/>
        <v>0</v>
      </c>
      <c r="AB158" s="115">
        <f t="shared" si="34"/>
        <v>0</v>
      </c>
      <c r="AC158" s="115" t="e">
        <f t="shared" si="35"/>
        <v>#REF!</v>
      </c>
      <c r="AD158" s="115">
        <f t="shared" si="36"/>
        <v>0</v>
      </c>
      <c r="AE158" s="11"/>
      <c r="AF158" s="115">
        <f t="shared" si="37"/>
        <v>0</v>
      </c>
      <c r="AG158" s="115">
        <f t="shared" si="38"/>
        <v>69000</v>
      </c>
      <c r="AH158" s="115">
        <f t="shared" si="39"/>
        <v>0</v>
      </c>
      <c r="AJ158" s="11" t="e">
        <f t="shared" si="46"/>
        <v>#REF!</v>
      </c>
    </row>
    <row r="159" spans="1:36" s="124" customFormat="1">
      <c r="A159" s="127"/>
      <c r="B159" s="127" t="s">
        <v>46</v>
      </c>
      <c r="C159" s="96"/>
      <c r="D159" s="118" t="s">
        <v>256</v>
      </c>
      <c r="E159" s="98"/>
      <c r="F159" s="99" t="e">
        <f>VLOOKUP(D159,#REF!,17,FALSE)</f>
        <v>#REF!</v>
      </c>
      <c r="G159" s="100"/>
      <c r="H159" s="100"/>
      <c r="I159" s="101"/>
      <c r="J159" s="102" t="e">
        <f t="shared" si="31"/>
        <v>#REF!</v>
      </c>
      <c r="K159" s="103"/>
      <c r="L159" s="104"/>
      <c r="M159" s="105"/>
      <c r="N159" s="103">
        <v>0</v>
      </c>
      <c r="O159" s="106"/>
      <c r="P159" s="103">
        <v>0</v>
      </c>
      <c r="Q159" s="107">
        <f t="shared" si="33"/>
        <v>0</v>
      </c>
      <c r="R159" s="108">
        <v>0</v>
      </c>
      <c r="S159" s="119"/>
      <c r="T159" s="110">
        <f t="shared" si="40"/>
        <v>0</v>
      </c>
      <c r="U159" s="103"/>
      <c r="V159" s="112">
        <f t="shared" si="41"/>
        <v>0</v>
      </c>
      <c r="W159" s="112">
        <f t="shared" si="42"/>
        <v>0</v>
      </c>
      <c r="X159" s="113">
        <f t="shared" si="43"/>
        <v>0</v>
      </c>
      <c r="Y159" s="113">
        <v>0</v>
      </c>
      <c r="Z159" s="114">
        <v>0</v>
      </c>
      <c r="AA159" s="11">
        <f t="shared" si="44"/>
        <v>0</v>
      </c>
      <c r="AB159" s="115">
        <f t="shared" si="34"/>
        <v>0</v>
      </c>
      <c r="AC159" s="115" t="e">
        <f t="shared" si="35"/>
        <v>#REF!</v>
      </c>
      <c r="AD159" s="115">
        <f t="shared" si="36"/>
        <v>0</v>
      </c>
      <c r="AE159" s="11"/>
      <c r="AF159" s="115">
        <f t="shared" si="37"/>
        <v>0</v>
      </c>
      <c r="AG159" s="115">
        <f t="shared" si="38"/>
        <v>0</v>
      </c>
      <c r="AH159" s="115">
        <f t="shared" si="39"/>
        <v>0</v>
      </c>
      <c r="AJ159" s="11" t="e">
        <f t="shared" si="46"/>
        <v>#REF!</v>
      </c>
    </row>
    <row r="160" spans="1:36" s="14" customFormat="1">
      <c r="A160" s="95"/>
      <c r="B160" s="129" t="s">
        <v>46</v>
      </c>
      <c r="C160" s="96"/>
      <c r="D160" s="120" t="s">
        <v>258</v>
      </c>
      <c r="E160" s="98"/>
      <c r="F160" s="99" t="e">
        <f>VLOOKUP(D160,#REF!,17,FALSE)</f>
        <v>#REF!</v>
      </c>
      <c r="G160" s="100"/>
      <c r="H160" s="100"/>
      <c r="I160" s="125">
        <v>6655.2</v>
      </c>
      <c r="J160" s="132" t="e">
        <f t="shared" ref="J160" si="47">SUM(E160:I160)</f>
        <v>#REF!</v>
      </c>
      <c r="K160" s="133"/>
      <c r="L160" s="104"/>
      <c r="M160" s="105"/>
      <c r="N160" s="133">
        <v>0</v>
      </c>
      <c r="O160" s="106"/>
      <c r="P160" s="133">
        <v>0</v>
      </c>
      <c r="Q160" s="137">
        <f t="shared" si="33"/>
        <v>0</v>
      </c>
      <c r="R160" s="108">
        <v>0</v>
      </c>
      <c r="S160" s="138"/>
      <c r="T160" s="110">
        <f t="shared" si="40"/>
        <v>0</v>
      </c>
      <c r="U160" s="133"/>
      <c r="V160" s="112">
        <f t="shared" si="41"/>
        <v>0</v>
      </c>
      <c r="W160" s="112">
        <f t="shared" si="42"/>
        <v>0</v>
      </c>
      <c r="X160" s="113">
        <f t="shared" si="43"/>
        <v>0</v>
      </c>
      <c r="Y160" s="113">
        <v>0</v>
      </c>
      <c r="Z160" s="114">
        <v>0</v>
      </c>
      <c r="AA160" s="11">
        <f t="shared" si="44"/>
        <v>0</v>
      </c>
      <c r="AB160" s="115">
        <f t="shared" si="34"/>
        <v>0</v>
      </c>
      <c r="AC160" s="115" t="e">
        <f t="shared" si="35"/>
        <v>#REF!</v>
      </c>
      <c r="AD160" s="115">
        <f t="shared" si="36"/>
        <v>0</v>
      </c>
      <c r="AE160" s="11"/>
      <c r="AF160" s="115">
        <f t="shared" si="37"/>
        <v>0</v>
      </c>
      <c r="AG160" s="115">
        <f t="shared" si="38"/>
        <v>0</v>
      </c>
      <c r="AH160" s="115">
        <f t="shared" si="39"/>
        <v>0</v>
      </c>
      <c r="AJ160" s="11" t="e">
        <f t="shared" si="46"/>
        <v>#REF!</v>
      </c>
    </row>
    <row r="161" spans="1:36">
      <c r="A161" s="129"/>
      <c r="B161" s="129" t="s">
        <v>49</v>
      </c>
      <c r="C161" s="96"/>
      <c r="D161" s="120" t="s">
        <v>259</v>
      </c>
      <c r="E161" s="98"/>
      <c r="F161" s="99" t="e">
        <f>VLOOKUP(D161,#REF!,17,FALSE)</f>
        <v>#REF!</v>
      </c>
      <c r="G161" s="100"/>
      <c r="H161" s="100"/>
      <c r="I161" s="101"/>
      <c r="J161" s="102" t="e">
        <f t="shared" si="31"/>
        <v>#REF!</v>
      </c>
      <c r="K161" s="103"/>
      <c r="L161" s="104"/>
      <c r="M161" s="105"/>
      <c r="N161" s="103">
        <v>0</v>
      </c>
      <c r="O161" s="106"/>
      <c r="P161" s="103">
        <v>0</v>
      </c>
      <c r="Q161" s="107">
        <f t="shared" si="33"/>
        <v>0</v>
      </c>
      <c r="R161" s="108">
        <v>48.3</v>
      </c>
      <c r="S161" s="119"/>
      <c r="T161" s="110">
        <f t="shared" si="40"/>
        <v>48.3</v>
      </c>
      <c r="U161" s="103"/>
      <c r="V161" s="112">
        <f t="shared" si="41"/>
        <v>0</v>
      </c>
      <c r="W161" s="112">
        <f t="shared" si="42"/>
        <v>0</v>
      </c>
      <c r="X161" s="113">
        <f t="shared" si="43"/>
        <v>0</v>
      </c>
      <c r="Y161" s="113">
        <v>0</v>
      </c>
      <c r="Z161" s="114">
        <v>0</v>
      </c>
      <c r="AA161" s="11">
        <f t="shared" si="44"/>
        <v>0</v>
      </c>
      <c r="AB161" s="115" t="e">
        <f t="shared" si="34"/>
        <v>#REF!</v>
      </c>
      <c r="AC161" s="115">
        <f t="shared" si="35"/>
        <v>0</v>
      </c>
      <c r="AD161" s="115">
        <f t="shared" si="36"/>
        <v>0</v>
      </c>
      <c r="AE161" s="11"/>
      <c r="AF161" s="115">
        <f t="shared" si="37"/>
        <v>0</v>
      </c>
      <c r="AG161" s="115">
        <f t="shared" si="38"/>
        <v>0</v>
      </c>
      <c r="AH161" s="115">
        <f t="shared" si="39"/>
        <v>0</v>
      </c>
      <c r="AJ161" s="11" t="e">
        <f t="shared" si="46"/>
        <v>#REF!</v>
      </c>
    </row>
    <row r="162" spans="1:36">
      <c r="A162" s="129"/>
      <c r="B162" s="129" t="s">
        <v>49</v>
      </c>
      <c r="C162" s="96"/>
      <c r="D162" s="120" t="s">
        <v>260</v>
      </c>
      <c r="E162" s="98"/>
      <c r="F162" s="99" t="e">
        <f>VLOOKUP(D162,#REF!,17,FALSE)</f>
        <v>#REF!</v>
      </c>
      <c r="G162" s="100"/>
      <c r="H162" s="100"/>
      <c r="I162" s="101"/>
      <c r="J162" s="102" t="e">
        <f t="shared" si="31"/>
        <v>#REF!</v>
      </c>
      <c r="K162" s="103"/>
      <c r="L162" s="104"/>
      <c r="M162" s="105"/>
      <c r="N162" s="103">
        <v>0</v>
      </c>
      <c r="O162" s="106"/>
      <c r="P162" s="103">
        <v>0</v>
      </c>
      <c r="Q162" s="107">
        <f t="shared" si="33"/>
        <v>0</v>
      </c>
      <c r="R162" s="108">
        <v>87.92</v>
      </c>
      <c r="S162" s="119"/>
      <c r="T162" s="110">
        <f t="shared" si="40"/>
        <v>87.92</v>
      </c>
      <c r="U162" s="103"/>
      <c r="V162" s="112">
        <f t="shared" si="41"/>
        <v>0</v>
      </c>
      <c r="W162" s="112">
        <f t="shared" si="42"/>
        <v>0</v>
      </c>
      <c r="X162" s="113">
        <f t="shared" si="43"/>
        <v>0</v>
      </c>
      <c r="Y162" s="113">
        <v>0</v>
      </c>
      <c r="Z162" s="114">
        <v>0</v>
      </c>
      <c r="AA162" s="11">
        <f t="shared" si="44"/>
        <v>0</v>
      </c>
      <c r="AB162" s="115" t="e">
        <f t="shared" si="34"/>
        <v>#REF!</v>
      </c>
      <c r="AC162" s="115">
        <f t="shared" si="35"/>
        <v>0</v>
      </c>
      <c r="AD162" s="115">
        <f t="shared" si="36"/>
        <v>0</v>
      </c>
      <c r="AE162" s="11"/>
      <c r="AF162" s="115">
        <f t="shared" si="37"/>
        <v>0</v>
      </c>
      <c r="AG162" s="115">
        <f t="shared" si="38"/>
        <v>0</v>
      </c>
      <c r="AH162" s="115">
        <f t="shared" si="39"/>
        <v>0</v>
      </c>
      <c r="AJ162" s="11" t="e">
        <f t="shared" si="46"/>
        <v>#REF!</v>
      </c>
    </row>
    <row r="163" spans="1:36">
      <c r="A163" s="129"/>
      <c r="B163" s="129" t="s">
        <v>49</v>
      </c>
      <c r="C163" s="96"/>
      <c r="D163" s="120" t="s">
        <v>261</v>
      </c>
      <c r="E163" s="98"/>
      <c r="F163" s="99" t="e">
        <f>VLOOKUP(D163,#REF!,17,FALSE)</f>
        <v>#REF!</v>
      </c>
      <c r="G163" s="100"/>
      <c r="H163" s="100"/>
      <c r="I163" s="101"/>
      <c r="J163" s="102" t="e">
        <f t="shared" si="31"/>
        <v>#REF!</v>
      </c>
      <c r="K163" s="103"/>
      <c r="L163" s="104"/>
      <c r="M163" s="105"/>
      <c r="N163" s="103">
        <v>0</v>
      </c>
      <c r="O163" s="106"/>
      <c r="P163" s="103">
        <v>0</v>
      </c>
      <c r="Q163" s="107">
        <f t="shared" si="33"/>
        <v>0</v>
      </c>
      <c r="R163" s="108">
        <v>0</v>
      </c>
      <c r="S163" s="119"/>
      <c r="T163" s="110">
        <f t="shared" si="40"/>
        <v>0</v>
      </c>
      <c r="U163" s="103"/>
      <c r="V163" s="112">
        <f t="shared" si="41"/>
        <v>0</v>
      </c>
      <c r="W163" s="112">
        <f t="shared" si="42"/>
        <v>0</v>
      </c>
      <c r="X163" s="113">
        <f t="shared" si="43"/>
        <v>0</v>
      </c>
      <c r="Y163" s="113">
        <v>0</v>
      </c>
      <c r="Z163" s="114">
        <v>0</v>
      </c>
      <c r="AA163" s="11">
        <f t="shared" si="44"/>
        <v>0</v>
      </c>
      <c r="AB163" s="115" t="e">
        <f t="shared" si="34"/>
        <v>#REF!</v>
      </c>
      <c r="AC163" s="115">
        <f t="shared" si="35"/>
        <v>0</v>
      </c>
      <c r="AD163" s="115">
        <f t="shared" si="36"/>
        <v>0</v>
      </c>
      <c r="AE163" s="11"/>
      <c r="AF163" s="115">
        <f t="shared" si="37"/>
        <v>0</v>
      </c>
      <c r="AG163" s="115">
        <f t="shared" si="38"/>
        <v>0</v>
      </c>
      <c r="AH163" s="115">
        <f t="shared" si="39"/>
        <v>0</v>
      </c>
      <c r="AJ163" s="11" t="e">
        <f t="shared" si="46"/>
        <v>#REF!</v>
      </c>
    </row>
    <row r="164" spans="1:36">
      <c r="A164" s="129"/>
      <c r="B164" s="129" t="s">
        <v>49</v>
      </c>
      <c r="C164" s="96" t="s">
        <v>262</v>
      </c>
      <c r="D164" s="120" t="s">
        <v>263</v>
      </c>
      <c r="E164" s="98"/>
      <c r="F164" s="99" t="e">
        <f>VLOOKUP(D164,#REF!,17,FALSE)</f>
        <v>#REF!</v>
      </c>
      <c r="G164" s="100"/>
      <c r="H164" s="100"/>
      <c r="I164" s="101"/>
      <c r="J164" s="102" t="e">
        <f t="shared" si="31"/>
        <v>#REF!</v>
      </c>
      <c r="K164" s="103"/>
      <c r="L164" s="104"/>
      <c r="M164" s="105"/>
      <c r="N164" s="103">
        <v>0</v>
      </c>
      <c r="O164" s="106"/>
      <c r="P164" s="103">
        <v>0</v>
      </c>
      <c r="Q164" s="107">
        <f t="shared" si="33"/>
        <v>0</v>
      </c>
      <c r="R164" s="108">
        <v>1094.27</v>
      </c>
      <c r="S164" s="119"/>
      <c r="T164" s="110">
        <f t="shared" si="40"/>
        <v>1094.27</v>
      </c>
      <c r="U164" s="103"/>
      <c r="V164" s="112">
        <f t="shared" si="41"/>
        <v>0</v>
      </c>
      <c r="W164" s="112">
        <f t="shared" si="42"/>
        <v>0</v>
      </c>
      <c r="X164" s="113">
        <f t="shared" si="43"/>
        <v>0</v>
      </c>
      <c r="Y164" s="113">
        <v>0</v>
      </c>
      <c r="Z164" s="114">
        <v>0</v>
      </c>
      <c r="AA164" s="11">
        <f t="shared" si="44"/>
        <v>0</v>
      </c>
      <c r="AB164" s="115" t="e">
        <f t="shared" si="34"/>
        <v>#REF!</v>
      </c>
      <c r="AC164" s="115">
        <f t="shared" si="35"/>
        <v>0</v>
      </c>
      <c r="AD164" s="115">
        <f t="shared" si="36"/>
        <v>0</v>
      </c>
      <c r="AE164" s="11"/>
      <c r="AF164" s="115">
        <f t="shared" si="37"/>
        <v>0</v>
      </c>
      <c r="AG164" s="115">
        <f t="shared" si="38"/>
        <v>0</v>
      </c>
      <c r="AH164" s="115">
        <f t="shared" si="39"/>
        <v>0</v>
      </c>
      <c r="AJ164" s="11" t="e">
        <f t="shared" si="46"/>
        <v>#REF!</v>
      </c>
    </row>
    <row r="165" spans="1:36">
      <c r="A165" s="129"/>
      <c r="B165" s="129" t="s">
        <v>49</v>
      </c>
      <c r="C165" s="96" t="s">
        <v>265</v>
      </c>
      <c r="D165" s="120" t="s">
        <v>266</v>
      </c>
      <c r="E165" s="98">
        <v>20530.87</v>
      </c>
      <c r="F165" s="99" t="e">
        <f>VLOOKUP(D165,#REF!,17,FALSE)</f>
        <v>#REF!</v>
      </c>
      <c r="G165" s="100"/>
      <c r="H165" s="100"/>
      <c r="I165" s="101"/>
      <c r="J165" s="102" t="e">
        <f t="shared" si="31"/>
        <v>#REF!</v>
      </c>
      <c r="K165" s="103"/>
      <c r="L165" s="104"/>
      <c r="M165" s="105">
        <v>20000</v>
      </c>
      <c r="N165" s="103">
        <v>0</v>
      </c>
      <c r="O165" s="106"/>
      <c r="P165" s="103">
        <v>0</v>
      </c>
      <c r="Q165" s="107">
        <f t="shared" si="33"/>
        <v>20000</v>
      </c>
      <c r="R165" s="108">
        <v>20637.07</v>
      </c>
      <c r="S165" s="119"/>
      <c r="T165" s="110">
        <f t="shared" si="40"/>
        <v>637.06999999999971</v>
      </c>
      <c r="U165" s="103"/>
      <c r="V165" s="112">
        <f t="shared" si="41"/>
        <v>20000</v>
      </c>
      <c r="W165" s="112">
        <f t="shared" si="42"/>
        <v>0</v>
      </c>
      <c r="X165" s="113">
        <f t="shared" si="43"/>
        <v>0</v>
      </c>
      <c r="Y165" s="113">
        <v>0</v>
      </c>
      <c r="Z165" s="114">
        <v>0</v>
      </c>
      <c r="AA165" s="11">
        <f t="shared" si="44"/>
        <v>0</v>
      </c>
      <c r="AB165" s="115" t="e">
        <f t="shared" si="34"/>
        <v>#REF!</v>
      </c>
      <c r="AC165" s="115">
        <f t="shared" si="35"/>
        <v>0</v>
      </c>
      <c r="AD165" s="115">
        <f t="shared" si="36"/>
        <v>0</v>
      </c>
      <c r="AE165" s="11"/>
      <c r="AF165" s="115">
        <f t="shared" si="37"/>
        <v>20000</v>
      </c>
      <c r="AG165" s="115">
        <f t="shared" si="38"/>
        <v>0</v>
      </c>
      <c r="AH165" s="115">
        <f t="shared" si="39"/>
        <v>0</v>
      </c>
      <c r="AJ165" s="11" t="e">
        <f t="shared" si="46"/>
        <v>#REF!</v>
      </c>
    </row>
    <row r="166" spans="1:36">
      <c r="A166" s="129"/>
      <c r="B166" s="129" t="s">
        <v>49</v>
      </c>
      <c r="C166" s="128" t="s">
        <v>267</v>
      </c>
      <c r="D166" s="120" t="s">
        <v>268</v>
      </c>
      <c r="E166" s="98">
        <f>16385.07+17277.84</f>
        <v>33662.910000000003</v>
      </c>
      <c r="F166" s="99" t="e">
        <f>VLOOKUP(D166,#REF!,17,FALSE)</f>
        <v>#REF!</v>
      </c>
      <c r="G166" s="100"/>
      <c r="H166" s="100"/>
      <c r="I166" s="101"/>
      <c r="J166" s="102" t="e">
        <f t="shared" si="31"/>
        <v>#REF!</v>
      </c>
      <c r="K166" s="103"/>
      <c r="L166" s="104"/>
      <c r="M166" s="105">
        <v>20000</v>
      </c>
      <c r="N166" s="103">
        <v>0</v>
      </c>
      <c r="O166" s="106"/>
      <c r="P166" s="103">
        <v>0</v>
      </c>
      <c r="Q166" s="107">
        <f t="shared" si="33"/>
        <v>20000</v>
      </c>
      <c r="R166" s="108">
        <v>0</v>
      </c>
      <c r="S166" s="119"/>
      <c r="T166" s="110">
        <f t="shared" si="40"/>
        <v>-20000</v>
      </c>
      <c r="U166" s="103"/>
      <c r="V166" s="112">
        <f t="shared" si="41"/>
        <v>20000</v>
      </c>
      <c r="W166" s="112">
        <f t="shared" si="42"/>
        <v>0</v>
      </c>
      <c r="X166" s="113">
        <f t="shared" si="43"/>
        <v>0</v>
      </c>
      <c r="Y166" s="113">
        <v>0</v>
      </c>
      <c r="Z166" s="114">
        <v>0</v>
      </c>
      <c r="AA166" s="11">
        <f t="shared" si="44"/>
        <v>0</v>
      </c>
      <c r="AB166" s="115" t="e">
        <f t="shared" si="34"/>
        <v>#REF!</v>
      </c>
      <c r="AC166" s="115">
        <f t="shared" si="35"/>
        <v>0</v>
      </c>
      <c r="AD166" s="115">
        <f t="shared" si="36"/>
        <v>0</v>
      </c>
      <c r="AE166" s="11"/>
      <c r="AF166" s="115">
        <f t="shared" si="37"/>
        <v>20000</v>
      </c>
      <c r="AG166" s="115">
        <f t="shared" si="38"/>
        <v>0</v>
      </c>
      <c r="AH166" s="115">
        <f t="shared" si="39"/>
        <v>0</v>
      </c>
      <c r="AJ166" s="11" t="e">
        <f t="shared" si="46"/>
        <v>#REF!</v>
      </c>
    </row>
    <row r="167" spans="1:36" s="124" customFormat="1">
      <c r="A167" s="127"/>
      <c r="B167" s="127" t="s">
        <v>49</v>
      </c>
      <c r="C167" s="96"/>
      <c r="D167" s="118" t="s">
        <v>430</v>
      </c>
      <c r="E167" s="98"/>
      <c r="F167" s="99" t="e">
        <f>VLOOKUP(D167,#REF!,17,FALSE)</f>
        <v>#REF!</v>
      </c>
      <c r="G167" s="100"/>
      <c r="H167" s="100"/>
      <c r="I167" s="101"/>
      <c r="J167" s="102" t="e">
        <f t="shared" si="31"/>
        <v>#REF!</v>
      </c>
      <c r="K167" s="103"/>
      <c r="L167" s="104"/>
      <c r="M167" s="105"/>
      <c r="N167" s="103">
        <v>0</v>
      </c>
      <c r="O167" s="106"/>
      <c r="P167" s="103">
        <v>0</v>
      </c>
      <c r="Q167" s="107">
        <f t="shared" si="33"/>
        <v>0</v>
      </c>
      <c r="R167" s="108">
        <v>0</v>
      </c>
      <c r="S167" s="119"/>
      <c r="T167" s="110">
        <f t="shared" si="40"/>
        <v>0</v>
      </c>
      <c r="U167" s="103"/>
      <c r="V167" s="112">
        <f t="shared" si="41"/>
        <v>0</v>
      </c>
      <c r="W167" s="112">
        <f t="shared" si="42"/>
        <v>0</v>
      </c>
      <c r="X167" s="113">
        <f t="shared" si="43"/>
        <v>0</v>
      </c>
      <c r="Y167" s="113">
        <v>0</v>
      </c>
      <c r="Z167" s="114">
        <v>0</v>
      </c>
      <c r="AA167" s="11">
        <f t="shared" si="44"/>
        <v>0</v>
      </c>
      <c r="AB167" s="115" t="e">
        <f t="shared" si="34"/>
        <v>#REF!</v>
      </c>
      <c r="AC167" s="115">
        <f t="shared" si="35"/>
        <v>0</v>
      </c>
      <c r="AD167" s="115">
        <f t="shared" si="36"/>
        <v>0</v>
      </c>
      <c r="AE167" s="11"/>
      <c r="AF167" s="115">
        <f t="shared" si="37"/>
        <v>0</v>
      </c>
      <c r="AG167" s="115">
        <f t="shared" si="38"/>
        <v>0</v>
      </c>
      <c r="AH167" s="115">
        <f t="shared" si="39"/>
        <v>0</v>
      </c>
      <c r="AJ167" s="11" t="e">
        <f t="shared" si="46"/>
        <v>#REF!</v>
      </c>
    </row>
    <row r="168" spans="1:36" s="124" customFormat="1">
      <c r="A168" s="127"/>
      <c r="B168" s="127" t="s">
        <v>49</v>
      </c>
      <c r="C168" s="96" t="s">
        <v>270</v>
      </c>
      <c r="D168" s="118" t="s">
        <v>271</v>
      </c>
      <c r="E168" s="98"/>
      <c r="F168" s="99" t="e">
        <f>VLOOKUP(D168,#REF!,17,FALSE)</f>
        <v>#REF!</v>
      </c>
      <c r="G168" s="100"/>
      <c r="H168" s="100"/>
      <c r="I168" s="101"/>
      <c r="J168" s="102" t="e">
        <f t="shared" si="31"/>
        <v>#REF!</v>
      </c>
      <c r="K168" s="103"/>
      <c r="L168" s="104"/>
      <c r="M168" s="105">
        <v>85000</v>
      </c>
      <c r="N168" s="103">
        <v>0</v>
      </c>
      <c r="O168" s="106"/>
      <c r="P168" s="103">
        <v>0</v>
      </c>
      <c r="Q168" s="107">
        <f t="shared" si="33"/>
        <v>85000</v>
      </c>
      <c r="R168" s="108">
        <v>0</v>
      </c>
      <c r="S168" s="119"/>
      <c r="T168" s="110">
        <f t="shared" si="40"/>
        <v>-85000</v>
      </c>
      <c r="U168" s="103"/>
      <c r="V168" s="112">
        <f t="shared" si="41"/>
        <v>85000</v>
      </c>
      <c r="W168" s="112">
        <f t="shared" si="42"/>
        <v>0</v>
      </c>
      <c r="X168" s="113">
        <f t="shared" si="43"/>
        <v>0</v>
      </c>
      <c r="Y168" s="113">
        <v>0</v>
      </c>
      <c r="Z168" s="114">
        <v>0</v>
      </c>
      <c r="AA168" s="11">
        <f t="shared" si="44"/>
        <v>0</v>
      </c>
      <c r="AB168" s="115" t="e">
        <f t="shared" si="34"/>
        <v>#REF!</v>
      </c>
      <c r="AC168" s="115">
        <f t="shared" si="35"/>
        <v>0</v>
      </c>
      <c r="AD168" s="115">
        <f t="shared" si="36"/>
        <v>0</v>
      </c>
      <c r="AE168" s="11"/>
      <c r="AF168" s="115">
        <f t="shared" si="37"/>
        <v>85000</v>
      </c>
      <c r="AG168" s="115">
        <f t="shared" si="38"/>
        <v>0</v>
      </c>
      <c r="AH168" s="115">
        <f t="shared" si="39"/>
        <v>0</v>
      </c>
      <c r="AJ168" s="11" t="e">
        <f t="shared" si="46"/>
        <v>#REF!</v>
      </c>
    </row>
    <row r="169" spans="1:36" s="124" customFormat="1">
      <c r="A169" s="127"/>
      <c r="B169" s="127" t="s">
        <v>49</v>
      </c>
      <c r="C169" s="96"/>
      <c r="D169" s="118" t="s">
        <v>272</v>
      </c>
      <c r="E169" s="98">
        <f>33216.88+19278.38</f>
        <v>52495.259999999995</v>
      </c>
      <c r="F169" s="99" t="e">
        <f>VLOOKUP(D169,#REF!,17,FALSE)</f>
        <v>#REF!</v>
      </c>
      <c r="G169" s="100"/>
      <c r="H169" s="100"/>
      <c r="I169" s="101"/>
      <c r="J169" s="102" t="e">
        <f t="shared" si="31"/>
        <v>#REF!</v>
      </c>
      <c r="K169" s="103"/>
      <c r="L169" s="104"/>
      <c r="M169" s="105">
        <v>11000</v>
      </c>
      <c r="N169" s="103">
        <v>0</v>
      </c>
      <c r="O169" s="106"/>
      <c r="P169" s="103">
        <v>0</v>
      </c>
      <c r="Q169" s="107">
        <f t="shared" si="33"/>
        <v>11000</v>
      </c>
      <c r="R169" s="108">
        <v>0</v>
      </c>
      <c r="S169" s="119"/>
      <c r="T169" s="110">
        <f t="shared" si="40"/>
        <v>-11000</v>
      </c>
      <c r="U169" s="103"/>
      <c r="V169" s="112">
        <f t="shared" si="41"/>
        <v>11000</v>
      </c>
      <c r="W169" s="112">
        <f t="shared" si="42"/>
        <v>0</v>
      </c>
      <c r="X169" s="113">
        <f t="shared" si="43"/>
        <v>0</v>
      </c>
      <c r="Y169" s="113">
        <v>0</v>
      </c>
      <c r="Z169" s="114">
        <v>0</v>
      </c>
      <c r="AA169" s="11">
        <f t="shared" si="44"/>
        <v>0</v>
      </c>
      <c r="AB169" s="115" t="e">
        <f t="shared" si="34"/>
        <v>#REF!</v>
      </c>
      <c r="AC169" s="115">
        <f t="shared" si="35"/>
        <v>0</v>
      </c>
      <c r="AD169" s="115">
        <f t="shared" si="36"/>
        <v>0</v>
      </c>
      <c r="AE169" s="11"/>
      <c r="AF169" s="115">
        <f t="shared" si="37"/>
        <v>11000</v>
      </c>
      <c r="AG169" s="115">
        <f t="shared" si="38"/>
        <v>0</v>
      </c>
      <c r="AH169" s="115">
        <f t="shared" si="39"/>
        <v>0</v>
      </c>
      <c r="AJ169" s="11" t="e">
        <f t="shared" si="46"/>
        <v>#REF!</v>
      </c>
    </row>
    <row r="170" spans="1:36" s="124" customFormat="1">
      <c r="A170" s="127"/>
      <c r="B170" s="127" t="s">
        <v>46</v>
      </c>
      <c r="C170" s="96" t="s">
        <v>273</v>
      </c>
      <c r="D170" s="118" t="s">
        <v>274</v>
      </c>
      <c r="E170" s="98"/>
      <c r="F170" s="99" t="e">
        <f>VLOOKUP(D170,#REF!,17,FALSE)</f>
        <v>#REF!</v>
      </c>
      <c r="G170" s="100"/>
      <c r="H170" s="100"/>
      <c r="I170" s="101"/>
      <c r="J170" s="102" t="e">
        <f t="shared" si="31"/>
        <v>#REF!</v>
      </c>
      <c r="K170" s="103"/>
      <c r="L170" s="104"/>
      <c r="M170" s="105">
        <v>27000</v>
      </c>
      <c r="N170" s="103">
        <v>0</v>
      </c>
      <c r="O170" s="106"/>
      <c r="P170" s="103">
        <v>0</v>
      </c>
      <c r="Q170" s="107">
        <f t="shared" si="33"/>
        <v>27000</v>
      </c>
      <c r="R170" s="108">
        <v>0</v>
      </c>
      <c r="S170" s="119"/>
      <c r="T170" s="110">
        <f t="shared" si="40"/>
        <v>-27000</v>
      </c>
      <c r="U170" s="103"/>
      <c r="V170" s="112">
        <f t="shared" si="41"/>
        <v>0</v>
      </c>
      <c r="W170" s="112">
        <f t="shared" si="42"/>
        <v>27000</v>
      </c>
      <c r="X170" s="113">
        <f t="shared" si="43"/>
        <v>0</v>
      </c>
      <c r="Y170" s="113">
        <v>0</v>
      </c>
      <c r="Z170" s="114">
        <v>0</v>
      </c>
      <c r="AA170" s="11">
        <f t="shared" si="44"/>
        <v>0</v>
      </c>
      <c r="AB170" s="115">
        <f t="shared" si="34"/>
        <v>0</v>
      </c>
      <c r="AC170" s="115" t="e">
        <f t="shared" si="35"/>
        <v>#REF!</v>
      </c>
      <c r="AD170" s="115">
        <f t="shared" si="36"/>
        <v>0</v>
      </c>
      <c r="AE170" s="11"/>
      <c r="AF170" s="115">
        <f t="shared" si="37"/>
        <v>0</v>
      </c>
      <c r="AG170" s="115">
        <f t="shared" si="38"/>
        <v>27000</v>
      </c>
      <c r="AH170" s="115">
        <f t="shared" si="39"/>
        <v>0</v>
      </c>
      <c r="AJ170" s="11" t="e">
        <f t="shared" si="46"/>
        <v>#REF!</v>
      </c>
    </row>
    <row r="171" spans="1:36">
      <c r="A171" s="116"/>
      <c r="B171" s="116" t="s">
        <v>49</v>
      </c>
      <c r="C171" s="126" t="s">
        <v>275</v>
      </c>
      <c r="D171" s="120" t="s">
        <v>276</v>
      </c>
      <c r="E171" s="98"/>
      <c r="F171" s="99" t="e">
        <f>VLOOKUP(D171,#REF!,17,FALSE)</f>
        <v>#REF!</v>
      </c>
      <c r="G171" s="100"/>
      <c r="H171" s="100"/>
      <c r="I171" s="101"/>
      <c r="J171" s="102" t="e">
        <f t="shared" ref="J171" si="48">SUM(E171:I171)</f>
        <v>#REF!</v>
      </c>
      <c r="K171" s="103"/>
      <c r="L171" s="104"/>
      <c r="M171" s="105"/>
      <c r="N171" s="103">
        <v>0</v>
      </c>
      <c r="O171" s="106"/>
      <c r="P171" s="103">
        <v>0</v>
      </c>
      <c r="Q171" s="107">
        <f t="shared" si="33"/>
        <v>0</v>
      </c>
      <c r="R171" s="108">
        <v>0</v>
      </c>
      <c r="S171" s="119"/>
      <c r="T171" s="110">
        <f t="shared" si="40"/>
        <v>0</v>
      </c>
      <c r="U171" s="103"/>
      <c r="V171" s="112">
        <f t="shared" si="41"/>
        <v>0</v>
      </c>
      <c r="W171" s="112">
        <f t="shared" si="42"/>
        <v>0</v>
      </c>
      <c r="X171" s="113">
        <f t="shared" si="43"/>
        <v>0</v>
      </c>
      <c r="Y171" s="113">
        <v>0</v>
      </c>
      <c r="Z171" s="114">
        <v>0</v>
      </c>
      <c r="AA171" s="11">
        <f t="shared" si="44"/>
        <v>0</v>
      </c>
      <c r="AB171" s="115" t="e">
        <f t="shared" si="34"/>
        <v>#REF!</v>
      </c>
      <c r="AC171" s="115">
        <f t="shared" si="35"/>
        <v>0</v>
      </c>
      <c r="AD171" s="115">
        <f t="shared" si="36"/>
        <v>0</v>
      </c>
      <c r="AE171" s="11"/>
      <c r="AF171" s="115">
        <f t="shared" si="37"/>
        <v>0</v>
      </c>
      <c r="AG171" s="115">
        <f t="shared" si="38"/>
        <v>0</v>
      </c>
      <c r="AH171" s="115">
        <f t="shared" si="39"/>
        <v>0</v>
      </c>
      <c r="AJ171" s="11" t="e">
        <f t="shared" si="46"/>
        <v>#REF!</v>
      </c>
    </row>
    <row r="172" spans="1:36">
      <c r="A172" s="116"/>
      <c r="B172" s="116" t="s">
        <v>46</v>
      </c>
      <c r="C172" s="122" t="s">
        <v>279</v>
      </c>
      <c r="D172" s="120" t="s">
        <v>431</v>
      </c>
      <c r="E172" s="98"/>
      <c r="F172" s="99" t="e">
        <f>VLOOKUP(D172,#REF!,17,FALSE)</f>
        <v>#REF!</v>
      </c>
      <c r="G172" s="100"/>
      <c r="H172" s="100"/>
      <c r="I172" s="101"/>
      <c r="J172" s="102" t="e">
        <f t="shared" si="31"/>
        <v>#REF!</v>
      </c>
      <c r="K172" s="103"/>
      <c r="L172" s="104"/>
      <c r="M172" s="105"/>
      <c r="N172" s="103">
        <v>0</v>
      </c>
      <c r="O172" s="106"/>
      <c r="P172" s="103">
        <v>0</v>
      </c>
      <c r="Q172" s="107">
        <f t="shared" si="33"/>
        <v>0</v>
      </c>
      <c r="R172" s="108">
        <v>0</v>
      </c>
      <c r="S172" s="119"/>
      <c r="T172" s="110">
        <f t="shared" si="40"/>
        <v>0</v>
      </c>
      <c r="U172" s="103"/>
      <c r="V172" s="112">
        <f t="shared" si="41"/>
        <v>0</v>
      </c>
      <c r="W172" s="112">
        <f t="shared" si="42"/>
        <v>0</v>
      </c>
      <c r="X172" s="113">
        <f t="shared" si="43"/>
        <v>0</v>
      </c>
      <c r="Y172" s="113">
        <v>0</v>
      </c>
      <c r="Z172" s="114">
        <v>0</v>
      </c>
      <c r="AA172" s="11">
        <f t="shared" si="44"/>
        <v>0</v>
      </c>
      <c r="AB172" s="115">
        <f t="shared" si="34"/>
        <v>0</v>
      </c>
      <c r="AC172" s="115" t="e">
        <f t="shared" si="35"/>
        <v>#REF!</v>
      </c>
      <c r="AD172" s="115">
        <f t="shared" si="36"/>
        <v>0</v>
      </c>
      <c r="AE172" s="11"/>
      <c r="AF172" s="115">
        <f t="shared" si="37"/>
        <v>0</v>
      </c>
      <c r="AG172" s="115">
        <f t="shared" si="38"/>
        <v>0</v>
      </c>
      <c r="AH172" s="115">
        <f t="shared" si="39"/>
        <v>0</v>
      </c>
      <c r="AJ172" s="11" t="e">
        <f t="shared" si="46"/>
        <v>#REF!</v>
      </c>
    </row>
    <row r="173" spans="1:36">
      <c r="A173" s="116"/>
      <c r="B173" s="116" t="s">
        <v>46</v>
      </c>
      <c r="C173" s="122" t="s">
        <v>279</v>
      </c>
      <c r="D173" s="120" t="s">
        <v>280</v>
      </c>
      <c r="E173" s="98"/>
      <c r="F173" s="99" t="e">
        <f>VLOOKUP(D173,#REF!,17,FALSE)</f>
        <v>#REF!</v>
      </c>
      <c r="G173" s="100"/>
      <c r="H173" s="100"/>
      <c r="I173" s="101"/>
      <c r="J173" s="102" t="e">
        <f t="shared" si="31"/>
        <v>#REF!</v>
      </c>
      <c r="K173" s="103"/>
      <c r="L173" s="104"/>
      <c r="M173" s="105"/>
      <c r="N173" s="103">
        <v>0</v>
      </c>
      <c r="O173" s="106"/>
      <c r="P173" s="103">
        <v>0</v>
      </c>
      <c r="Q173" s="107">
        <f t="shared" si="33"/>
        <v>0</v>
      </c>
      <c r="R173" s="108">
        <v>0</v>
      </c>
      <c r="S173" s="119"/>
      <c r="T173" s="110">
        <f t="shared" si="40"/>
        <v>0</v>
      </c>
      <c r="U173" s="103"/>
      <c r="V173" s="112">
        <f t="shared" si="41"/>
        <v>0</v>
      </c>
      <c r="W173" s="112">
        <f t="shared" si="42"/>
        <v>0</v>
      </c>
      <c r="X173" s="113">
        <f t="shared" si="43"/>
        <v>0</v>
      </c>
      <c r="Y173" s="113">
        <v>0</v>
      </c>
      <c r="Z173" s="114">
        <v>0</v>
      </c>
      <c r="AA173" s="11">
        <f t="shared" si="44"/>
        <v>0</v>
      </c>
      <c r="AB173" s="115">
        <f t="shared" si="34"/>
        <v>0</v>
      </c>
      <c r="AC173" s="115" t="e">
        <f t="shared" si="35"/>
        <v>#REF!</v>
      </c>
      <c r="AD173" s="115">
        <f t="shared" si="36"/>
        <v>0</v>
      </c>
      <c r="AE173" s="11"/>
      <c r="AF173" s="115">
        <f t="shared" si="37"/>
        <v>0</v>
      </c>
      <c r="AG173" s="115">
        <f t="shared" si="38"/>
        <v>0</v>
      </c>
      <c r="AH173" s="115">
        <f t="shared" si="39"/>
        <v>0</v>
      </c>
      <c r="AJ173" s="11" t="e">
        <f t="shared" si="46"/>
        <v>#REF!</v>
      </c>
    </row>
    <row r="174" spans="1:36">
      <c r="A174" s="129"/>
      <c r="B174" s="129" t="s">
        <v>49</v>
      </c>
      <c r="C174" s="96"/>
      <c r="D174" s="120" t="s">
        <v>432</v>
      </c>
      <c r="E174" s="98"/>
      <c r="F174" s="99" t="e">
        <f>VLOOKUP(D174,#REF!,17,FALSE)</f>
        <v>#REF!</v>
      </c>
      <c r="G174" s="100"/>
      <c r="H174" s="100"/>
      <c r="I174" s="101"/>
      <c r="J174" s="102" t="e">
        <f t="shared" si="31"/>
        <v>#REF!</v>
      </c>
      <c r="K174" s="103"/>
      <c r="L174" s="104"/>
      <c r="M174" s="105"/>
      <c r="N174" s="103">
        <v>0</v>
      </c>
      <c r="O174" s="106"/>
      <c r="P174" s="103">
        <v>0</v>
      </c>
      <c r="Q174" s="107">
        <f t="shared" si="33"/>
        <v>0</v>
      </c>
      <c r="R174" s="108">
        <v>346.79</v>
      </c>
      <c r="S174" s="119"/>
      <c r="T174" s="110">
        <f t="shared" si="40"/>
        <v>346.79</v>
      </c>
      <c r="U174" s="103"/>
      <c r="V174" s="112">
        <f t="shared" si="41"/>
        <v>0</v>
      </c>
      <c r="W174" s="112">
        <f t="shared" si="42"/>
        <v>0</v>
      </c>
      <c r="X174" s="113">
        <f t="shared" si="43"/>
        <v>0</v>
      </c>
      <c r="Y174" s="113">
        <v>0</v>
      </c>
      <c r="Z174" s="114">
        <v>0</v>
      </c>
      <c r="AA174" s="11">
        <f t="shared" si="44"/>
        <v>0</v>
      </c>
      <c r="AB174" s="115" t="e">
        <f t="shared" si="34"/>
        <v>#REF!</v>
      </c>
      <c r="AC174" s="115">
        <f t="shared" si="35"/>
        <v>0</v>
      </c>
      <c r="AD174" s="115">
        <f t="shared" si="36"/>
        <v>0</v>
      </c>
      <c r="AE174" s="11"/>
      <c r="AF174" s="115">
        <f t="shared" si="37"/>
        <v>0</v>
      </c>
      <c r="AG174" s="115">
        <f t="shared" si="38"/>
        <v>0</v>
      </c>
      <c r="AH174" s="115">
        <f t="shared" si="39"/>
        <v>0</v>
      </c>
      <c r="AJ174" s="11" t="e">
        <f t="shared" si="46"/>
        <v>#REF!</v>
      </c>
    </row>
    <row r="175" spans="1:36">
      <c r="A175" s="129"/>
      <c r="B175" s="129" t="s">
        <v>46</v>
      </c>
      <c r="C175" s="96" t="s">
        <v>282</v>
      </c>
      <c r="D175" s="120" t="s">
        <v>283</v>
      </c>
      <c r="E175" s="98"/>
      <c r="F175" s="99" t="e">
        <f>VLOOKUP(D175,#REF!,17,FALSE)</f>
        <v>#REF!</v>
      </c>
      <c r="G175" s="100"/>
      <c r="H175" s="100"/>
      <c r="I175" s="125">
        <f>158.4+2947.2</f>
        <v>3105.6</v>
      </c>
      <c r="J175" s="102" t="e">
        <f t="shared" si="31"/>
        <v>#REF!</v>
      </c>
      <c r="K175" s="103"/>
      <c r="L175" s="104"/>
      <c r="M175" s="105"/>
      <c r="N175" s="103">
        <v>0</v>
      </c>
      <c r="O175" s="106"/>
      <c r="P175" s="103">
        <v>0</v>
      </c>
      <c r="Q175" s="107">
        <f t="shared" si="33"/>
        <v>0</v>
      </c>
      <c r="R175" s="108">
        <v>0</v>
      </c>
      <c r="S175" s="119"/>
      <c r="T175" s="110">
        <f t="shared" si="40"/>
        <v>0</v>
      </c>
      <c r="U175" s="103"/>
      <c r="V175" s="112">
        <f t="shared" si="41"/>
        <v>0</v>
      </c>
      <c r="W175" s="112">
        <f t="shared" si="42"/>
        <v>0</v>
      </c>
      <c r="X175" s="113">
        <f t="shared" si="43"/>
        <v>0</v>
      </c>
      <c r="Y175" s="113">
        <v>0</v>
      </c>
      <c r="Z175" s="114">
        <v>0</v>
      </c>
      <c r="AA175" s="11">
        <f t="shared" si="44"/>
        <v>0</v>
      </c>
      <c r="AB175" s="115">
        <f t="shared" si="34"/>
        <v>0</v>
      </c>
      <c r="AC175" s="115" t="e">
        <f t="shared" si="35"/>
        <v>#REF!</v>
      </c>
      <c r="AD175" s="115">
        <f t="shared" si="36"/>
        <v>0</v>
      </c>
      <c r="AE175" s="11"/>
      <c r="AF175" s="115">
        <f t="shared" si="37"/>
        <v>0</v>
      </c>
      <c r="AG175" s="115">
        <f t="shared" si="38"/>
        <v>0</v>
      </c>
      <c r="AH175" s="115">
        <f t="shared" si="39"/>
        <v>0</v>
      </c>
      <c r="AJ175" s="11" t="e">
        <f t="shared" si="46"/>
        <v>#REF!</v>
      </c>
    </row>
    <row r="176" spans="1:36">
      <c r="A176" s="129"/>
      <c r="B176" s="129" t="s">
        <v>81</v>
      </c>
      <c r="C176" s="96" t="s">
        <v>282</v>
      </c>
      <c r="D176" s="120" t="s">
        <v>283</v>
      </c>
      <c r="E176" s="98"/>
      <c r="F176" s="99" t="e">
        <f>VLOOKUP(D176,#REF!,17,FALSE)</f>
        <v>#REF!</v>
      </c>
      <c r="G176" s="100"/>
      <c r="H176" s="100"/>
      <c r="I176" s="125">
        <f>4.5+118.8</f>
        <v>123.3</v>
      </c>
      <c r="J176" s="102" t="e">
        <f t="shared" ref="J176" si="49">SUM(E176:I176)</f>
        <v>#REF!</v>
      </c>
      <c r="K176" s="103"/>
      <c r="L176" s="104"/>
      <c r="M176" s="105"/>
      <c r="N176" s="103">
        <v>0</v>
      </c>
      <c r="O176" s="106"/>
      <c r="P176" s="103">
        <v>0</v>
      </c>
      <c r="Q176" s="107">
        <f t="shared" si="33"/>
        <v>0</v>
      </c>
      <c r="R176" s="108">
        <v>0</v>
      </c>
      <c r="S176" s="119"/>
      <c r="T176" s="110">
        <f t="shared" si="40"/>
        <v>0</v>
      </c>
      <c r="U176" s="103"/>
      <c r="V176" s="112">
        <f t="shared" si="41"/>
        <v>0</v>
      </c>
      <c r="W176" s="112">
        <f t="shared" si="42"/>
        <v>0</v>
      </c>
      <c r="X176" s="113">
        <f t="shared" si="43"/>
        <v>0</v>
      </c>
      <c r="Y176" s="113">
        <v>0</v>
      </c>
      <c r="Z176" s="114">
        <v>0</v>
      </c>
      <c r="AA176" s="11">
        <f t="shared" si="44"/>
        <v>0</v>
      </c>
      <c r="AB176" s="115">
        <f t="shared" si="34"/>
        <v>0</v>
      </c>
      <c r="AC176" s="115">
        <f t="shared" si="35"/>
        <v>0</v>
      </c>
      <c r="AD176" s="115" t="e">
        <f t="shared" si="36"/>
        <v>#REF!</v>
      </c>
      <c r="AE176" s="11"/>
      <c r="AF176" s="115">
        <f t="shared" si="37"/>
        <v>0</v>
      </c>
      <c r="AG176" s="115">
        <f t="shared" si="38"/>
        <v>0</v>
      </c>
      <c r="AH176" s="115">
        <f t="shared" si="39"/>
        <v>0</v>
      </c>
      <c r="AJ176" s="11" t="e">
        <f t="shared" si="46"/>
        <v>#REF!</v>
      </c>
    </row>
    <row r="177" spans="1:36">
      <c r="A177" s="129"/>
      <c r="B177" s="129" t="s">
        <v>49</v>
      </c>
      <c r="C177" s="96" t="s">
        <v>284</v>
      </c>
      <c r="D177" s="120" t="s">
        <v>285</v>
      </c>
      <c r="E177" s="98"/>
      <c r="F177" s="99" t="e">
        <f>VLOOKUP(D177,#REF!,17,FALSE)</f>
        <v>#REF!</v>
      </c>
      <c r="G177" s="100"/>
      <c r="H177" s="100"/>
      <c r="I177" s="101"/>
      <c r="J177" s="102" t="e">
        <f t="shared" si="31"/>
        <v>#REF!</v>
      </c>
      <c r="K177" s="103"/>
      <c r="L177" s="104"/>
      <c r="M177" s="105">
        <v>22000</v>
      </c>
      <c r="N177" s="103">
        <v>0</v>
      </c>
      <c r="O177" s="106"/>
      <c r="P177" s="103">
        <v>0</v>
      </c>
      <c r="Q177" s="107">
        <f t="shared" si="33"/>
        <v>22000</v>
      </c>
      <c r="R177" s="108">
        <v>0</v>
      </c>
      <c r="S177" s="119"/>
      <c r="T177" s="110">
        <f t="shared" si="40"/>
        <v>-22000</v>
      </c>
      <c r="U177" s="103"/>
      <c r="V177" s="112">
        <f t="shared" si="41"/>
        <v>22000</v>
      </c>
      <c r="W177" s="112">
        <f t="shared" si="42"/>
        <v>0</v>
      </c>
      <c r="X177" s="113">
        <f t="shared" si="43"/>
        <v>0</v>
      </c>
      <c r="Y177" s="113">
        <v>0</v>
      </c>
      <c r="Z177" s="114">
        <v>0</v>
      </c>
      <c r="AA177" s="11">
        <f t="shared" si="44"/>
        <v>0</v>
      </c>
      <c r="AB177" s="115" t="e">
        <f t="shared" si="34"/>
        <v>#REF!</v>
      </c>
      <c r="AC177" s="115">
        <f t="shared" si="35"/>
        <v>0</v>
      </c>
      <c r="AD177" s="115">
        <f t="shared" si="36"/>
        <v>0</v>
      </c>
      <c r="AE177" s="11"/>
      <c r="AF177" s="115">
        <f t="shared" si="37"/>
        <v>22000</v>
      </c>
      <c r="AG177" s="115">
        <f t="shared" si="38"/>
        <v>0</v>
      </c>
      <c r="AH177" s="115">
        <f t="shared" si="39"/>
        <v>0</v>
      </c>
      <c r="AJ177" s="11" t="e">
        <f t="shared" si="46"/>
        <v>#REF!</v>
      </c>
    </row>
    <row r="178" spans="1:36">
      <c r="A178" s="116"/>
      <c r="B178" s="116" t="s">
        <v>46</v>
      </c>
      <c r="C178" s="122"/>
      <c r="D178" s="120" t="s">
        <v>286</v>
      </c>
      <c r="E178" s="98">
        <v>-3099.68</v>
      </c>
      <c r="F178" s="99" t="e">
        <f>VLOOKUP(D178,#REF!,17,FALSE)</f>
        <v>#REF!</v>
      </c>
      <c r="G178" s="100"/>
      <c r="H178" s="100"/>
      <c r="I178" s="101"/>
      <c r="J178" s="102" t="e">
        <f t="shared" ref="J178" si="50">SUM(E178:I178)</f>
        <v>#REF!</v>
      </c>
      <c r="K178" s="103"/>
      <c r="L178" s="104"/>
      <c r="M178" s="105">
        <v>20000</v>
      </c>
      <c r="N178" s="103">
        <v>0</v>
      </c>
      <c r="O178" s="106"/>
      <c r="P178" s="103">
        <v>0</v>
      </c>
      <c r="Q178" s="107">
        <f t="shared" si="33"/>
        <v>20000</v>
      </c>
      <c r="R178" s="108">
        <v>10882.63</v>
      </c>
      <c r="S178" s="119"/>
      <c r="T178" s="110">
        <f t="shared" si="40"/>
        <v>-9117.3700000000008</v>
      </c>
      <c r="U178" s="103"/>
      <c r="V178" s="112">
        <f t="shared" si="41"/>
        <v>0</v>
      </c>
      <c r="W178" s="112">
        <f t="shared" si="42"/>
        <v>20000</v>
      </c>
      <c r="X178" s="113">
        <f t="shared" si="43"/>
        <v>0</v>
      </c>
      <c r="Y178" s="113">
        <v>0</v>
      </c>
      <c r="Z178" s="114">
        <v>0</v>
      </c>
      <c r="AA178" s="11">
        <f t="shared" si="44"/>
        <v>0</v>
      </c>
      <c r="AB178" s="115">
        <f t="shared" si="34"/>
        <v>0</v>
      </c>
      <c r="AC178" s="115" t="e">
        <f t="shared" si="35"/>
        <v>#REF!</v>
      </c>
      <c r="AD178" s="115">
        <f t="shared" si="36"/>
        <v>0</v>
      </c>
      <c r="AE178" s="11"/>
      <c r="AF178" s="115">
        <f t="shared" si="37"/>
        <v>0</v>
      </c>
      <c r="AG178" s="115">
        <f t="shared" si="38"/>
        <v>20000</v>
      </c>
      <c r="AH178" s="115">
        <f t="shared" si="39"/>
        <v>0</v>
      </c>
      <c r="AJ178" s="11" t="e">
        <f t="shared" si="46"/>
        <v>#REF!</v>
      </c>
    </row>
    <row r="179" spans="1:36">
      <c r="A179" s="129"/>
      <c r="B179" s="129" t="s">
        <v>49</v>
      </c>
      <c r="C179" s="96"/>
      <c r="D179" s="120" t="s">
        <v>287</v>
      </c>
      <c r="E179" s="98">
        <f>13388.29+642.82</f>
        <v>14031.11</v>
      </c>
      <c r="F179" s="99" t="e">
        <f>VLOOKUP(D179,#REF!,17,FALSE)</f>
        <v>#REF!</v>
      </c>
      <c r="G179" s="100"/>
      <c r="H179" s="100"/>
      <c r="I179" s="101"/>
      <c r="J179" s="102" t="e">
        <f t="shared" si="31"/>
        <v>#REF!</v>
      </c>
      <c r="K179" s="103"/>
      <c r="L179" s="104"/>
      <c r="M179" s="105">
        <v>28000</v>
      </c>
      <c r="N179" s="103">
        <v>0</v>
      </c>
      <c r="O179" s="106"/>
      <c r="P179" s="103">
        <v>0</v>
      </c>
      <c r="Q179" s="107">
        <f t="shared" si="33"/>
        <v>28000</v>
      </c>
      <c r="R179" s="108">
        <f>15053.82+748.93</f>
        <v>15802.75</v>
      </c>
      <c r="S179" s="119"/>
      <c r="T179" s="110">
        <f t="shared" si="40"/>
        <v>-12197.25</v>
      </c>
      <c r="U179" s="103"/>
      <c r="V179" s="112">
        <f t="shared" si="41"/>
        <v>28000</v>
      </c>
      <c r="W179" s="112">
        <f t="shared" si="42"/>
        <v>0</v>
      </c>
      <c r="X179" s="113">
        <f t="shared" si="43"/>
        <v>0</v>
      </c>
      <c r="Y179" s="113">
        <v>0</v>
      </c>
      <c r="Z179" s="114">
        <v>0</v>
      </c>
      <c r="AA179" s="11">
        <f t="shared" si="44"/>
        <v>0</v>
      </c>
      <c r="AB179" s="115" t="e">
        <f t="shared" si="34"/>
        <v>#REF!</v>
      </c>
      <c r="AC179" s="115">
        <f t="shared" si="35"/>
        <v>0</v>
      </c>
      <c r="AD179" s="115">
        <f t="shared" si="36"/>
        <v>0</v>
      </c>
      <c r="AE179" s="11"/>
      <c r="AF179" s="115">
        <f t="shared" si="37"/>
        <v>28000</v>
      </c>
      <c r="AG179" s="115">
        <f t="shared" si="38"/>
        <v>0</v>
      </c>
      <c r="AH179" s="115">
        <f t="shared" si="39"/>
        <v>0</v>
      </c>
      <c r="AJ179" s="11" t="e">
        <f t="shared" si="46"/>
        <v>#REF!</v>
      </c>
    </row>
    <row r="180" spans="1:36">
      <c r="A180" s="116" t="s">
        <v>60</v>
      </c>
      <c r="B180" s="116" t="s">
        <v>49</v>
      </c>
      <c r="C180" s="122"/>
      <c r="D180" s="120" t="s">
        <v>433</v>
      </c>
      <c r="E180" s="98"/>
      <c r="F180" s="99" t="e">
        <f>VLOOKUP(D180,#REF!,17,FALSE)</f>
        <v>#REF!</v>
      </c>
      <c r="G180" s="100"/>
      <c r="H180" s="100"/>
      <c r="I180" s="101"/>
      <c r="J180" s="102" t="e">
        <f t="shared" ref="J180" si="51">SUM(E180:I180)</f>
        <v>#REF!</v>
      </c>
      <c r="K180" s="103"/>
      <c r="L180" s="104"/>
      <c r="M180" s="105"/>
      <c r="N180" s="103">
        <v>0</v>
      </c>
      <c r="O180" s="106"/>
      <c r="P180" s="103">
        <v>0</v>
      </c>
      <c r="Q180" s="107">
        <f t="shared" si="33"/>
        <v>0</v>
      </c>
      <c r="R180" s="108">
        <v>0</v>
      </c>
      <c r="S180" s="119"/>
      <c r="T180" s="110">
        <f t="shared" si="40"/>
        <v>0</v>
      </c>
      <c r="U180" s="103"/>
      <c r="V180" s="112">
        <f t="shared" si="41"/>
        <v>0</v>
      </c>
      <c r="W180" s="112">
        <f t="shared" si="42"/>
        <v>0</v>
      </c>
      <c r="X180" s="113">
        <f t="shared" si="43"/>
        <v>0</v>
      </c>
      <c r="Y180" s="113">
        <v>0</v>
      </c>
      <c r="Z180" s="114">
        <v>0</v>
      </c>
      <c r="AA180" s="11">
        <f t="shared" si="44"/>
        <v>0</v>
      </c>
      <c r="AB180" s="115" t="e">
        <f t="shared" si="34"/>
        <v>#REF!</v>
      </c>
      <c r="AC180" s="115">
        <f t="shared" si="35"/>
        <v>0</v>
      </c>
      <c r="AD180" s="115">
        <f t="shared" si="36"/>
        <v>0</v>
      </c>
      <c r="AE180" s="11"/>
      <c r="AF180" s="115">
        <f t="shared" si="37"/>
        <v>0</v>
      </c>
      <c r="AG180" s="115">
        <f t="shared" si="38"/>
        <v>0</v>
      </c>
      <c r="AH180" s="115">
        <f t="shared" si="39"/>
        <v>0</v>
      </c>
      <c r="AJ180" s="11" t="e">
        <f t="shared" si="46"/>
        <v>#REF!</v>
      </c>
    </row>
    <row r="181" spans="1:36">
      <c r="A181" s="116"/>
      <c r="B181" s="116" t="s">
        <v>49</v>
      </c>
      <c r="C181" s="122" t="s">
        <v>289</v>
      </c>
      <c r="D181" s="120" t="s">
        <v>290</v>
      </c>
      <c r="E181" s="98"/>
      <c r="F181" s="99" t="e">
        <f>VLOOKUP(D181,#REF!,17,FALSE)</f>
        <v>#REF!</v>
      </c>
      <c r="G181" s="100"/>
      <c r="H181" s="100"/>
      <c r="I181" s="101"/>
      <c r="J181" s="102" t="e">
        <f t="shared" si="31"/>
        <v>#REF!</v>
      </c>
      <c r="K181" s="103"/>
      <c r="L181" s="104"/>
      <c r="M181" s="105">
        <v>830000</v>
      </c>
      <c r="N181" s="103">
        <v>0</v>
      </c>
      <c r="O181" s="106"/>
      <c r="P181" s="103">
        <v>0</v>
      </c>
      <c r="Q181" s="107">
        <f t="shared" si="33"/>
        <v>830000</v>
      </c>
      <c r="R181" s="108">
        <f>877825.36+17460.49</f>
        <v>895285.85</v>
      </c>
      <c r="S181" s="119"/>
      <c r="T181" s="110">
        <f t="shared" si="40"/>
        <v>65285.849999999977</v>
      </c>
      <c r="U181" s="103"/>
      <c r="V181" s="112">
        <f t="shared" si="41"/>
        <v>830000</v>
      </c>
      <c r="W181" s="112">
        <f t="shared" si="42"/>
        <v>0</v>
      </c>
      <c r="X181" s="113">
        <f t="shared" si="43"/>
        <v>0</v>
      </c>
      <c r="Y181" s="113">
        <v>0</v>
      </c>
      <c r="Z181" s="114">
        <v>0</v>
      </c>
      <c r="AA181" s="11">
        <f t="shared" si="44"/>
        <v>0</v>
      </c>
      <c r="AB181" s="115" t="e">
        <f t="shared" si="34"/>
        <v>#REF!</v>
      </c>
      <c r="AC181" s="115">
        <f t="shared" si="35"/>
        <v>0</v>
      </c>
      <c r="AD181" s="115">
        <f t="shared" si="36"/>
        <v>0</v>
      </c>
      <c r="AE181" s="11"/>
      <c r="AF181" s="115">
        <f t="shared" si="37"/>
        <v>830000</v>
      </c>
      <c r="AG181" s="115">
        <f t="shared" si="38"/>
        <v>0</v>
      </c>
      <c r="AH181" s="115">
        <f t="shared" si="39"/>
        <v>0</v>
      </c>
      <c r="AJ181" s="11" t="e">
        <f t="shared" si="46"/>
        <v>#REF!</v>
      </c>
    </row>
    <row r="182" spans="1:36">
      <c r="A182" s="116"/>
      <c r="B182" s="116" t="s">
        <v>49</v>
      </c>
      <c r="C182" s="122" t="s">
        <v>289</v>
      </c>
      <c r="D182" s="120" t="s">
        <v>292</v>
      </c>
      <c r="E182" s="98"/>
      <c r="F182" s="99" t="e">
        <f>VLOOKUP(D182,#REF!,17,FALSE)</f>
        <v>#REF!</v>
      </c>
      <c r="G182" s="100"/>
      <c r="H182" s="100"/>
      <c r="I182" s="101"/>
      <c r="J182" s="102" t="e">
        <f t="shared" ref="J182" si="52">SUM(E182:I182)</f>
        <v>#REF!</v>
      </c>
      <c r="K182" s="103"/>
      <c r="L182" s="104"/>
      <c r="M182" s="105">
        <v>25000</v>
      </c>
      <c r="N182" s="103">
        <v>0</v>
      </c>
      <c r="O182" s="106"/>
      <c r="P182" s="103">
        <v>0</v>
      </c>
      <c r="Q182" s="107">
        <f t="shared" si="33"/>
        <v>25000</v>
      </c>
      <c r="R182" s="108">
        <v>24752.21</v>
      </c>
      <c r="S182" s="119"/>
      <c r="T182" s="110">
        <f t="shared" si="40"/>
        <v>-247.79000000000087</v>
      </c>
      <c r="U182" s="103"/>
      <c r="V182" s="112">
        <f t="shared" si="41"/>
        <v>25000</v>
      </c>
      <c r="W182" s="112">
        <f t="shared" si="42"/>
        <v>0</v>
      </c>
      <c r="X182" s="113">
        <f t="shared" si="43"/>
        <v>0</v>
      </c>
      <c r="Y182" s="113">
        <v>0</v>
      </c>
      <c r="Z182" s="114">
        <v>0</v>
      </c>
      <c r="AA182" s="11">
        <f t="shared" si="44"/>
        <v>0</v>
      </c>
      <c r="AB182" s="115" t="e">
        <f t="shared" si="34"/>
        <v>#REF!</v>
      </c>
      <c r="AC182" s="115">
        <f t="shared" si="35"/>
        <v>0</v>
      </c>
      <c r="AD182" s="115">
        <f t="shared" si="36"/>
        <v>0</v>
      </c>
      <c r="AE182" s="11"/>
      <c r="AF182" s="115">
        <f t="shared" si="37"/>
        <v>25000</v>
      </c>
      <c r="AG182" s="115">
        <f t="shared" si="38"/>
        <v>0</v>
      </c>
      <c r="AH182" s="115">
        <f t="shared" si="39"/>
        <v>0</v>
      </c>
      <c r="AJ182" s="11" t="e">
        <f t="shared" si="46"/>
        <v>#REF!</v>
      </c>
    </row>
    <row r="183" spans="1:36">
      <c r="A183" s="129"/>
      <c r="B183" s="129" t="s">
        <v>49</v>
      </c>
      <c r="C183" s="96"/>
      <c r="D183" s="120" t="s">
        <v>293</v>
      </c>
      <c r="E183" s="98"/>
      <c r="F183" s="99" t="e">
        <f>VLOOKUP(D183,#REF!,17,FALSE)</f>
        <v>#REF!</v>
      </c>
      <c r="G183" s="100"/>
      <c r="H183" s="100"/>
      <c r="I183" s="125">
        <v>1077.56</v>
      </c>
      <c r="J183" s="102" t="e">
        <f t="shared" si="31"/>
        <v>#REF!</v>
      </c>
      <c r="K183" s="103"/>
      <c r="L183" s="104"/>
      <c r="M183" s="105"/>
      <c r="N183" s="103">
        <v>0</v>
      </c>
      <c r="O183" s="106"/>
      <c r="P183" s="103">
        <v>0</v>
      </c>
      <c r="Q183" s="107">
        <f t="shared" si="33"/>
        <v>0</v>
      </c>
      <c r="R183" s="108">
        <v>0</v>
      </c>
      <c r="S183" s="119"/>
      <c r="T183" s="110">
        <f t="shared" si="40"/>
        <v>0</v>
      </c>
      <c r="U183" s="103"/>
      <c r="V183" s="112">
        <f t="shared" si="41"/>
        <v>0</v>
      </c>
      <c r="W183" s="112">
        <f t="shared" si="42"/>
        <v>0</v>
      </c>
      <c r="X183" s="113">
        <f t="shared" si="43"/>
        <v>0</v>
      </c>
      <c r="Y183" s="113">
        <v>0</v>
      </c>
      <c r="Z183" s="114">
        <v>0</v>
      </c>
      <c r="AA183" s="11">
        <f t="shared" si="44"/>
        <v>0</v>
      </c>
      <c r="AB183" s="115" t="e">
        <f t="shared" si="34"/>
        <v>#REF!</v>
      </c>
      <c r="AC183" s="115">
        <f t="shared" si="35"/>
        <v>0</v>
      </c>
      <c r="AD183" s="115">
        <f t="shared" si="36"/>
        <v>0</v>
      </c>
      <c r="AE183" s="11"/>
      <c r="AF183" s="115">
        <f t="shared" si="37"/>
        <v>0</v>
      </c>
      <c r="AG183" s="115">
        <f t="shared" si="38"/>
        <v>0</v>
      </c>
      <c r="AH183" s="115">
        <f t="shared" si="39"/>
        <v>0</v>
      </c>
      <c r="AJ183" s="11" t="e">
        <f t="shared" si="46"/>
        <v>#REF!</v>
      </c>
    </row>
    <row r="184" spans="1:36">
      <c r="A184" s="129"/>
      <c r="B184" s="129" t="s">
        <v>46</v>
      </c>
      <c r="C184" s="96"/>
      <c r="D184" s="120" t="s">
        <v>294</v>
      </c>
      <c r="E184" s="98"/>
      <c r="F184" s="99" t="e">
        <f>VLOOKUP(D184,#REF!,17,FALSE)</f>
        <v>#REF!</v>
      </c>
      <c r="G184" s="100"/>
      <c r="H184" s="100"/>
      <c r="I184" s="101"/>
      <c r="J184" s="102" t="e">
        <f t="shared" si="31"/>
        <v>#REF!</v>
      </c>
      <c r="K184" s="103"/>
      <c r="L184" s="104"/>
      <c r="M184" s="105"/>
      <c r="N184" s="103">
        <v>0</v>
      </c>
      <c r="O184" s="106"/>
      <c r="P184" s="103">
        <v>0</v>
      </c>
      <c r="Q184" s="107">
        <f t="shared" si="33"/>
        <v>0</v>
      </c>
      <c r="R184" s="108">
        <v>0</v>
      </c>
      <c r="S184" s="119"/>
      <c r="T184" s="110">
        <f t="shared" si="40"/>
        <v>0</v>
      </c>
      <c r="U184" s="103"/>
      <c r="V184" s="112">
        <f t="shared" si="41"/>
        <v>0</v>
      </c>
      <c r="W184" s="112">
        <f t="shared" si="42"/>
        <v>0</v>
      </c>
      <c r="X184" s="113">
        <f t="shared" si="43"/>
        <v>0</v>
      </c>
      <c r="Y184" s="113">
        <v>0</v>
      </c>
      <c r="Z184" s="114">
        <v>0</v>
      </c>
      <c r="AA184" s="11">
        <f t="shared" si="44"/>
        <v>0</v>
      </c>
      <c r="AB184" s="115">
        <f t="shared" si="34"/>
        <v>0</v>
      </c>
      <c r="AC184" s="115" t="e">
        <f t="shared" si="35"/>
        <v>#REF!</v>
      </c>
      <c r="AD184" s="115">
        <f t="shared" si="36"/>
        <v>0</v>
      </c>
      <c r="AE184" s="11"/>
      <c r="AF184" s="115">
        <f t="shared" si="37"/>
        <v>0</v>
      </c>
      <c r="AG184" s="115">
        <f t="shared" si="38"/>
        <v>0</v>
      </c>
      <c r="AH184" s="115">
        <f t="shared" si="39"/>
        <v>0</v>
      </c>
      <c r="AJ184" s="11" t="e">
        <f t="shared" si="46"/>
        <v>#REF!</v>
      </c>
    </row>
    <row r="185" spans="1:36">
      <c r="A185" s="129"/>
      <c r="B185" s="129" t="s">
        <v>46</v>
      </c>
      <c r="C185" s="96"/>
      <c r="D185" s="120" t="s">
        <v>295</v>
      </c>
      <c r="E185" s="98"/>
      <c r="F185" s="99" t="e">
        <f>VLOOKUP(D185,#REF!,17,FALSE)</f>
        <v>#REF!</v>
      </c>
      <c r="G185" s="100"/>
      <c r="H185" s="100"/>
      <c r="I185" s="101"/>
      <c r="J185" s="102" t="e">
        <f t="shared" si="31"/>
        <v>#REF!</v>
      </c>
      <c r="K185" s="103"/>
      <c r="L185" s="104"/>
      <c r="M185" s="105"/>
      <c r="N185" s="103">
        <v>0</v>
      </c>
      <c r="O185" s="106"/>
      <c r="P185" s="103">
        <v>0</v>
      </c>
      <c r="Q185" s="107">
        <f t="shared" si="33"/>
        <v>0</v>
      </c>
      <c r="R185" s="108">
        <v>0</v>
      </c>
      <c r="S185" s="119"/>
      <c r="T185" s="110">
        <f t="shared" si="40"/>
        <v>0</v>
      </c>
      <c r="U185" s="103"/>
      <c r="V185" s="112">
        <f t="shared" si="41"/>
        <v>0</v>
      </c>
      <c r="W185" s="112">
        <f t="shared" si="42"/>
        <v>0</v>
      </c>
      <c r="X185" s="113">
        <f t="shared" si="43"/>
        <v>0</v>
      </c>
      <c r="Y185" s="113">
        <v>0</v>
      </c>
      <c r="Z185" s="114">
        <v>0</v>
      </c>
      <c r="AA185" s="11">
        <f t="shared" si="44"/>
        <v>0</v>
      </c>
      <c r="AB185" s="115">
        <f t="shared" si="34"/>
        <v>0</v>
      </c>
      <c r="AC185" s="115" t="e">
        <f t="shared" si="35"/>
        <v>#REF!</v>
      </c>
      <c r="AD185" s="115">
        <f t="shared" si="36"/>
        <v>0</v>
      </c>
      <c r="AE185" s="11"/>
      <c r="AF185" s="115">
        <f t="shared" si="37"/>
        <v>0</v>
      </c>
      <c r="AG185" s="115">
        <f t="shared" si="38"/>
        <v>0</v>
      </c>
      <c r="AH185" s="115">
        <f t="shared" si="39"/>
        <v>0</v>
      </c>
      <c r="AJ185" s="11" t="e">
        <f t="shared" si="46"/>
        <v>#REF!</v>
      </c>
    </row>
    <row r="186" spans="1:36">
      <c r="A186" s="129"/>
      <c r="B186" s="129" t="s">
        <v>46</v>
      </c>
      <c r="C186" s="96"/>
      <c r="D186" s="120" t="s">
        <v>296</v>
      </c>
      <c r="E186" s="98"/>
      <c r="F186" s="99" t="e">
        <f>VLOOKUP(D186,#REF!,17,FALSE)</f>
        <v>#REF!</v>
      </c>
      <c r="G186" s="100"/>
      <c r="H186" s="100"/>
      <c r="I186" s="101"/>
      <c r="J186" s="102" t="e">
        <f t="shared" ref="J186:J221" si="53">SUM(E186:I186)</f>
        <v>#REF!</v>
      </c>
      <c r="K186" s="103"/>
      <c r="L186" s="104"/>
      <c r="M186" s="105"/>
      <c r="N186" s="103">
        <v>0</v>
      </c>
      <c r="O186" s="106"/>
      <c r="P186" s="103">
        <v>0</v>
      </c>
      <c r="Q186" s="107">
        <f t="shared" si="33"/>
        <v>0</v>
      </c>
      <c r="R186" s="108">
        <v>0</v>
      </c>
      <c r="S186" s="119"/>
      <c r="T186" s="110">
        <f t="shared" si="40"/>
        <v>0</v>
      </c>
      <c r="U186" s="103"/>
      <c r="V186" s="112">
        <f t="shared" si="41"/>
        <v>0</v>
      </c>
      <c r="W186" s="112">
        <f t="shared" si="42"/>
        <v>0</v>
      </c>
      <c r="X186" s="113">
        <f t="shared" si="43"/>
        <v>0</v>
      </c>
      <c r="Y186" s="113">
        <v>0</v>
      </c>
      <c r="Z186" s="114">
        <v>0</v>
      </c>
      <c r="AA186" s="11">
        <f t="shared" si="44"/>
        <v>0</v>
      </c>
      <c r="AB186" s="115">
        <f t="shared" si="34"/>
        <v>0</v>
      </c>
      <c r="AC186" s="115" t="e">
        <f t="shared" si="35"/>
        <v>#REF!</v>
      </c>
      <c r="AD186" s="115">
        <f t="shared" si="36"/>
        <v>0</v>
      </c>
      <c r="AE186" s="11"/>
      <c r="AF186" s="115">
        <f t="shared" si="37"/>
        <v>0</v>
      </c>
      <c r="AG186" s="115">
        <f t="shared" si="38"/>
        <v>0</v>
      </c>
      <c r="AH186" s="115">
        <f t="shared" si="39"/>
        <v>0</v>
      </c>
      <c r="AJ186" s="11" t="e">
        <f t="shared" si="46"/>
        <v>#REF!</v>
      </c>
    </row>
    <row r="187" spans="1:36">
      <c r="A187" s="129"/>
      <c r="B187" s="129" t="s">
        <v>46</v>
      </c>
      <c r="C187" s="96" t="s">
        <v>298</v>
      </c>
      <c r="D187" s="120" t="s">
        <v>299</v>
      </c>
      <c r="E187" s="98"/>
      <c r="F187" s="99" t="e">
        <f>VLOOKUP(D187,#REF!,17,FALSE)</f>
        <v>#REF!</v>
      </c>
      <c r="G187" s="100"/>
      <c r="H187" s="100"/>
      <c r="I187" s="101"/>
      <c r="J187" s="102" t="e">
        <f t="shared" si="53"/>
        <v>#REF!</v>
      </c>
      <c r="K187" s="103"/>
      <c r="L187" s="104"/>
      <c r="M187" s="105"/>
      <c r="N187" s="103">
        <v>0</v>
      </c>
      <c r="O187" s="106"/>
      <c r="P187" s="103">
        <v>0</v>
      </c>
      <c r="Q187" s="107">
        <f t="shared" si="33"/>
        <v>0</v>
      </c>
      <c r="R187" s="108">
        <v>0</v>
      </c>
      <c r="S187" s="119"/>
      <c r="T187" s="110">
        <f t="shared" si="40"/>
        <v>0</v>
      </c>
      <c r="U187" s="103"/>
      <c r="V187" s="112">
        <f t="shared" si="41"/>
        <v>0</v>
      </c>
      <c r="W187" s="112">
        <f t="shared" si="42"/>
        <v>0</v>
      </c>
      <c r="X187" s="113">
        <f t="shared" si="43"/>
        <v>0</v>
      </c>
      <c r="Y187" s="113">
        <v>0</v>
      </c>
      <c r="Z187" s="114">
        <v>0</v>
      </c>
      <c r="AA187" s="11">
        <f t="shared" si="44"/>
        <v>0</v>
      </c>
      <c r="AB187" s="115">
        <f t="shared" si="34"/>
        <v>0</v>
      </c>
      <c r="AC187" s="115" t="e">
        <f t="shared" si="35"/>
        <v>#REF!</v>
      </c>
      <c r="AD187" s="115">
        <f t="shared" si="36"/>
        <v>0</v>
      </c>
      <c r="AE187" s="11"/>
      <c r="AF187" s="115">
        <f t="shared" si="37"/>
        <v>0</v>
      </c>
      <c r="AG187" s="115">
        <f t="shared" si="38"/>
        <v>0</v>
      </c>
      <c r="AH187" s="115">
        <f t="shared" si="39"/>
        <v>0</v>
      </c>
      <c r="AJ187" s="11" t="e">
        <f t="shared" si="46"/>
        <v>#REF!</v>
      </c>
    </row>
    <row r="188" spans="1:36">
      <c r="A188" s="116"/>
      <c r="B188" s="116" t="s">
        <v>49</v>
      </c>
      <c r="C188" s="122" t="s">
        <v>300</v>
      </c>
      <c r="D188" s="120" t="s">
        <v>301</v>
      </c>
      <c r="E188" s="98"/>
      <c r="F188" s="99" t="e">
        <f>VLOOKUP(D188,#REF!,17,FALSE)</f>
        <v>#REF!</v>
      </c>
      <c r="G188" s="100"/>
      <c r="H188" s="100"/>
      <c r="I188" s="101"/>
      <c r="J188" s="102" t="e">
        <f t="shared" si="53"/>
        <v>#REF!</v>
      </c>
      <c r="K188" s="103"/>
      <c r="L188" s="104"/>
      <c r="M188" s="105"/>
      <c r="N188" s="103">
        <v>0</v>
      </c>
      <c r="O188" s="106"/>
      <c r="P188" s="103">
        <v>0</v>
      </c>
      <c r="Q188" s="107">
        <f t="shared" si="33"/>
        <v>0</v>
      </c>
      <c r="R188" s="108">
        <v>0</v>
      </c>
      <c r="S188" s="119"/>
      <c r="T188" s="110">
        <f t="shared" si="40"/>
        <v>0</v>
      </c>
      <c r="U188" s="103"/>
      <c r="V188" s="112">
        <f t="shared" si="41"/>
        <v>0</v>
      </c>
      <c r="W188" s="112">
        <f t="shared" si="42"/>
        <v>0</v>
      </c>
      <c r="X188" s="113">
        <f t="shared" si="43"/>
        <v>0</v>
      </c>
      <c r="Y188" s="113">
        <v>0</v>
      </c>
      <c r="Z188" s="114">
        <v>0</v>
      </c>
      <c r="AA188" s="11">
        <f t="shared" si="44"/>
        <v>0</v>
      </c>
      <c r="AB188" s="115" t="e">
        <f t="shared" si="34"/>
        <v>#REF!</v>
      </c>
      <c r="AC188" s="115">
        <f t="shared" si="35"/>
        <v>0</v>
      </c>
      <c r="AD188" s="115">
        <f t="shared" si="36"/>
        <v>0</v>
      </c>
      <c r="AE188" s="11"/>
      <c r="AF188" s="115">
        <f t="shared" si="37"/>
        <v>0</v>
      </c>
      <c r="AG188" s="115">
        <f t="shared" si="38"/>
        <v>0</v>
      </c>
      <c r="AH188" s="115">
        <f t="shared" si="39"/>
        <v>0</v>
      </c>
      <c r="AJ188" s="11" t="e">
        <f t="shared" si="46"/>
        <v>#REF!</v>
      </c>
    </row>
    <row r="189" spans="1:36">
      <c r="A189" s="116"/>
      <c r="B189" s="116" t="s">
        <v>49</v>
      </c>
      <c r="C189" s="122"/>
      <c r="D189" s="120" t="s">
        <v>302</v>
      </c>
      <c r="E189" s="98"/>
      <c r="F189" s="99" t="e">
        <f>VLOOKUP(D189,#REF!,17,FALSE)</f>
        <v>#REF!</v>
      </c>
      <c r="G189" s="100"/>
      <c r="H189" s="100"/>
      <c r="I189" s="101"/>
      <c r="J189" s="102" t="e">
        <f t="shared" si="53"/>
        <v>#REF!</v>
      </c>
      <c r="K189" s="103"/>
      <c r="L189" s="104"/>
      <c r="M189" s="105"/>
      <c r="N189" s="103">
        <v>0</v>
      </c>
      <c r="O189" s="106"/>
      <c r="P189" s="103">
        <v>0</v>
      </c>
      <c r="Q189" s="107">
        <f t="shared" si="33"/>
        <v>0</v>
      </c>
      <c r="R189" s="108">
        <v>687.97</v>
      </c>
      <c r="S189" s="119"/>
      <c r="T189" s="110">
        <f t="shared" si="40"/>
        <v>687.97</v>
      </c>
      <c r="U189" s="103"/>
      <c r="V189" s="112">
        <f t="shared" si="41"/>
        <v>0</v>
      </c>
      <c r="W189" s="112">
        <f t="shared" si="42"/>
        <v>0</v>
      </c>
      <c r="X189" s="113">
        <f t="shared" si="43"/>
        <v>0</v>
      </c>
      <c r="Y189" s="113">
        <v>0</v>
      </c>
      <c r="Z189" s="114">
        <v>0</v>
      </c>
      <c r="AA189" s="11">
        <f t="shared" si="44"/>
        <v>0</v>
      </c>
      <c r="AB189" s="115" t="e">
        <f t="shared" si="34"/>
        <v>#REF!</v>
      </c>
      <c r="AC189" s="115">
        <f t="shared" si="35"/>
        <v>0</v>
      </c>
      <c r="AD189" s="115">
        <f t="shared" si="36"/>
        <v>0</v>
      </c>
      <c r="AE189" s="11"/>
      <c r="AF189" s="115">
        <f t="shared" si="37"/>
        <v>0</v>
      </c>
      <c r="AG189" s="115">
        <f t="shared" si="38"/>
        <v>0</v>
      </c>
      <c r="AH189" s="115">
        <f t="shared" si="39"/>
        <v>0</v>
      </c>
      <c r="AJ189" s="11" t="e">
        <f t="shared" si="46"/>
        <v>#REF!</v>
      </c>
    </row>
    <row r="190" spans="1:36">
      <c r="A190" s="116"/>
      <c r="B190" s="116" t="s">
        <v>49</v>
      </c>
      <c r="C190" s="126" t="s">
        <v>304</v>
      </c>
      <c r="D190" s="120" t="s">
        <v>305</v>
      </c>
      <c r="E190" s="98">
        <v>769.16</v>
      </c>
      <c r="F190" s="99" t="e">
        <f>VLOOKUP(D190,#REF!,17,FALSE)</f>
        <v>#REF!</v>
      </c>
      <c r="G190" s="100"/>
      <c r="H190" s="100"/>
      <c r="I190" s="101"/>
      <c r="J190" s="102" t="e">
        <f t="shared" si="53"/>
        <v>#REF!</v>
      </c>
      <c r="K190" s="103"/>
      <c r="L190" s="104"/>
      <c r="M190" s="105"/>
      <c r="N190" s="103">
        <v>0</v>
      </c>
      <c r="O190" s="106"/>
      <c r="P190" s="103">
        <v>0</v>
      </c>
      <c r="Q190" s="107">
        <f t="shared" si="33"/>
        <v>0</v>
      </c>
      <c r="R190" s="108">
        <v>653.70000000000005</v>
      </c>
      <c r="S190" s="119"/>
      <c r="T190" s="110">
        <f t="shared" si="40"/>
        <v>653.70000000000005</v>
      </c>
      <c r="U190" s="103"/>
      <c r="V190" s="112">
        <f t="shared" si="41"/>
        <v>0</v>
      </c>
      <c r="W190" s="112">
        <f t="shared" si="42"/>
        <v>0</v>
      </c>
      <c r="X190" s="113">
        <f t="shared" si="43"/>
        <v>0</v>
      </c>
      <c r="Y190" s="113">
        <v>0</v>
      </c>
      <c r="Z190" s="114">
        <v>0</v>
      </c>
      <c r="AA190" s="11">
        <f t="shared" si="44"/>
        <v>0</v>
      </c>
      <c r="AB190" s="115" t="e">
        <f t="shared" si="34"/>
        <v>#REF!</v>
      </c>
      <c r="AC190" s="115">
        <f t="shared" si="35"/>
        <v>0</v>
      </c>
      <c r="AD190" s="115">
        <f t="shared" si="36"/>
        <v>0</v>
      </c>
      <c r="AE190" s="11"/>
      <c r="AF190" s="115">
        <f t="shared" si="37"/>
        <v>0</v>
      </c>
      <c r="AG190" s="115">
        <f t="shared" si="38"/>
        <v>0</v>
      </c>
      <c r="AH190" s="115">
        <f t="shared" si="39"/>
        <v>0</v>
      </c>
      <c r="AJ190" s="11" t="e">
        <f t="shared" si="46"/>
        <v>#REF!</v>
      </c>
    </row>
    <row r="191" spans="1:36">
      <c r="A191" s="116"/>
      <c r="B191" s="116" t="s">
        <v>46</v>
      </c>
      <c r="C191" s="122" t="s">
        <v>307</v>
      </c>
      <c r="D191" s="120" t="s">
        <v>308</v>
      </c>
      <c r="E191" s="98"/>
      <c r="F191" s="99" t="e">
        <f>VLOOKUP(D191,#REF!,17,FALSE)</f>
        <v>#REF!</v>
      </c>
      <c r="G191" s="100"/>
      <c r="H191" s="100"/>
      <c r="I191" s="101"/>
      <c r="J191" s="102" t="e">
        <f t="shared" si="53"/>
        <v>#REF!</v>
      </c>
      <c r="K191" s="103"/>
      <c r="L191" s="104"/>
      <c r="M191" s="105">
        <v>25000</v>
      </c>
      <c r="N191" s="103">
        <v>0</v>
      </c>
      <c r="O191" s="106"/>
      <c r="P191" s="103">
        <v>0</v>
      </c>
      <c r="Q191" s="107">
        <f t="shared" si="33"/>
        <v>25000</v>
      </c>
      <c r="R191" s="108">
        <v>20752.62</v>
      </c>
      <c r="S191" s="119"/>
      <c r="T191" s="110">
        <f t="shared" si="40"/>
        <v>-4247.380000000001</v>
      </c>
      <c r="U191" s="103"/>
      <c r="V191" s="112">
        <f t="shared" si="41"/>
        <v>0</v>
      </c>
      <c r="W191" s="112">
        <f t="shared" si="42"/>
        <v>25000</v>
      </c>
      <c r="X191" s="113">
        <f t="shared" si="43"/>
        <v>0</v>
      </c>
      <c r="Y191" s="113">
        <v>0</v>
      </c>
      <c r="Z191" s="114">
        <v>0</v>
      </c>
      <c r="AA191" s="11">
        <f t="shared" si="44"/>
        <v>0</v>
      </c>
      <c r="AB191" s="115">
        <f t="shared" si="34"/>
        <v>0</v>
      </c>
      <c r="AC191" s="115" t="e">
        <f t="shared" si="35"/>
        <v>#REF!</v>
      </c>
      <c r="AD191" s="115">
        <f t="shared" si="36"/>
        <v>0</v>
      </c>
      <c r="AE191" s="11"/>
      <c r="AF191" s="115">
        <f t="shared" si="37"/>
        <v>0</v>
      </c>
      <c r="AG191" s="115">
        <f t="shared" si="38"/>
        <v>25000</v>
      </c>
      <c r="AH191" s="115">
        <f t="shared" si="39"/>
        <v>0</v>
      </c>
      <c r="AJ191" s="11" t="e">
        <f t="shared" si="46"/>
        <v>#REF!</v>
      </c>
    </row>
    <row r="192" spans="1:36">
      <c r="A192" s="116"/>
      <c r="B192" s="116" t="s">
        <v>46</v>
      </c>
      <c r="C192" s="122" t="s">
        <v>307</v>
      </c>
      <c r="D192" s="120" t="s">
        <v>309</v>
      </c>
      <c r="E192" s="98"/>
      <c r="F192" s="99" t="e">
        <f>VLOOKUP(D192,#REF!,17,FALSE)</f>
        <v>#REF!</v>
      </c>
      <c r="G192" s="100"/>
      <c r="H192" s="100"/>
      <c r="I192" s="125">
        <v>13391.17</v>
      </c>
      <c r="J192" s="102" t="e">
        <f t="shared" si="53"/>
        <v>#REF!</v>
      </c>
      <c r="K192" s="103"/>
      <c r="L192" s="104"/>
      <c r="M192" s="105"/>
      <c r="N192" s="103">
        <v>0</v>
      </c>
      <c r="O192" s="106"/>
      <c r="P192" s="103">
        <v>0</v>
      </c>
      <c r="Q192" s="107">
        <f t="shared" si="33"/>
        <v>0</v>
      </c>
      <c r="R192" s="108">
        <v>0</v>
      </c>
      <c r="S192" s="119"/>
      <c r="T192" s="110">
        <f t="shared" si="40"/>
        <v>0</v>
      </c>
      <c r="U192" s="103"/>
      <c r="V192" s="112">
        <f t="shared" si="41"/>
        <v>0</v>
      </c>
      <c r="W192" s="112">
        <f t="shared" si="42"/>
        <v>0</v>
      </c>
      <c r="X192" s="113">
        <f t="shared" si="43"/>
        <v>0</v>
      </c>
      <c r="Y192" s="113">
        <v>0</v>
      </c>
      <c r="Z192" s="114">
        <v>0</v>
      </c>
      <c r="AA192" s="11">
        <f t="shared" si="44"/>
        <v>0</v>
      </c>
      <c r="AB192" s="115">
        <f t="shared" si="34"/>
        <v>0</v>
      </c>
      <c r="AC192" s="115" t="e">
        <f t="shared" si="35"/>
        <v>#REF!</v>
      </c>
      <c r="AD192" s="115">
        <f t="shared" si="36"/>
        <v>0</v>
      </c>
      <c r="AE192" s="11"/>
      <c r="AF192" s="115">
        <f t="shared" si="37"/>
        <v>0</v>
      </c>
      <c r="AG192" s="115">
        <f t="shared" si="38"/>
        <v>0</v>
      </c>
      <c r="AH192" s="115">
        <f t="shared" si="39"/>
        <v>0</v>
      </c>
      <c r="AJ192" s="11" t="e">
        <f t="shared" si="46"/>
        <v>#REF!</v>
      </c>
    </row>
    <row r="193" spans="1:36">
      <c r="A193" s="129"/>
      <c r="B193" s="129" t="s">
        <v>46</v>
      </c>
      <c r="C193" s="122" t="s">
        <v>307</v>
      </c>
      <c r="D193" s="120" t="s">
        <v>310</v>
      </c>
      <c r="E193" s="98"/>
      <c r="F193" s="99" t="e">
        <f>VLOOKUP(D193,#REF!,17,FALSE)</f>
        <v>#REF!</v>
      </c>
      <c r="G193" s="100"/>
      <c r="H193" s="100"/>
      <c r="I193" s="101"/>
      <c r="J193" s="102" t="e">
        <f t="shared" si="53"/>
        <v>#REF!</v>
      </c>
      <c r="K193" s="103"/>
      <c r="L193" s="104"/>
      <c r="M193" s="105"/>
      <c r="N193" s="103">
        <v>0</v>
      </c>
      <c r="O193" s="106"/>
      <c r="P193" s="103">
        <v>0</v>
      </c>
      <c r="Q193" s="107">
        <f t="shared" si="33"/>
        <v>0</v>
      </c>
      <c r="R193" s="108">
        <v>0</v>
      </c>
      <c r="S193" s="119"/>
      <c r="T193" s="110">
        <f t="shared" si="40"/>
        <v>0</v>
      </c>
      <c r="U193" s="103"/>
      <c r="V193" s="112">
        <f t="shared" si="41"/>
        <v>0</v>
      </c>
      <c r="W193" s="112">
        <f t="shared" si="42"/>
        <v>0</v>
      </c>
      <c r="X193" s="113">
        <f t="shared" si="43"/>
        <v>0</v>
      </c>
      <c r="Y193" s="113">
        <v>0</v>
      </c>
      <c r="Z193" s="114">
        <v>0</v>
      </c>
      <c r="AA193" s="11">
        <f t="shared" si="44"/>
        <v>0</v>
      </c>
      <c r="AB193" s="115">
        <f t="shared" si="34"/>
        <v>0</v>
      </c>
      <c r="AC193" s="115" t="e">
        <f t="shared" si="35"/>
        <v>#REF!</v>
      </c>
      <c r="AD193" s="115">
        <f t="shared" si="36"/>
        <v>0</v>
      </c>
      <c r="AE193" s="11"/>
      <c r="AF193" s="115">
        <f t="shared" si="37"/>
        <v>0</v>
      </c>
      <c r="AG193" s="115">
        <f t="shared" si="38"/>
        <v>0</v>
      </c>
      <c r="AH193" s="115">
        <f t="shared" si="39"/>
        <v>0</v>
      </c>
      <c r="AJ193" s="11" t="e">
        <f t="shared" si="46"/>
        <v>#REF!</v>
      </c>
    </row>
    <row r="194" spans="1:36">
      <c r="A194" s="129"/>
      <c r="B194" s="129" t="s">
        <v>46</v>
      </c>
      <c r="C194" s="122" t="s">
        <v>307</v>
      </c>
      <c r="D194" s="120" t="s">
        <v>311</v>
      </c>
      <c r="E194" s="98"/>
      <c r="F194" s="99" t="e">
        <f>VLOOKUP(D194,#REF!,17,FALSE)</f>
        <v>#REF!</v>
      </c>
      <c r="G194" s="100"/>
      <c r="H194" s="100"/>
      <c r="I194" s="101"/>
      <c r="J194" s="102" t="e">
        <f t="shared" si="53"/>
        <v>#REF!</v>
      </c>
      <c r="K194" s="103"/>
      <c r="L194" s="104"/>
      <c r="M194" s="105"/>
      <c r="N194" s="103">
        <v>0</v>
      </c>
      <c r="O194" s="106"/>
      <c r="P194" s="103">
        <v>0</v>
      </c>
      <c r="Q194" s="107">
        <f t="shared" si="33"/>
        <v>0</v>
      </c>
      <c r="R194" s="108">
        <v>0</v>
      </c>
      <c r="S194" s="119"/>
      <c r="T194" s="110">
        <f t="shared" si="40"/>
        <v>0</v>
      </c>
      <c r="U194" s="103"/>
      <c r="V194" s="112">
        <f t="shared" si="41"/>
        <v>0</v>
      </c>
      <c r="W194" s="112">
        <f t="shared" si="42"/>
        <v>0</v>
      </c>
      <c r="X194" s="113">
        <f t="shared" si="43"/>
        <v>0</v>
      </c>
      <c r="Y194" s="113">
        <v>0</v>
      </c>
      <c r="Z194" s="114">
        <v>0</v>
      </c>
      <c r="AA194" s="11">
        <f t="shared" si="44"/>
        <v>0</v>
      </c>
      <c r="AB194" s="115">
        <f t="shared" si="34"/>
        <v>0</v>
      </c>
      <c r="AC194" s="115" t="e">
        <f t="shared" si="35"/>
        <v>#REF!</v>
      </c>
      <c r="AD194" s="115">
        <f t="shared" si="36"/>
        <v>0</v>
      </c>
      <c r="AE194" s="11"/>
      <c r="AF194" s="115">
        <f t="shared" si="37"/>
        <v>0</v>
      </c>
      <c r="AG194" s="115">
        <f t="shared" si="38"/>
        <v>0</v>
      </c>
      <c r="AH194" s="115">
        <f t="shared" si="39"/>
        <v>0</v>
      </c>
      <c r="AJ194" s="11" t="e">
        <f t="shared" si="46"/>
        <v>#REF!</v>
      </c>
    </row>
    <row r="195" spans="1:36">
      <c r="A195" s="129"/>
      <c r="B195" s="129" t="s">
        <v>46</v>
      </c>
      <c r="C195" s="96"/>
      <c r="D195" s="120" t="s">
        <v>312</v>
      </c>
      <c r="E195" s="98"/>
      <c r="F195" s="99" t="e">
        <f>VLOOKUP(D195,#REF!,17,FALSE)</f>
        <v>#REF!</v>
      </c>
      <c r="G195" s="100"/>
      <c r="H195" s="100"/>
      <c r="I195" s="125">
        <v>4084.15</v>
      </c>
      <c r="J195" s="102" t="e">
        <f t="shared" si="53"/>
        <v>#REF!</v>
      </c>
      <c r="K195" s="103"/>
      <c r="L195" s="104"/>
      <c r="M195" s="105"/>
      <c r="N195" s="103">
        <v>0</v>
      </c>
      <c r="O195" s="106"/>
      <c r="P195" s="103">
        <v>0</v>
      </c>
      <c r="Q195" s="107">
        <f t="shared" si="33"/>
        <v>0</v>
      </c>
      <c r="R195" s="108">
        <v>0</v>
      </c>
      <c r="S195" s="119"/>
      <c r="T195" s="110">
        <f t="shared" si="40"/>
        <v>0</v>
      </c>
      <c r="U195" s="133"/>
      <c r="V195" s="112">
        <f t="shared" si="41"/>
        <v>0</v>
      </c>
      <c r="W195" s="112">
        <f t="shared" si="42"/>
        <v>0</v>
      </c>
      <c r="X195" s="113">
        <f t="shared" si="43"/>
        <v>0</v>
      </c>
      <c r="Y195" s="113">
        <v>0</v>
      </c>
      <c r="Z195" s="114">
        <v>0</v>
      </c>
      <c r="AA195" s="11">
        <f t="shared" si="44"/>
        <v>0</v>
      </c>
      <c r="AB195" s="115">
        <f t="shared" si="34"/>
        <v>0</v>
      </c>
      <c r="AC195" s="115" t="e">
        <f t="shared" si="35"/>
        <v>#REF!</v>
      </c>
      <c r="AD195" s="115">
        <f t="shared" si="36"/>
        <v>0</v>
      </c>
      <c r="AE195" s="11"/>
      <c r="AF195" s="115">
        <f t="shared" si="37"/>
        <v>0</v>
      </c>
      <c r="AG195" s="115">
        <f t="shared" si="38"/>
        <v>0</v>
      </c>
      <c r="AH195" s="115">
        <f t="shared" si="39"/>
        <v>0</v>
      </c>
      <c r="AJ195" s="11" t="e">
        <f t="shared" si="46"/>
        <v>#REF!</v>
      </c>
    </row>
    <row r="196" spans="1:36">
      <c r="A196" s="129"/>
      <c r="B196" s="129" t="s">
        <v>46</v>
      </c>
      <c r="C196" s="96"/>
      <c r="D196" s="148" t="s">
        <v>313</v>
      </c>
      <c r="E196" s="98"/>
      <c r="F196" s="99" t="e">
        <f>VLOOKUP(D196,#REF!,17,FALSE)</f>
        <v>#REF!</v>
      </c>
      <c r="G196" s="100"/>
      <c r="H196" s="100"/>
      <c r="I196" s="125">
        <v>39.83</v>
      </c>
      <c r="J196" s="102" t="e">
        <f t="shared" si="53"/>
        <v>#REF!</v>
      </c>
      <c r="K196" s="103"/>
      <c r="L196" s="104"/>
      <c r="M196" s="105"/>
      <c r="N196" s="103">
        <v>0</v>
      </c>
      <c r="O196" s="106"/>
      <c r="P196" s="103">
        <v>0</v>
      </c>
      <c r="Q196" s="107">
        <f t="shared" si="33"/>
        <v>0</v>
      </c>
      <c r="R196" s="108">
        <v>0</v>
      </c>
      <c r="S196" s="119"/>
      <c r="T196" s="110">
        <f t="shared" si="40"/>
        <v>0</v>
      </c>
      <c r="U196" s="133"/>
      <c r="V196" s="112">
        <f t="shared" si="41"/>
        <v>0</v>
      </c>
      <c r="W196" s="112">
        <f t="shared" si="42"/>
        <v>0</v>
      </c>
      <c r="X196" s="113">
        <f t="shared" si="43"/>
        <v>0</v>
      </c>
      <c r="Y196" s="113">
        <v>0</v>
      </c>
      <c r="Z196" s="114">
        <v>0</v>
      </c>
      <c r="AA196" s="11">
        <f t="shared" si="44"/>
        <v>0</v>
      </c>
      <c r="AB196" s="115">
        <f t="shared" si="34"/>
        <v>0</v>
      </c>
      <c r="AC196" s="115" t="e">
        <f t="shared" si="35"/>
        <v>#REF!</v>
      </c>
      <c r="AD196" s="115">
        <f t="shared" si="36"/>
        <v>0</v>
      </c>
      <c r="AE196" s="11"/>
      <c r="AF196" s="115">
        <f t="shared" si="37"/>
        <v>0</v>
      </c>
      <c r="AG196" s="115">
        <f t="shared" si="38"/>
        <v>0</v>
      </c>
      <c r="AH196" s="115">
        <f t="shared" si="39"/>
        <v>0</v>
      </c>
      <c r="AJ196" s="11" t="e">
        <f t="shared" si="46"/>
        <v>#REF!</v>
      </c>
    </row>
    <row r="197" spans="1:36">
      <c r="A197" s="129" t="s">
        <v>46</v>
      </c>
      <c r="B197" s="129" t="s">
        <v>81</v>
      </c>
      <c r="C197" s="96" t="s">
        <v>314</v>
      </c>
      <c r="D197" s="148" t="s">
        <v>315</v>
      </c>
      <c r="E197" s="98">
        <v>26454</v>
      </c>
      <c r="F197" s="99" t="e">
        <f>VLOOKUP(D197,#REF!,17,FALSE)</f>
        <v>#REF!</v>
      </c>
      <c r="G197" s="100"/>
      <c r="H197" s="100"/>
      <c r="I197" s="101"/>
      <c r="J197" s="102" t="e">
        <f t="shared" si="53"/>
        <v>#REF!</v>
      </c>
      <c r="K197" s="103"/>
      <c r="L197" s="104"/>
      <c r="M197" s="105">
        <v>55000</v>
      </c>
      <c r="N197" s="103">
        <v>0</v>
      </c>
      <c r="O197" s="106"/>
      <c r="P197" s="103">
        <v>0</v>
      </c>
      <c r="Q197" s="107">
        <f t="shared" si="33"/>
        <v>55000</v>
      </c>
      <c r="R197" s="108">
        <v>31051</v>
      </c>
      <c r="S197" s="119"/>
      <c r="T197" s="110">
        <f t="shared" si="40"/>
        <v>-23949</v>
      </c>
      <c r="U197" s="103"/>
      <c r="V197" s="112">
        <f t="shared" si="41"/>
        <v>0</v>
      </c>
      <c r="W197" s="112">
        <f t="shared" si="42"/>
        <v>0</v>
      </c>
      <c r="X197" s="113">
        <f t="shared" si="43"/>
        <v>55000</v>
      </c>
      <c r="Y197" s="113">
        <v>0</v>
      </c>
      <c r="Z197" s="114">
        <v>0</v>
      </c>
      <c r="AA197" s="11">
        <f t="shared" si="44"/>
        <v>0</v>
      </c>
      <c r="AB197" s="115">
        <f t="shared" si="34"/>
        <v>0</v>
      </c>
      <c r="AC197" s="115">
        <f t="shared" si="35"/>
        <v>0</v>
      </c>
      <c r="AD197" s="115" t="e">
        <f t="shared" si="36"/>
        <v>#REF!</v>
      </c>
      <c r="AE197" s="11"/>
      <c r="AF197" s="115">
        <f t="shared" si="37"/>
        <v>0</v>
      </c>
      <c r="AG197" s="115">
        <f t="shared" si="38"/>
        <v>0</v>
      </c>
      <c r="AH197" s="115">
        <f t="shared" si="39"/>
        <v>55000</v>
      </c>
      <c r="AJ197" s="11" t="e">
        <f t="shared" si="46"/>
        <v>#REF!</v>
      </c>
    </row>
    <row r="198" spans="1:36">
      <c r="A198" s="116" t="s">
        <v>60</v>
      </c>
      <c r="B198" s="116" t="s">
        <v>46</v>
      </c>
      <c r="C198" s="122"/>
      <c r="D198" s="120" t="s">
        <v>316</v>
      </c>
      <c r="E198" s="98"/>
      <c r="F198" s="99" t="e">
        <f>VLOOKUP(D198,#REF!,17,FALSE)</f>
        <v>#REF!</v>
      </c>
      <c r="G198" s="100"/>
      <c r="H198" s="100"/>
      <c r="I198" s="101"/>
      <c r="J198" s="102" t="e">
        <f t="shared" si="53"/>
        <v>#REF!</v>
      </c>
      <c r="K198" s="103"/>
      <c r="L198" s="104"/>
      <c r="M198" s="105"/>
      <c r="N198" s="103">
        <v>0</v>
      </c>
      <c r="O198" s="106"/>
      <c r="P198" s="103">
        <v>0</v>
      </c>
      <c r="Q198" s="107">
        <f t="shared" si="33"/>
        <v>0</v>
      </c>
      <c r="R198" s="108">
        <v>0</v>
      </c>
      <c r="S198" s="119"/>
      <c r="T198" s="110">
        <f t="shared" si="40"/>
        <v>0</v>
      </c>
      <c r="U198" s="103"/>
      <c r="V198" s="112">
        <f t="shared" si="41"/>
        <v>0</v>
      </c>
      <c r="W198" s="112">
        <f t="shared" si="42"/>
        <v>0</v>
      </c>
      <c r="X198" s="113">
        <f t="shared" si="43"/>
        <v>0</v>
      </c>
      <c r="Y198" s="113">
        <v>0</v>
      </c>
      <c r="Z198" s="114">
        <v>0</v>
      </c>
      <c r="AA198" s="11">
        <f t="shared" si="44"/>
        <v>0</v>
      </c>
      <c r="AB198" s="115">
        <f t="shared" si="34"/>
        <v>0</v>
      </c>
      <c r="AC198" s="115" t="e">
        <f t="shared" si="35"/>
        <v>#REF!</v>
      </c>
      <c r="AD198" s="115">
        <f t="shared" si="36"/>
        <v>0</v>
      </c>
      <c r="AE198" s="11"/>
      <c r="AF198" s="115">
        <f t="shared" si="37"/>
        <v>0</v>
      </c>
      <c r="AG198" s="115">
        <f t="shared" si="38"/>
        <v>0</v>
      </c>
      <c r="AH198" s="115">
        <f t="shared" si="39"/>
        <v>0</v>
      </c>
      <c r="AJ198" s="11" t="e">
        <f t="shared" si="46"/>
        <v>#REF!</v>
      </c>
    </row>
    <row r="199" spans="1:36">
      <c r="A199" s="116"/>
      <c r="B199" s="116" t="s">
        <v>81</v>
      </c>
      <c r="C199" s="126" t="s">
        <v>318</v>
      </c>
      <c r="D199" s="120" t="s">
        <v>319</v>
      </c>
      <c r="E199" s="98">
        <f>250+349.1</f>
        <v>599.1</v>
      </c>
      <c r="F199" s="99" t="e">
        <f>VLOOKUP(D199,#REF!,17,FALSE)</f>
        <v>#REF!</v>
      </c>
      <c r="G199" s="100"/>
      <c r="H199" s="100"/>
      <c r="I199" s="101"/>
      <c r="J199" s="102" t="e">
        <f t="shared" si="53"/>
        <v>#REF!</v>
      </c>
      <c r="K199" s="103"/>
      <c r="L199" s="104"/>
      <c r="M199" s="105"/>
      <c r="N199" s="103">
        <v>0</v>
      </c>
      <c r="O199" s="106"/>
      <c r="P199" s="103">
        <v>0</v>
      </c>
      <c r="Q199" s="107">
        <f t="shared" si="33"/>
        <v>0</v>
      </c>
      <c r="R199" s="108">
        <v>0</v>
      </c>
      <c r="S199" s="119"/>
      <c r="T199" s="110">
        <f t="shared" si="40"/>
        <v>0</v>
      </c>
      <c r="U199" s="103"/>
      <c r="V199" s="112">
        <f t="shared" si="41"/>
        <v>0</v>
      </c>
      <c r="W199" s="112">
        <f t="shared" si="42"/>
        <v>0</v>
      </c>
      <c r="X199" s="113">
        <f t="shared" si="43"/>
        <v>0</v>
      </c>
      <c r="Y199" s="113">
        <v>0</v>
      </c>
      <c r="Z199" s="114">
        <v>0</v>
      </c>
      <c r="AA199" s="11">
        <f t="shared" si="44"/>
        <v>0</v>
      </c>
      <c r="AB199" s="115">
        <f t="shared" si="34"/>
        <v>0</v>
      </c>
      <c r="AC199" s="115">
        <f t="shared" si="35"/>
        <v>0</v>
      </c>
      <c r="AD199" s="115" t="e">
        <f t="shared" si="36"/>
        <v>#REF!</v>
      </c>
      <c r="AE199" s="11"/>
      <c r="AF199" s="115">
        <f t="shared" si="37"/>
        <v>0</v>
      </c>
      <c r="AG199" s="115">
        <f t="shared" si="38"/>
        <v>0</v>
      </c>
      <c r="AH199" s="115">
        <f t="shared" si="39"/>
        <v>0</v>
      </c>
      <c r="AJ199" s="11" t="e">
        <f t="shared" si="46"/>
        <v>#REF!</v>
      </c>
    </row>
    <row r="200" spans="1:36">
      <c r="A200" s="116"/>
      <c r="B200" s="116" t="s">
        <v>49</v>
      </c>
      <c r="C200" s="122"/>
      <c r="D200" s="120" t="s">
        <v>320</v>
      </c>
      <c r="E200" s="98">
        <v>200.6</v>
      </c>
      <c r="F200" s="99" t="e">
        <f>VLOOKUP(D200,#REF!,17,FALSE)</f>
        <v>#REF!</v>
      </c>
      <c r="G200" s="100"/>
      <c r="H200" s="100"/>
      <c r="I200" s="101"/>
      <c r="J200" s="102" t="e">
        <f t="shared" si="53"/>
        <v>#REF!</v>
      </c>
      <c r="K200" s="103"/>
      <c r="L200" s="104"/>
      <c r="M200" s="105"/>
      <c r="N200" s="103">
        <v>0</v>
      </c>
      <c r="O200" s="106"/>
      <c r="P200" s="103">
        <v>0</v>
      </c>
      <c r="Q200" s="107">
        <f t="shared" si="33"/>
        <v>0</v>
      </c>
      <c r="R200" s="108">
        <v>0</v>
      </c>
      <c r="S200" s="119"/>
      <c r="T200" s="110">
        <f t="shared" si="40"/>
        <v>0</v>
      </c>
      <c r="U200" s="103"/>
      <c r="V200" s="112">
        <f t="shared" si="41"/>
        <v>0</v>
      </c>
      <c r="W200" s="112">
        <f t="shared" si="42"/>
        <v>0</v>
      </c>
      <c r="X200" s="113">
        <f t="shared" si="43"/>
        <v>0</v>
      </c>
      <c r="Y200" s="113">
        <v>0</v>
      </c>
      <c r="Z200" s="114">
        <v>0</v>
      </c>
      <c r="AA200" s="11">
        <f t="shared" si="44"/>
        <v>0</v>
      </c>
      <c r="AB200" s="115" t="e">
        <f t="shared" si="34"/>
        <v>#REF!</v>
      </c>
      <c r="AC200" s="115">
        <f t="shared" si="35"/>
        <v>0</v>
      </c>
      <c r="AD200" s="115">
        <f t="shared" si="36"/>
        <v>0</v>
      </c>
      <c r="AE200" s="11"/>
      <c r="AF200" s="115">
        <f t="shared" si="37"/>
        <v>0</v>
      </c>
      <c r="AG200" s="115">
        <f t="shared" si="38"/>
        <v>0</v>
      </c>
      <c r="AH200" s="115">
        <f t="shared" si="39"/>
        <v>0</v>
      </c>
      <c r="AJ200" s="11" t="e">
        <f t="shared" si="46"/>
        <v>#REF!</v>
      </c>
    </row>
    <row r="201" spans="1:36">
      <c r="A201" s="116"/>
      <c r="B201" s="116" t="s">
        <v>49</v>
      </c>
      <c r="C201" s="122"/>
      <c r="D201" s="120" t="s">
        <v>321</v>
      </c>
      <c r="E201" s="98">
        <v>10039.969999999999</v>
      </c>
      <c r="F201" s="99" t="e">
        <f>VLOOKUP(D201,#REF!,17,FALSE)</f>
        <v>#REF!</v>
      </c>
      <c r="G201" s="100"/>
      <c r="H201" s="100"/>
      <c r="I201" s="125">
        <v>9705.2900000000009</v>
      </c>
      <c r="J201" s="102" t="e">
        <f t="shared" si="53"/>
        <v>#REF!</v>
      </c>
      <c r="K201" s="103"/>
      <c r="L201" s="104"/>
      <c r="M201" s="105"/>
      <c r="N201" s="103"/>
      <c r="O201" s="106"/>
      <c r="P201" s="103"/>
      <c r="Q201" s="107">
        <f t="shared" si="33"/>
        <v>0</v>
      </c>
      <c r="R201" s="108">
        <v>0</v>
      </c>
      <c r="S201" s="119"/>
      <c r="T201" s="110">
        <f t="shared" si="40"/>
        <v>0</v>
      </c>
      <c r="U201" s="103"/>
      <c r="V201" s="112">
        <f t="shared" si="41"/>
        <v>0</v>
      </c>
      <c r="W201" s="112">
        <f t="shared" si="42"/>
        <v>0</v>
      </c>
      <c r="X201" s="113">
        <f t="shared" si="43"/>
        <v>0</v>
      </c>
      <c r="Y201" s="113">
        <v>0</v>
      </c>
      <c r="Z201" s="114">
        <v>0</v>
      </c>
      <c r="AA201" s="11">
        <f t="shared" si="44"/>
        <v>0</v>
      </c>
      <c r="AB201" s="115" t="e">
        <f t="shared" si="34"/>
        <v>#REF!</v>
      </c>
      <c r="AC201" s="115">
        <f t="shared" si="35"/>
        <v>0</v>
      </c>
      <c r="AD201" s="115">
        <f t="shared" si="36"/>
        <v>0</v>
      </c>
      <c r="AE201" s="11"/>
      <c r="AF201" s="115">
        <f t="shared" si="37"/>
        <v>0</v>
      </c>
      <c r="AG201" s="115">
        <f t="shared" si="38"/>
        <v>0</v>
      </c>
      <c r="AH201" s="115">
        <f t="shared" si="39"/>
        <v>0</v>
      </c>
      <c r="AJ201" s="11" t="e">
        <f t="shared" si="46"/>
        <v>#REF!</v>
      </c>
    </row>
    <row r="202" spans="1:36" s="124" customFormat="1">
      <c r="A202" s="123"/>
      <c r="B202" s="123" t="s">
        <v>49</v>
      </c>
      <c r="C202" s="122" t="s">
        <v>322</v>
      </c>
      <c r="D202" s="149" t="s">
        <v>323</v>
      </c>
      <c r="E202" s="98"/>
      <c r="F202" s="99" t="e">
        <f>VLOOKUP(D202,#REF!,17,FALSE)</f>
        <v>#REF!</v>
      </c>
      <c r="G202" s="100"/>
      <c r="H202" s="100"/>
      <c r="I202" s="101"/>
      <c r="J202" s="102" t="e">
        <f t="shared" si="53"/>
        <v>#REF!</v>
      </c>
      <c r="K202" s="103"/>
      <c r="L202" s="104"/>
      <c r="M202" s="105"/>
      <c r="N202" s="103">
        <v>0</v>
      </c>
      <c r="O202" s="106"/>
      <c r="P202" s="103">
        <v>0</v>
      </c>
      <c r="Q202" s="107">
        <f t="shared" si="33"/>
        <v>0</v>
      </c>
      <c r="R202" s="108">
        <v>0</v>
      </c>
      <c r="S202" s="119"/>
      <c r="T202" s="110">
        <f t="shared" si="40"/>
        <v>0</v>
      </c>
      <c r="U202" s="103"/>
      <c r="V202" s="112">
        <f t="shared" si="41"/>
        <v>0</v>
      </c>
      <c r="W202" s="112">
        <f t="shared" si="42"/>
        <v>0</v>
      </c>
      <c r="X202" s="113">
        <f t="shared" si="43"/>
        <v>0</v>
      </c>
      <c r="Y202" s="113">
        <v>0</v>
      </c>
      <c r="Z202" s="114">
        <v>0</v>
      </c>
      <c r="AA202" s="11">
        <f t="shared" si="44"/>
        <v>0</v>
      </c>
      <c r="AB202" s="115" t="e">
        <f t="shared" si="34"/>
        <v>#REF!</v>
      </c>
      <c r="AC202" s="115">
        <f t="shared" si="35"/>
        <v>0</v>
      </c>
      <c r="AD202" s="115">
        <f t="shared" si="36"/>
        <v>0</v>
      </c>
      <c r="AE202" s="11"/>
      <c r="AF202" s="115">
        <f t="shared" si="37"/>
        <v>0</v>
      </c>
      <c r="AG202" s="115">
        <f t="shared" si="38"/>
        <v>0</v>
      </c>
      <c r="AH202" s="115">
        <f t="shared" si="39"/>
        <v>0</v>
      </c>
      <c r="AJ202" s="11" t="e">
        <f t="shared" si="46"/>
        <v>#REF!</v>
      </c>
    </row>
    <row r="203" spans="1:36" s="124" customFormat="1">
      <c r="A203" s="123"/>
      <c r="B203" s="123" t="s">
        <v>81</v>
      </c>
      <c r="C203" s="122" t="s">
        <v>322</v>
      </c>
      <c r="D203" s="118" t="s">
        <v>324</v>
      </c>
      <c r="E203" s="98"/>
      <c r="F203" s="99" t="e">
        <f>VLOOKUP(D203,#REF!,17,FALSE)</f>
        <v>#REF!</v>
      </c>
      <c r="G203" s="100"/>
      <c r="H203" s="100"/>
      <c r="I203" s="101"/>
      <c r="J203" s="102" t="e">
        <f t="shared" si="53"/>
        <v>#REF!</v>
      </c>
      <c r="K203" s="103"/>
      <c r="L203" s="104">
        <v>2335.46</v>
      </c>
      <c r="M203" s="105"/>
      <c r="N203" s="103">
        <v>0</v>
      </c>
      <c r="O203" s="106"/>
      <c r="P203" s="103">
        <v>0</v>
      </c>
      <c r="Q203" s="107">
        <f t="shared" si="33"/>
        <v>2335.46</v>
      </c>
      <c r="R203" s="108">
        <f>686.4+2365.89</f>
        <v>3052.29</v>
      </c>
      <c r="S203" s="119"/>
      <c r="T203" s="110">
        <f t="shared" si="40"/>
        <v>716.82999999999993</v>
      </c>
      <c r="U203" s="103"/>
      <c r="V203" s="112">
        <f t="shared" si="41"/>
        <v>0</v>
      </c>
      <c r="W203" s="112">
        <f t="shared" si="42"/>
        <v>0</v>
      </c>
      <c r="X203" s="113">
        <f t="shared" si="43"/>
        <v>2335.46</v>
      </c>
      <c r="Y203" s="113">
        <v>0</v>
      </c>
      <c r="Z203" s="114">
        <v>0</v>
      </c>
      <c r="AA203" s="11">
        <f t="shared" si="44"/>
        <v>0</v>
      </c>
      <c r="AB203" s="115">
        <f t="shared" si="34"/>
        <v>0</v>
      </c>
      <c r="AC203" s="115">
        <f t="shared" si="35"/>
        <v>0</v>
      </c>
      <c r="AD203" s="115" t="e">
        <f t="shared" si="36"/>
        <v>#REF!</v>
      </c>
      <c r="AE203" s="11"/>
      <c r="AF203" s="115">
        <f t="shared" si="37"/>
        <v>0</v>
      </c>
      <c r="AG203" s="115">
        <f t="shared" si="38"/>
        <v>0</v>
      </c>
      <c r="AH203" s="115">
        <f t="shared" si="39"/>
        <v>2335.46</v>
      </c>
      <c r="AJ203" s="11" t="e">
        <f t="shared" si="46"/>
        <v>#REF!</v>
      </c>
    </row>
    <row r="204" spans="1:36" s="124" customFormat="1">
      <c r="A204" s="123"/>
      <c r="B204" s="123" t="s">
        <v>49</v>
      </c>
      <c r="C204" s="122" t="s">
        <v>322</v>
      </c>
      <c r="D204" s="118" t="s">
        <v>325</v>
      </c>
      <c r="E204" s="98"/>
      <c r="F204" s="99" t="e">
        <f>VLOOKUP(D204,#REF!,17,FALSE)</f>
        <v>#REF!</v>
      </c>
      <c r="G204" s="100"/>
      <c r="H204" s="100"/>
      <c r="I204" s="101"/>
      <c r="J204" s="102" t="e">
        <f t="shared" si="53"/>
        <v>#REF!</v>
      </c>
      <c r="K204" s="103"/>
      <c r="L204" s="104"/>
      <c r="M204" s="105"/>
      <c r="N204" s="103">
        <v>0</v>
      </c>
      <c r="O204" s="106"/>
      <c r="P204" s="103">
        <v>0</v>
      </c>
      <c r="Q204" s="107">
        <f t="shared" si="33"/>
        <v>0</v>
      </c>
      <c r="R204" s="108">
        <v>106.61</v>
      </c>
      <c r="S204" s="119"/>
      <c r="T204" s="110">
        <f t="shared" si="40"/>
        <v>106.61</v>
      </c>
      <c r="U204" s="103"/>
      <c r="V204" s="112">
        <f t="shared" si="41"/>
        <v>0</v>
      </c>
      <c r="W204" s="112">
        <f t="shared" si="42"/>
        <v>0</v>
      </c>
      <c r="X204" s="113">
        <f t="shared" si="43"/>
        <v>0</v>
      </c>
      <c r="Y204" s="113">
        <v>0</v>
      </c>
      <c r="Z204" s="114">
        <v>0</v>
      </c>
      <c r="AA204" s="11">
        <f t="shared" si="44"/>
        <v>0</v>
      </c>
      <c r="AB204" s="115" t="e">
        <f t="shared" si="34"/>
        <v>#REF!</v>
      </c>
      <c r="AC204" s="115">
        <f t="shared" si="35"/>
        <v>0</v>
      </c>
      <c r="AD204" s="115">
        <f t="shared" si="36"/>
        <v>0</v>
      </c>
      <c r="AE204" s="11"/>
      <c r="AF204" s="115">
        <f t="shared" si="37"/>
        <v>0</v>
      </c>
      <c r="AG204" s="115">
        <f t="shared" si="38"/>
        <v>0</v>
      </c>
      <c r="AH204" s="115">
        <f t="shared" si="39"/>
        <v>0</v>
      </c>
      <c r="AJ204" s="11" t="e">
        <f t="shared" si="46"/>
        <v>#REF!</v>
      </c>
    </row>
    <row r="205" spans="1:36" s="124" customFormat="1">
      <c r="A205" s="123"/>
      <c r="B205" s="123" t="s">
        <v>49</v>
      </c>
      <c r="C205" s="122" t="s">
        <v>322</v>
      </c>
      <c r="D205" s="118" t="s">
        <v>326</v>
      </c>
      <c r="E205" s="98"/>
      <c r="F205" s="99" t="e">
        <f>VLOOKUP(D205,#REF!,17,FALSE)</f>
        <v>#REF!</v>
      </c>
      <c r="G205" s="100"/>
      <c r="H205" s="100"/>
      <c r="I205" s="101"/>
      <c r="J205" s="102" t="e">
        <f t="shared" si="53"/>
        <v>#REF!</v>
      </c>
      <c r="K205" s="103"/>
      <c r="L205" s="104">
        <v>380672.7</v>
      </c>
      <c r="M205" s="105"/>
      <c r="N205" s="103">
        <v>0</v>
      </c>
      <c r="O205" s="106"/>
      <c r="P205" s="103">
        <v>0</v>
      </c>
      <c r="Q205" s="107">
        <f t="shared" si="33"/>
        <v>380672.7</v>
      </c>
      <c r="R205" s="108">
        <v>385943.69</v>
      </c>
      <c r="S205" s="119"/>
      <c r="T205" s="110">
        <f t="shared" si="40"/>
        <v>5270.9899999999907</v>
      </c>
      <c r="U205" s="103"/>
      <c r="V205" s="112">
        <f t="shared" si="41"/>
        <v>380672.7</v>
      </c>
      <c r="W205" s="112">
        <f t="shared" si="42"/>
        <v>0</v>
      </c>
      <c r="X205" s="113">
        <f t="shared" si="43"/>
        <v>0</v>
      </c>
      <c r="Y205" s="113">
        <v>0</v>
      </c>
      <c r="Z205" s="114">
        <v>0</v>
      </c>
      <c r="AA205" s="11">
        <f t="shared" si="44"/>
        <v>0</v>
      </c>
      <c r="AB205" s="115" t="e">
        <f t="shared" si="34"/>
        <v>#REF!</v>
      </c>
      <c r="AC205" s="115">
        <f t="shared" si="35"/>
        <v>0</v>
      </c>
      <c r="AD205" s="115">
        <f t="shared" si="36"/>
        <v>0</v>
      </c>
      <c r="AE205" s="11"/>
      <c r="AF205" s="115">
        <f t="shared" si="37"/>
        <v>380672.7</v>
      </c>
      <c r="AG205" s="115">
        <f t="shared" si="38"/>
        <v>0</v>
      </c>
      <c r="AH205" s="115">
        <f t="shared" si="39"/>
        <v>0</v>
      </c>
      <c r="AJ205" s="11" t="e">
        <f t="shared" si="46"/>
        <v>#REF!</v>
      </c>
    </row>
    <row r="206" spans="1:36">
      <c r="A206" s="129" t="s">
        <v>154</v>
      </c>
      <c r="B206" s="129" t="s">
        <v>46</v>
      </c>
      <c r="C206" s="96"/>
      <c r="D206" s="120" t="s">
        <v>327</v>
      </c>
      <c r="E206" s="98"/>
      <c r="F206" s="99" t="e">
        <f>VLOOKUP(D206,#REF!,17,FALSE)</f>
        <v>#REF!</v>
      </c>
      <c r="G206" s="100"/>
      <c r="H206" s="100"/>
      <c r="I206" s="101"/>
      <c r="J206" s="102" t="e">
        <f t="shared" si="53"/>
        <v>#REF!</v>
      </c>
      <c r="K206" s="103"/>
      <c r="L206" s="104"/>
      <c r="M206" s="105"/>
      <c r="N206" s="103">
        <v>0</v>
      </c>
      <c r="O206" s="106"/>
      <c r="P206" s="103">
        <v>0</v>
      </c>
      <c r="Q206" s="107">
        <f t="shared" si="33"/>
        <v>0</v>
      </c>
      <c r="R206" s="108">
        <v>0</v>
      </c>
      <c r="S206" s="119"/>
      <c r="T206" s="110">
        <f t="shared" si="40"/>
        <v>0</v>
      </c>
      <c r="U206" s="103"/>
      <c r="V206" s="112">
        <f t="shared" si="41"/>
        <v>0</v>
      </c>
      <c r="W206" s="112">
        <f t="shared" si="42"/>
        <v>0</v>
      </c>
      <c r="X206" s="113">
        <f t="shared" si="43"/>
        <v>0</v>
      </c>
      <c r="Y206" s="113">
        <v>0</v>
      </c>
      <c r="Z206" s="114">
        <v>0</v>
      </c>
      <c r="AA206" s="11">
        <f t="shared" si="44"/>
        <v>0</v>
      </c>
      <c r="AB206" s="115">
        <f t="shared" si="34"/>
        <v>0</v>
      </c>
      <c r="AC206" s="115" t="e">
        <f t="shared" si="35"/>
        <v>#REF!</v>
      </c>
      <c r="AD206" s="115">
        <f t="shared" si="36"/>
        <v>0</v>
      </c>
      <c r="AE206" s="11"/>
      <c r="AF206" s="115">
        <f t="shared" si="37"/>
        <v>0</v>
      </c>
      <c r="AG206" s="115">
        <f t="shared" si="38"/>
        <v>0</v>
      </c>
      <c r="AH206" s="115">
        <f t="shared" si="39"/>
        <v>0</v>
      </c>
      <c r="AJ206" s="11" t="e">
        <f t="shared" si="46"/>
        <v>#REF!</v>
      </c>
    </row>
    <row r="207" spans="1:36">
      <c r="A207" s="129" t="s">
        <v>154</v>
      </c>
      <c r="B207" s="129" t="s">
        <v>81</v>
      </c>
      <c r="C207" s="96"/>
      <c r="D207" s="120" t="s">
        <v>328</v>
      </c>
      <c r="E207" s="98"/>
      <c r="F207" s="99" t="e">
        <f>VLOOKUP(D207,#REF!,17,FALSE)</f>
        <v>#REF!</v>
      </c>
      <c r="G207" s="100"/>
      <c r="H207" s="100"/>
      <c r="I207" s="101"/>
      <c r="J207" s="102" t="e">
        <f t="shared" si="53"/>
        <v>#REF!</v>
      </c>
      <c r="K207" s="103"/>
      <c r="L207" s="104"/>
      <c r="M207" s="105"/>
      <c r="N207" s="103">
        <v>0</v>
      </c>
      <c r="O207" s="106"/>
      <c r="P207" s="103">
        <v>0</v>
      </c>
      <c r="Q207" s="107">
        <f t="shared" ref="Q207:Q221" si="54">L207+M207</f>
        <v>0</v>
      </c>
      <c r="R207" s="108">
        <v>0</v>
      </c>
      <c r="S207" s="119"/>
      <c r="T207" s="110">
        <f t="shared" si="40"/>
        <v>0</v>
      </c>
      <c r="U207" s="103"/>
      <c r="V207" s="112">
        <f t="shared" si="41"/>
        <v>0</v>
      </c>
      <c r="W207" s="112">
        <f t="shared" si="42"/>
        <v>0</v>
      </c>
      <c r="X207" s="113">
        <f t="shared" si="43"/>
        <v>0</v>
      </c>
      <c r="Y207" s="113">
        <v>0</v>
      </c>
      <c r="Z207" s="114">
        <v>0</v>
      </c>
      <c r="AA207" s="11">
        <f t="shared" si="44"/>
        <v>0</v>
      </c>
      <c r="AB207" s="115">
        <f t="shared" si="34"/>
        <v>0</v>
      </c>
      <c r="AC207" s="115">
        <f t="shared" si="35"/>
        <v>0</v>
      </c>
      <c r="AD207" s="115" t="e">
        <f t="shared" si="36"/>
        <v>#REF!</v>
      </c>
      <c r="AE207" s="11"/>
      <c r="AF207" s="115">
        <f t="shared" si="37"/>
        <v>0</v>
      </c>
      <c r="AG207" s="115">
        <f t="shared" si="38"/>
        <v>0</v>
      </c>
      <c r="AH207" s="115">
        <f t="shared" si="39"/>
        <v>0</v>
      </c>
      <c r="AJ207" s="11" t="e">
        <f t="shared" si="46"/>
        <v>#REF!</v>
      </c>
    </row>
    <row r="208" spans="1:36">
      <c r="A208" s="116"/>
      <c r="B208" s="116" t="s">
        <v>49</v>
      </c>
      <c r="C208" s="122"/>
      <c r="D208" s="120" t="s">
        <v>330</v>
      </c>
      <c r="E208" s="98"/>
      <c r="F208" s="99" t="e">
        <f>VLOOKUP(D208,#REF!,17,FALSE)</f>
        <v>#REF!</v>
      </c>
      <c r="G208" s="100"/>
      <c r="H208" s="100"/>
      <c r="I208" s="101"/>
      <c r="J208" s="102" t="e">
        <f t="shared" si="53"/>
        <v>#REF!</v>
      </c>
      <c r="K208" s="103"/>
      <c r="L208" s="104"/>
      <c r="M208" s="105"/>
      <c r="N208" s="103">
        <v>0</v>
      </c>
      <c r="O208" s="106"/>
      <c r="P208" s="103">
        <v>0</v>
      </c>
      <c r="Q208" s="107">
        <f t="shared" si="54"/>
        <v>0</v>
      </c>
      <c r="R208" s="108">
        <v>0</v>
      </c>
      <c r="S208" s="119"/>
      <c r="T208" s="110">
        <f t="shared" si="40"/>
        <v>0</v>
      </c>
      <c r="U208" s="103"/>
      <c r="V208" s="112">
        <f t="shared" si="41"/>
        <v>0</v>
      </c>
      <c r="W208" s="112">
        <f t="shared" si="42"/>
        <v>0</v>
      </c>
      <c r="X208" s="113">
        <f t="shared" si="43"/>
        <v>0</v>
      </c>
      <c r="Y208" s="113">
        <v>0</v>
      </c>
      <c r="Z208" s="114">
        <v>0</v>
      </c>
      <c r="AA208" s="11">
        <f t="shared" si="44"/>
        <v>0</v>
      </c>
      <c r="AB208" s="115" t="e">
        <f t="shared" si="34"/>
        <v>#REF!</v>
      </c>
      <c r="AC208" s="115">
        <f t="shared" si="35"/>
        <v>0</v>
      </c>
      <c r="AD208" s="115">
        <f t="shared" si="36"/>
        <v>0</v>
      </c>
      <c r="AE208" s="11"/>
      <c r="AF208" s="115">
        <f t="shared" si="37"/>
        <v>0</v>
      </c>
      <c r="AG208" s="115">
        <f t="shared" si="38"/>
        <v>0</v>
      </c>
      <c r="AH208" s="115">
        <f t="shared" si="39"/>
        <v>0</v>
      </c>
      <c r="AJ208" s="11" t="e">
        <f t="shared" si="46"/>
        <v>#REF!</v>
      </c>
    </row>
    <row r="209" spans="1:36">
      <c r="A209" s="116"/>
      <c r="B209" s="116" t="s">
        <v>49</v>
      </c>
      <c r="C209" s="122" t="s">
        <v>331</v>
      </c>
      <c r="D209" s="118" t="s">
        <v>332</v>
      </c>
      <c r="E209" s="98"/>
      <c r="F209" s="99" t="e">
        <f>VLOOKUP(D209,#REF!,17,FALSE)</f>
        <v>#REF!</v>
      </c>
      <c r="G209" s="100"/>
      <c r="H209" s="100"/>
      <c r="I209" s="101"/>
      <c r="J209" s="102" t="e">
        <f t="shared" si="53"/>
        <v>#REF!</v>
      </c>
      <c r="K209" s="103"/>
      <c r="L209" s="104"/>
      <c r="M209" s="105"/>
      <c r="N209" s="103">
        <v>0</v>
      </c>
      <c r="O209" s="106"/>
      <c r="P209" s="103">
        <v>0</v>
      </c>
      <c r="Q209" s="107">
        <f t="shared" si="54"/>
        <v>0</v>
      </c>
      <c r="R209" s="108">
        <v>0</v>
      </c>
      <c r="S209" s="119"/>
      <c r="T209" s="110">
        <f t="shared" si="40"/>
        <v>0</v>
      </c>
      <c r="U209" s="103"/>
      <c r="V209" s="112">
        <f t="shared" si="41"/>
        <v>0</v>
      </c>
      <c r="W209" s="112">
        <f t="shared" si="42"/>
        <v>0</v>
      </c>
      <c r="X209" s="113">
        <f t="shared" si="43"/>
        <v>0</v>
      </c>
      <c r="Y209" s="113">
        <v>0</v>
      </c>
      <c r="Z209" s="114">
        <v>0</v>
      </c>
      <c r="AA209" s="11">
        <f t="shared" si="44"/>
        <v>0</v>
      </c>
      <c r="AB209" s="115" t="e">
        <f t="shared" si="34"/>
        <v>#REF!</v>
      </c>
      <c r="AC209" s="115">
        <f t="shared" si="35"/>
        <v>0</v>
      </c>
      <c r="AD209" s="115">
        <f t="shared" si="36"/>
        <v>0</v>
      </c>
      <c r="AE209" s="11"/>
      <c r="AF209" s="115">
        <f t="shared" si="37"/>
        <v>0</v>
      </c>
      <c r="AG209" s="115">
        <f t="shared" si="38"/>
        <v>0</v>
      </c>
      <c r="AH209" s="115">
        <f t="shared" si="39"/>
        <v>0</v>
      </c>
      <c r="AJ209" s="11" t="e">
        <f t="shared" si="46"/>
        <v>#REF!</v>
      </c>
    </row>
    <row r="210" spans="1:36">
      <c r="A210" s="116"/>
      <c r="B210" s="116" t="s">
        <v>46</v>
      </c>
      <c r="C210" s="122" t="s">
        <v>331</v>
      </c>
      <c r="D210" s="118" t="s">
        <v>333</v>
      </c>
      <c r="E210" s="98"/>
      <c r="F210" s="99" t="e">
        <f>VLOOKUP(D210,#REF!,17,FALSE)</f>
        <v>#REF!</v>
      </c>
      <c r="G210" s="100"/>
      <c r="H210" s="100"/>
      <c r="I210" s="101"/>
      <c r="J210" s="102" t="e">
        <f t="shared" si="53"/>
        <v>#REF!</v>
      </c>
      <c r="K210" s="103"/>
      <c r="L210" s="104"/>
      <c r="M210" s="105"/>
      <c r="N210" s="103">
        <v>0</v>
      </c>
      <c r="O210" s="106"/>
      <c r="P210" s="103">
        <v>0</v>
      </c>
      <c r="Q210" s="107">
        <f t="shared" si="54"/>
        <v>0</v>
      </c>
      <c r="R210" s="108">
        <v>0</v>
      </c>
      <c r="S210" s="119"/>
      <c r="T210" s="110">
        <f t="shared" ref="T210:T221" si="55">IF(R210="","",R210-Q210)</f>
        <v>0</v>
      </c>
      <c r="U210" s="103"/>
      <c r="V210" s="112">
        <f t="shared" si="41"/>
        <v>0</v>
      </c>
      <c r="W210" s="112">
        <f t="shared" si="42"/>
        <v>0</v>
      </c>
      <c r="X210" s="113">
        <f t="shared" si="43"/>
        <v>0</v>
      </c>
      <c r="Y210" s="113">
        <v>0</v>
      </c>
      <c r="Z210" s="114">
        <v>0</v>
      </c>
      <c r="AA210" s="11">
        <f t="shared" ref="AA210:AA221" si="56">(L210+M210)-(V210+W210+X210+Y210+Z210)</f>
        <v>0</v>
      </c>
      <c r="AB210" s="115">
        <f t="shared" ref="AB210:AB221" si="57">IF(B210="D",J210,0)</f>
        <v>0</v>
      </c>
      <c r="AC210" s="115" t="e">
        <f t="shared" ref="AC210:AC221" si="58">IF(B210="M",J210,0)</f>
        <v>#REF!</v>
      </c>
      <c r="AD210" s="115">
        <f t="shared" ref="AD210:AD221" si="59">IF(B210="V",J210,0)</f>
        <v>0</v>
      </c>
      <c r="AE210" s="11"/>
      <c r="AF210" s="115">
        <f t="shared" ref="AF210:AF221" si="60">IF(B210="D",Q210,0)</f>
        <v>0</v>
      </c>
      <c r="AG210" s="115">
        <f t="shared" ref="AG210:AG221" si="61">IF(B210="M",Q210,0)</f>
        <v>0</v>
      </c>
      <c r="AH210" s="115">
        <f t="shared" ref="AH210:AH221" si="62">IF(B210="V",Q210,0)</f>
        <v>0</v>
      </c>
      <c r="AJ210" s="11" t="e">
        <f t="shared" si="46"/>
        <v>#REF!</v>
      </c>
    </row>
    <row r="211" spans="1:36">
      <c r="A211" s="116"/>
      <c r="B211" s="116" t="s">
        <v>46</v>
      </c>
      <c r="C211" s="122"/>
      <c r="D211" s="118" t="s">
        <v>334</v>
      </c>
      <c r="E211" s="98"/>
      <c r="F211" s="99" t="e">
        <f>VLOOKUP(D211,#REF!,17,FALSE)</f>
        <v>#REF!</v>
      </c>
      <c r="G211" s="100"/>
      <c r="H211" s="100"/>
      <c r="I211" s="101"/>
      <c r="J211" s="102" t="e">
        <f t="shared" si="53"/>
        <v>#REF!</v>
      </c>
      <c r="K211" s="103"/>
      <c r="L211" s="104"/>
      <c r="M211" s="105"/>
      <c r="N211" s="103">
        <v>0</v>
      </c>
      <c r="O211" s="106"/>
      <c r="P211" s="103">
        <v>0</v>
      </c>
      <c r="Q211" s="107">
        <f t="shared" si="54"/>
        <v>0</v>
      </c>
      <c r="R211" s="108">
        <v>0</v>
      </c>
      <c r="S211" s="119"/>
      <c r="T211" s="110">
        <f t="shared" si="55"/>
        <v>0</v>
      </c>
      <c r="U211" s="103"/>
      <c r="V211" s="112">
        <f t="shared" ref="V211:V221" si="63">IF(B211="D",Q211,0)</f>
        <v>0</v>
      </c>
      <c r="W211" s="112">
        <f t="shared" ref="W211:W221" si="64">IF(B211="M",Q211,0)</f>
        <v>0</v>
      </c>
      <c r="X211" s="113">
        <f t="shared" ref="X211:X221" si="65">IF(B211="V",Q211,0)</f>
        <v>0</v>
      </c>
      <c r="Y211" s="113">
        <v>0</v>
      </c>
      <c r="Z211" s="114">
        <v>0</v>
      </c>
      <c r="AA211" s="11">
        <f t="shared" si="56"/>
        <v>0</v>
      </c>
      <c r="AB211" s="115">
        <f t="shared" si="57"/>
        <v>0</v>
      </c>
      <c r="AC211" s="115" t="e">
        <f t="shared" si="58"/>
        <v>#REF!</v>
      </c>
      <c r="AD211" s="115">
        <f t="shared" si="59"/>
        <v>0</v>
      </c>
      <c r="AE211" s="11"/>
      <c r="AF211" s="115">
        <f t="shared" si="60"/>
        <v>0</v>
      </c>
      <c r="AG211" s="115">
        <f t="shared" si="61"/>
        <v>0</v>
      </c>
      <c r="AH211" s="115">
        <f t="shared" si="62"/>
        <v>0</v>
      </c>
      <c r="AJ211" s="11" t="e">
        <f t="shared" ref="AJ211:AJ221" si="66">SUM(AB211:AH211)</f>
        <v>#REF!</v>
      </c>
    </row>
    <row r="212" spans="1:36">
      <c r="A212" s="116"/>
      <c r="B212" s="116" t="s">
        <v>46</v>
      </c>
      <c r="C212" s="122"/>
      <c r="D212" s="118" t="s">
        <v>335</v>
      </c>
      <c r="E212" s="98"/>
      <c r="F212" s="99" t="e">
        <f>VLOOKUP(D212,#REF!,17,FALSE)</f>
        <v>#REF!</v>
      </c>
      <c r="G212" s="100"/>
      <c r="H212" s="100"/>
      <c r="I212" s="101"/>
      <c r="J212" s="102" t="e">
        <f t="shared" si="53"/>
        <v>#REF!</v>
      </c>
      <c r="K212" s="103"/>
      <c r="L212" s="104"/>
      <c r="M212" s="105"/>
      <c r="N212" s="103">
        <v>0</v>
      </c>
      <c r="O212" s="106"/>
      <c r="P212" s="103">
        <v>0</v>
      </c>
      <c r="Q212" s="107">
        <f t="shared" si="54"/>
        <v>0</v>
      </c>
      <c r="R212" s="108">
        <v>0</v>
      </c>
      <c r="S212" s="119"/>
      <c r="T212" s="110">
        <f t="shared" si="55"/>
        <v>0</v>
      </c>
      <c r="U212" s="103"/>
      <c r="V212" s="112">
        <f t="shared" si="63"/>
        <v>0</v>
      </c>
      <c r="W212" s="112">
        <f t="shared" si="64"/>
        <v>0</v>
      </c>
      <c r="X212" s="113">
        <f t="shared" si="65"/>
        <v>0</v>
      </c>
      <c r="Y212" s="113">
        <v>0</v>
      </c>
      <c r="Z212" s="114">
        <v>0</v>
      </c>
      <c r="AA212" s="11">
        <f t="shared" si="56"/>
        <v>0</v>
      </c>
      <c r="AB212" s="115">
        <f t="shared" si="57"/>
        <v>0</v>
      </c>
      <c r="AC212" s="115" t="e">
        <f t="shared" si="58"/>
        <v>#REF!</v>
      </c>
      <c r="AD212" s="115">
        <f t="shared" si="59"/>
        <v>0</v>
      </c>
      <c r="AE212" s="11"/>
      <c r="AF212" s="115">
        <f t="shared" si="60"/>
        <v>0</v>
      </c>
      <c r="AG212" s="115">
        <f t="shared" si="61"/>
        <v>0</v>
      </c>
      <c r="AH212" s="115">
        <f t="shared" si="62"/>
        <v>0</v>
      </c>
      <c r="AJ212" s="11" t="e">
        <f t="shared" si="66"/>
        <v>#REF!</v>
      </c>
    </row>
    <row r="213" spans="1:36">
      <c r="A213" s="116"/>
      <c r="B213" s="116" t="s">
        <v>46</v>
      </c>
      <c r="C213" s="122"/>
      <c r="D213" s="120" t="s">
        <v>336</v>
      </c>
      <c r="E213" s="98"/>
      <c r="F213" s="99" t="e">
        <f>VLOOKUP(D213,#REF!,17,FALSE)</f>
        <v>#REF!</v>
      </c>
      <c r="G213" s="100"/>
      <c r="H213" s="100"/>
      <c r="I213" s="101"/>
      <c r="J213" s="102" t="e">
        <f t="shared" si="53"/>
        <v>#REF!</v>
      </c>
      <c r="K213" s="103"/>
      <c r="L213" s="104"/>
      <c r="M213" s="105"/>
      <c r="N213" s="103">
        <v>0</v>
      </c>
      <c r="O213" s="106"/>
      <c r="P213" s="103">
        <v>0</v>
      </c>
      <c r="Q213" s="107">
        <f t="shared" si="54"/>
        <v>0</v>
      </c>
      <c r="R213" s="108">
        <v>0</v>
      </c>
      <c r="S213" s="119"/>
      <c r="T213" s="110">
        <f t="shared" si="55"/>
        <v>0</v>
      </c>
      <c r="U213" s="103"/>
      <c r="V213" s="112">
        <f t="shared" si="63"/>
        <v>0</v>
      </c>
      <c r="W213" s="112">
        <f t="shared" si="64"/>
        <v>0</v>
      </c>
      <c r="X213" s="113">
        <f t="shared" si="65"/>
        <v>0</v>
      </c>
      <c r="Y213" s="113">
        <v>0</v>
      </c>
      <c r="Z213" s="114">
        <v>0</v>
      </c>
      <c r="AA213" s="11">
        <f t="shared" si="56"/>
        <v>0</v>
      </c>
      <c r="AB213" s="115">
        <f t="shared" si="57"/>
        <v>0</v>
      </c>
      <c r="AC213" s="115" t="e">
        <f t="shared" si="58"/>
        <v>#REF!</v>
      </c>
      <c r="AD213" s="115">
        <f t="shared" si="59"/>
        <v>0</v>
      </c>
      <c r="AE213" s="11"/>
      <c r="AF213" s="115">
        <f t="shared" si="60"/>
        <v>0</v>
      </c>
      <c r="AG213" s="115">
        <f t="shared" si="61"/>
        <v>0</v>
      </c>
      <c r="AH213" s="115">
        <f t="shared" si="62"/>
        <v>0</v>
      </c>
      <c r="AJ213" s="11" t="e">
        <f t="shared" si="66"/>
        <v>#REF!</v>
      </c>
    </row>
    <row r="214" spans="1:36">
      <c r="A214" s="116"/>
      <c r="B214" s="116" t="s">
        <v>49</v>
      </c>
      <c r="C214" s="122"/>
      <c r="D214" s="120" t="s">
        <v>337</v>
      </c>
      <c r="E214" s="98"/>
      <c r="F214" s="99" t="e">
        <f>VLOOKUP(D214,#REF!,17,FALSE)</f>
        <v>#REF!</v>
      </c>
      <c r="G214" s="100"/>
      <c r="H214" s="100"/>
      <c r="I214" s="101"/>
      <c r="J214" s="102" t="e">
        <f t="shared" si="53"/>
        <v>#REF!</v>
      </c>
      <c r="K214" s="103"/>
      <c r="L214" s="104"/>
      <c r="M214" s="105"/>
      <c r="N214" s="103">
        <v>0</v>
      </c>
      <c r="O214" s="106"/>
      <c r="P214" s="103">
        <v>0</v>
      </c>
      <c r="Q214" s="107">
        <f t="shared" si="54"/>
        <v>0</v>
      </c>
      <c r="R214" s="108">
        <v>0</v>
      </c>
      <c r="S214" s="119"/>
      <c r="T214" s="110">
        <f t="shared" si="55"/>
        <v>0</v>
      </c>
      <c r="U214" s="103"/>
      <c r="V214" s="112">
        <f t="shared" si="63"/>
        <v>0</v>
      </c>
      <c r="W214" s="112">
        <f t="shared" si="64"/>
        <v>0</v>
      </c>
      <c r="X214" s="113">
        <f t="shared" si="65"/>
        <v>0</v>
      </c>
      <c r="Y214" s="113">
        <v>0</v>
      </c>
      <c r="Z214" s="114">
        <v>0</v>
      </c>
      <c r="AA214" s="11">
        <f t="shared" si="56"/>
        <v>0</v>
      </c>
      <c r="AB214" s="115" t="e">
        <f t="shared" si="57"/>
        <v>#REF!</v>
      </c>
      <c r="AC214" s="115">
        <f t="shared" si="58"/>
        <v>0</v>
      </c>
      <c r="AD214" s="115">
        <f t="shared" si="59"/>
        <v>0</v>
      </c>
      <c r="AE214" s="11"/>
      <c r="AF214" s="115">
        <f t="shared" si="60"/>
        <v>0</v>
      </c>
      <c r="AG214" s="115">
        <f t="shared" si="61"/>
        <v>0</v>
      </c>
      <c r="AH214" s="115">
        <f t="shared" si="62"/>
        <v>0</v>
      </c>
      <c r="AJ214" s="11" t="e">
        <f t="shared" si="66"/>
        <v>#REF!</v>
      </c>
    </row>
    <row r="215" spans="1:36">
      <c r="A215" s="116"/>
      <c r="B215" s="116" t="s">
        <v>46</v>
      </c>
      <c r="C215" s="122" t="s">
        <v>338</v>
      </c>
      <c r="D215" s="120" t="s">
        <v>339</v>
      </c>
      <c r="E215" s="98"/>
      <c r="F215" s="99" t="e">
        <f>VLOOKUP(D215,#REF!,17,FALSE)</f>
        <v>#REF!</v>
      </c>
      <c r="G215" s="100"/>
      <c r="H215" s="100"/>
      <c r="I215" s="101"/>
      <c r="J215" s="102" t="e">
        <f t="shared" si="53"/>
        <v>#REF!</v>
      </c>
      <c r="K215" s="103"/>
      <c r="L215" s="104"/>
      <c r="M215" s="105"/>
      <c r="N215" s="103">
        <v>0</v>
      </c>
      <c r="O215" s="106"/>
      <c r="P215" s="103">
        <v>0</v>
      </c>
      <c r="Q215" s="107">
        <f t="shared" si="54"/>
        <v>0</v>
      </c>
      <c r="R215" s="108">
        <v>0</v>
      </c>
      <c r="S215" s="119"/>
      <c r="T215" s="110">
        <f t="shared" si="55"/>
        <v>0</v>
      </c>
      <c r="U215" s="103"/>
      <c r="V215" s="112">
        <f t="shared" si="63"/>
        <v>0</v>
      </c>
      <c r="W215" s="112">
        <f t="shared" si="64"/>
        <v>0</v>
      </c>
      <c r="X215" s="113">
        <f t="shared" si="65"/>
        <v>0</v>
      </c>
      <c r="Y215" s="113">
        <v>0</v>
      </c>
      <c r="Z215" s="114">
        <v>0</v>
      </c>
      <c r="AA215" s="11">
        <f t="shared" si="56"/>
        <v>0</v>
      </c>
      <c r="AB215" s="115">
        <f t="shared" si="57"/>
        <v>0</v>
      </c>
      <c r="AC215" s="115" t="e">
        <f t="shared" si="58"/>
        <v>#REF!</v>
      </c>
      <c r="AD215" s="115">
        <f t="shared" si="59"/>
        <v>0</v>
      </c>
      <c r="AE215" s="11"/>
      <c r="AF215" s="115">
        <f t="shared" si="60"/>
        <v>0</v>
      </c>
      <c r="AG215" s="115">
        <f t="shared" si="61"/>
        <v>0</v>
      </c>
      <c r="AH215" s="115">
        <f t="shared" si="62"/>
        <v>0</v>
      </c>
      <c r="AJ215" s="11" t="e">
        <f t="shared" si="66"/>
        <v>#REF!</v>
      </c>
    </row>
    <row r="216" spans="1:36">
      <c r="A216" s="116" t="s">
        <v>340</v>
      </c>
      <c r="B216" s="116" t="s">
        <v>49</v>
      </c>
      <c r="C216" s="122"/>
      <c r="D216" s="120" t="s">
        <v>341</v>
      </c>
      <c r="E216" s="98"/>
      <c r="F216" s="99" t="e">
        <f>VLOOKUP(D216,#REF!,17,FALSE)</f>
        <v>#REF!</v>
      </c>
      <c r="G216" s="100"/>
      <c r="H216" s="100"/>
      <c r="I216" s="101"/>
      <c r="J216" s="102" t="e">
        <f t="shared" si="53"/>
        <v>#REF!</v>
      </c>
      <c r="K216" s="103"/>
      <c r="L216" s="104"/>
      <c r="M216" s="105">
        <v>8000</v>
      </c>
      <c r="N216" s="103">
        <v>0</v>
      </c>
      <c r="O216" s="106"/>
      <c r="P216" s="103">
        <v>0</v>
      </c>
      <c r="Q216" s="107">
        <f t="shared" si="54"/>
        <v>8000</v>
      </c>
      <c r="R216" s="108">
        <v>0</v>
      </c>
      <c r="S216" s="119"/>
      <c r="T216" s="110">
        <f t="shared" si="55"/>
        <v>-8000</v>
      </c>
      <c r="U216" s="103"/>
      <c r="V216" s="112">
        <f t="shared" si="63"/>
        <v>8000</v>
      </c>
      <c r="W216" s="112">
        <f t="shared" si="64"/>
        <v>0</v>
      </c>
      <c r="X216" s="113">
        <f t="shared" si="65"/>
        <v>0</v>
      </c>
      <c r="Y216" s="113">
        <v>0</v>
      </c>
      <c r="Z216" s="114">
        <v>0</v>
      </c>
      <c r="AA216" s="11">
        <f t="shared" si="56"/>
        <v>0</v>
      </c>
      <c r="AB216" s="115" t="e">
        <f t="shared" si="57"/>
        <v>#REF!</v>
      </c>
      <c r="AC216" s="115">
        <f t="shared" si="58"/>
        <v>0</v>
      </c>
      <c r="AD216" s="115">
        <f t="shared" si="59"/>
        <v>0</v>
      </c>
      <c r="AE216" s="11"/>
      <c r="AF216" s="115">
        <f t="shared" si="60"/>
        <v>8000</v>
      </c>
      <c r="AG216" s="115">
        <f t="shared" si="61"/>
        <v>0</v>
      </c>
      <c r="AH216" s="115">
        <f t="shared" si="62"/>
        <v>0</v>
      </c>
      <c r="AJ216" s="11" t="e">
        <f t="shared" si="66"/>
        <v>#REF!</v>
      </c>
    </row>
    <row r="217" spans="1:36">
      <c r="A217" s="116"/>
      <c r="B217" s="116" t="s">
        <v>49</v>
      </c>
      <c r="C217" s="122" t="s">
        <v>342</v>
      </c>
      <c r="D217" s="120" t="s">
        <v>343</v>
      </c>
      <c r="E217" s="98"/>
      <c r="F217" s="99" t="e">
        <f>VLOOKUP(D217,#REF!,17,FALSE)</f>
        <v>#REF!</v>
      </c>
      <c r="G217" s="100"/>
      <c r="H217" s="100"/>
      <c r="I217" s="101"/>
      <c r="J217" s="102" t="e">
        <f t="shared" si="53"/>
        <v>#REF!</v>
      </c>
      <c r="K217" s="103"/>
      <c r="L217" s="104"/>
      <c r="M217" s="105"/>
      <c r="N217" s="103">
        <v>0</v>
      </c>
      <c r="O217" s="106"/>
      <c r="P217" s="103">
        <v>0</v>
      </c>
      <c r="Q217" s="107">
        <f t="shared" si="54"/>
        <v>0</v>
      </c>
      <c r="R217" s="108">
        <v>192.27</v>
      </c>
      <c r="S217" s="119"/>
      <c r="T217" s="110">
        <f t="shared" si="55"/>
        <v>192.27</v>
      </c>
      <c r="U217" s="103"/>
      <c r="V217" s="112">
        <f t="shared" si="63"/>
        <v>0</v>
      </c>
      <c r="W217" s="112">
        <f t="shared" si="64"/>
        <v>0</v>
      </c>
      <c r="X217" s="113">
        <f t="shared" si="65"/>
        <v>0</v>
      </c>
      <c r="Y217" s="113">
        <v>0</v>
      </c>
      <c r="Z217" s="114">
        <v>0</v>
      </c>
      <c r="AA217" s="11">
        <f t="shared" si="56"/>
        <v>0</v>
      </c>
      <c r="AB217" s="115" t="e">
        <f t="shared" si="57"/>
        <v>#REF!</v>
      </c>
      <c r="AC217" s="115">
        <f t="shared" si="58"/>
        <v>0</v>
      </c>
      <c r="AD217" s="115">
        <f t="shared" si="59"/>
        <v>0</v>
      </c>
      <c r="AE217" s="11"/>
      <c r="AF217" s="115">
        <f t="shared" si="60"/>
        <v>0</v>
      </c>
      <c r="AG217" s="115">
        <f t="shared" si="61"/>
        <v>0</v>
      </c>
      <c r="AH217" s="115">
        <f t="shared" si="62"/>
        <v>0</v>
      </c>
      <c r="AJ217" s="11" t="e">
        <f t="shared" si="66"/>
        <v>#REF!</v>
      </c>
    </row>
    <row r="218" spans="1:36">
      <c r="A218" s="129"/>
      <c r="B218" s="129" t="s">
        <v>49</v>
      </c>
      <c r="C218" s="96"/>
      <c r="D218" s="120" t="s">
        <v>434</v>
      </c>
      <c r="E218" s="98"/>
      <c r="F218" s="99" t="e">
        <f>VLOOKUP(D218,#REF!,17,FALSE)</f>
        <v>#REF!</v>
      </c>
      <c r="G218" s="100"/>
      <c r="H218" s="100"/>
      <c r="I218" s="101"/>
      <c r="J218" s="102" t="e">
        <f t="shared" si="53"/>
        <v>#REF!</v>
      </c>
      <c r="K218" s="103"/>
      <c r="L218" s="104"/>
      <c r="M218" s="105"/>
      <c r="N218" s="103">
        <v>0</v>
      </c>
      <c r="O218" s="106"/>
      <c r="P218" s="103">
        <v>0</v>
      </c>
      <c r="Q218" s="107">
        <f t="shared" si="54"/>
        <v>0</v>
      </c>
      <c r="R218" s="108">
        <v>0</v>
      </c>
      <c r="S218" s="119"/>
      <c r="T218" s="110">
        <f t="shared" si="55"/>
        <v>0</v>
      </c>
      <c r="U218" s="103"/>
      <c r="V218" s="112">
        <f t="shared" si="63"/>
        <v>0</v>
      </c>
      <c r="W218" s="112">
        <f t="shared" si="64"/>
        <v>0</v>
      </c>
      <c r="X218" s="113">
        <f t="shared" si="65"/>
        <v>0</v>
      </c>
      <c r="Y218" s="113">
        <v>0</v>
      </c>
      <c r="Z218" s="114">
        <v>0</v>
      </c>
      <c r="AA218" s="11">
        <f t="shared" si="56"/>
        <v>0</v>
      </c>
      <c r="AB218" s="115" t="e">
        <f t="shared" si="57"/>
        <v>#REF!</v>
      </c>
      <c r="AC218" s="115">
        <f t="shared" si="58"/>
        <v>0</v>
      </c>
      <c r="AD218" s="115">
        <f t="shared" si="59"/>
        <v>0</v>
      </c>
      <c r="AE218" s="11"/>
      <c r="AF218" s="115">
        <f t="shared" si="60"/>
        <v>0</v>
      </c>
      <c r="AG218" s="115">
        <f t="shared" si="61"/>
        <v>0</v>
      </c>
      <c r="AH218" s="115">
        <f t="shared" si="62"/>
        <v>0</v>
      </c>
      <c r="AJ218" s="11" t="e">
        <f t="shared" si="66"/>
        <v>#REF!</v>
      </c>
    </row>
    <row r="219" spans="1:36">
      <c r="A219" s="129"/>
      <c r="B219" s="129" t="s">
        <v>81</v>
      </c>
      <c r="C219" s="96"/>
      <c r="D219" s="120" t="s">
        <v>345</v>
      </c>
      <c r="E219" s="98"/>
      <c r="F219" s="99" t="e">
        <f>VLOOKUP(D219,#REF!,17,FALSE)</f>
        <v>#REF!</v>
      </c>
      <c r="G219" s="100"/>
      <c r="H219" s="100"/>
      <c r="I219" s="101"/>
      <c r="J219" s="102" t="e">
        <f t="shared" si="53"/>
        <v>#REF!</v>
      </c>
      <c r="K219" s="103"/>
      <c r="L219" s="104"/>
      <c r="M219" s="105"/>
      <c r="N219" s="103">
        <v>0</v>
      </c>
      <c r="O219" s="106"/>
      <c r="P219" s="103">
        <v>0</v>
      </c>
      <c r="Q219" s="107">
        <f t="shared" si="54"/>
        <v>0</v>
      </c>
      <c r="R219" s="108">
        <f>664.03+370.19+261.85+1290.5</f>
        <v>2586.5700000000002</v>
      </c>
      <c r="S219" s="119"/>
      <c r="T219" s="110">
        <f t="shared" si="55"/>
        <v>2586.5700000000002</v>
      </c>
      <c r="U219" s="103"/>
      <c r="V219" s="112">
        <f t="shared" si="63"/>
        <v>0</v>
      </c>
      <c r="W219" s="112">
        <f t="shared" si="64"/>
        <v>0</v>
      </c>
      <c r="X219" s="113">
        <f t="shared" si="65"/>
        <v>0</v>
      </c>
      <c r="Y219" s="113">
        <v>0</v>
      </c>
      <c r="Z219" s="114">
        <v>0</v>
      </c>
      <c r="AA219" s="11">
        <f t="shared" si="56"/>
        <v>0</v>
      </c>
      <c r="AB219" s="115">
        <f t="shared" si="57"/>
        <v>0</v>
      </c>
      <c r="AC219" s="115">
        <f t="shared" si="58"/>
        <v>0</v>
      </c>
      <c r="AD219" s="115" t="e">
        <f t="shared" si="59"/>
        <v>#REF!</v>
      </c>
      <c r="AE219" s="11"/>
      <c r="AF219" s="115">
        <f t="shared" si="60"/>
        <v>0</v>
      </c>
      <c r="AG219" s="115">
        <f t="shared" si="61"/>
        <v>0</v>
      </c>
      <c r="AH219" s="115">
        <f t="shared" si="62"/>
        <v>0</v>
      </c>
      <c r="AJ219" s="11" t="e">
        <f t="shared" si="66"/>
        <v>#REF!</v>
      </c>
    </row>
    <row r="220" spans="1:36">
      <c r="A220" s="129"/>
      <c r="B220" s="129" t="s">
        <v>81</v>
      </c>
      <c r="C220" s="151"/>
      <c r="D220" s="152" t="s">
        <v>346</v>
      </c>
      <c r="E220" s="98"/>
      <c r="F220" s="99" t="e">
        <f>VLOOKUP(D220,#REF!,17,FALSE)</f>
        <v>#REF!</v>
      </c>
      <c r="G220" s="100"/>
      <c r="H220" s="100"/>
      <c r="I220" s="101"/>
      <c r="J220" s="102" t="e">
        <f t="shared" si="53"/>
        <v>#REF!</v>
      </c>
      <c r="K220" s="103"/>
      <c r="L220" s="104"/>
      <c r="M220" s="105"/>
      <c r="N220" s="103">
        <v>0</v>
      </c>
      <c r="O220" s="106"/>
      <c r="P220" s="103">
        <v>0</v>
      </c>
      <c r="Q220" s="107">
        <f t="shared" si="54"/>
        <v>0</v>
      </c>
      <c r="R220" s="108">
        <v>0</v>
      </c>
      <c r="S220" s="119"/>
      <c r="T220" s="110">
        <f t="shared" si="55"/>
        <v>0</v>
      </c>
      <c r="U220" s="103"/>
      <c r="V220" s="112">
        <f t="shared" si="63"/>
        <v>0</v>
      </c>
      <c r="W220" s="112">
        <f t="shared" si="64"/>
        <v>0</v>
      </c>
      <c r="X220" s="113">
        <f t="shared" si="65"/>
        <v>0</v>
      </c>
      <c r="Y220" s="113">
        <v>0</v>
      </c>
      <c r="Z220" s="114">
        <v>0</v>
      </c>
      <c r="AA220" s="11">
        <f t="shared" si="56"/>
        <v>0</v>
      </c>
      <c r="AB220" s="115">
        <f t="shared" si="57"/>
        <v>0</v>
      </c>
      <c r="AC220" s="115">
        <f t="shared" si="58"/>
        <v>0</v>
      </c>
      <c r="AD220" s="115" t="e">
        <f t="shared" si="59"/>
        <v>#REF!</v>
      </c>
      <c r="AE220" s="11"/>
      <c r="AF220" s="115">
        <f t="shared" si="60"/>
        <v>0</v>
      </c>
      <c r="AG220" s="115">
        <f t="shared" si="61"/>
        <v>0</v>
      </c>
      <c r="AH220" s="115">
        <f t="shared" si="62"/>
        <v>0</v>
      </c>
      <c r="AJ220" s="11" t="e">
        <f t="shared" si="66"/>
        <v>#REF!</v>
      </c>
    </row>
    <row r="221" spans="1:36" s="9" customFormat="1" ht="13" thickBot="1">
      <c r="A221" s="129"/>
      <c r="B221" s="129" t="s">
        <v>49</v>
      </c>
      <c r="C221" s="96"/>
      <c r="D221" s="120" t="s">
        <v>348</v>
      </c>
      <c r="E221" s="98"/>
      <c r="F221" s="99" t="e">
        <f>VLOOKUP(D221,#REF!,17,FALSE)</f>
        <v>#REF!</v>
      </c>
      <c r="G221" s="100"/>
      <c r="H221" s="100"/>
      <c r="I221" s="101"/>
      <c r="J221" s="102" t="e">
        <f t="shared" si="53"/>
        <v>#REF!</v>
      </c>
      <c r="K221" s="103"/>
      <c r="L221" s="104"/>
      <c r="M221" s="105"/>
      <c r="N221" s="103">
        <v>0</v>
      </c>
      <c r="O221" s="106"/>
      <c r="P221" s="103">
        <v>0</v>
      </c>
      <c r="Q221" s="107">
        <f t="shared" si="54"/>
        <v>0</v>
      </c>
      <c r="R221" s="108">
        <v>0</v>
      </c>
      <c r="S221" s="119"/>
      <c r="T221" s="110">
        <f t="shared" si="55"/>
        <v>0</v>
      </c>
      <c r="U221" s="103"/>
      <c r="V221" s="112">
        <f t="shared" si="63"/>
        <v>0</v>
      </c>
      <c r="W221" s="112">
        <f t="shared" si="64"/>
        <v>0</v>
      </c>
      <c r="X221" s="113">
        <f t="shared" si="65"/>
        <v>0</v>
      </c>
      <c r="Y221" s="113">
        <v>0</v>
      </c>
      <c r="Z221" s="114">
        <v>0</v>
      </c>
      <c r="AA221" s="11">
        <f t="shared" si="56"/>
        <v>0</v>
      </c>
      <c r="AB221" s="115" t="e">
        <f t="shared" si="57"/>
        <v>#REF!</v>
      </c>
      <c r="AC221" s="115">
        <f t="shared" si="58"/>
        <v>0</v>
      </c>
      <c r="AD221" s="115">
        <f t="shared" si="59"/>
        <v>0</v>
      </c>
      <c r="AE221" s="11"/>
      <c r="AF221" s="115">
        <f t="shared" si="60"/>
        <v>0</v>
      </c>
      <c r="AG221" s="115">
        <f t="shared" si="61"/>
        <v>0</v>
      </c>
      <c r="AH221" s="115">
        <f t="shared" si="62"/>
        <v>0</v>
      </c>
      <c r="AJ221" s="11" t="e">
        <f t="shared" si="66"/>
        <v>#REF!</v>
      </c>
    </row>
    <row r="222" spans="1:36" ht="13" thickBot="1">
      <c r="A222" s="153"/>
      <c r="B222" s="154"/>
      <c r="C222" s="155"/>
      <c r="D222" s="156" t="s">
        <v>349</v>
      </c>
      <c r="E222" s="157">
        <f t="shared" ref="E222:J222" si="67">SUM(E16:E221)</f>
        <v>254644.07</v>
      </c>
      <c r="F222" s="157" t="e">
        <f t="shared" si="67"/>
        <v>#REF!</v>
      </c>
      <c r="G222" s="157">
        <f t="shared" si="67"/>
        <v>0</v>
      </c>
      <c r="H222" s="157">
        <f t="shared" si="67"/>
        <v>0</v>
      </c>
      <c r="I222" s="157">
        <f t="shared" si="67"/>
        <v>4296656.1199999992</v>
      </c>
      <c r="J222" s="157" t="e">
        <f t="shared" si="67"/>
        <v>#REF!</v>
      </c>
      <c r="K222" s="157"/>
      <c r="L222" s="157">
        <f>SUM(L16:L221)</f>
        <v>383008.16000000003</v>
      </c>
      <c r="M222" s="157">
        <f>SUM(M16:M221)</f>
        <v>2818500</v>
      </c>
      <c r="N222" s="157">
        <f>SUM(N16:N221)</f>
        <v>0</v>
      </c>
      <c r="O222" s="158">
        <f>SUM(O16:O221)</f>
        <v>0</v>
      </c>
      <c r="P222" s="159">
        <f>SUM(P17:P221)</f>
        <v>0</v>
      </c>
      <c r="Q222" s="158">
        <f>SUM(Q16:Q221)</f>
        <v>3201508.16</v>
      </c>
      <c r="R222" s="158">
        <f>SUM(R16:R221)</f>
        <v>2769026.9514920004</v>
      </c>
      <c r="S222" s="160"/>
      <c r="T222" s="158">
        <f>SUM(T16:T221)</f>
        <v>-432481.20850800007</v>
      </c>
      <c r="U222" s="103"/>
      <c r="V222" s="161">
        <f>SUM(V16:V221)</f>
        <v>2748672.7</v>
      </c>
      <c r="W222" s="161">
        <f>SUM(W16:W221)</f>
        <v>378000</v>
      </c>
      <c r="X222" s="161">
        <f>SUM(X16:X221)</f>
        <v>74835.460000000006</v>
      </c>
      <c r="Y222" s="161">
        <f>SUM(Y16:Y221)</f>
        <v>0</v>
      </c>
      <c r="Z222" s="161">
        <f>SUM(Z16:Z221)</f>
        <v>0</v>
      </c>
      <c r="AA222" s="11"/>
      <c r="AB222" s="161" t="e">
        <f>SUM(AB16:AB221)</f>
        <v>#REF!</v>
      </c>
      <c r="AC222" s="161" t="e">
        <f>SUM(AC16:AC221)</f>
        <v>#REF!</v>
      </c>
      <c r="AD222" s="161" t="e">
        <f>SUM(AD16:AD221)</f>
        <v>#REF!</v>
      </c>
      <c r="AE222" s="11"/>
      <c r="AF222" s="161">
        <f>SUM(AF16:AF221)</f>
        <v>2748672.7</v>
      </c>
      <c r="AG222" s="161">
        <f>SUM(AG16:AG221)</f>
        <v>378000</v>
      </c>
      <c r="AH222" s="161">
        <f>SUM(AH16:AH221)</f>
        <v>74835.460000000006</v>
      </c>
    </row>
    <row r="223" spans="1:36" ht="13" thickBot="1">
      <c r="A223" s="162"/>
      <c r="B223" s="162"/>
      <c r="C223" s="163"/>
      <c r="D223" s="164"/>
      <c r="E223" s="165" t="s">
        <v>350</v>
      </c>
      <c r="F223" s="166" t="e">
        <f>F222+E222</f>
        <v>#REF!</v>
      </c>
      <c r="G223" s="167"/>
      <c r="H223" s="167" t="s">
        <v>351</v>
      </c>
      <c r="I223" s="167">
        <f>I222+H222+G222</f>
        <v>4296656.1199999992</v>
      </c>
      <c r="J223" s="168"/>
      <c r="K223" s="167"/>
      <c r="L223" s="167" t="s">
        <v>352</v>
      </c>
      <c r="M223" s="158">
        <f>M222+L222</f>
        <v>3201508.16</v>
      </c>
      <c r="N223" s="167"/>
      <c r="O223" s="169"/>
      <c r="P223" s="167"/>
      <c r="Q223" s="167"/>
      <c r="R223" s="167"/>
      <c r="S223" s="167"/>
      <c r="T223" s="167"/>
      <c r="U223" s="167"/>
      <c r="V223" s="170"/>
      <c r="W223" s="170"/>
      <c r="X223" s="170"/>
      <c r="Y223" s="170"/>
      <c r="Z223" s="171"/>
      <c r="AA223" s="11"/>
      <c r="AB223" s="172"/>
      <c r="AC223" s="172"/>
      <c r="AD223" s="172"/>
      <c r="AE223" s="11"/>
      <c r="AF223" s="11"/>
      <c r="AG223" s="11"/>
      <c r="AH223" s="11"/>
    </row>
    <row r="224" spans="1:36" ht="13" thickBot="1">
      <c r="A224" s="162"/>
      <c r="B224" s="162"/>
      <c r="C224" s="163"/>
      <c r="E224" s="173"/>
      <c r="F224" s="167"/>
      <c r="G224" s="167"/>
      <c r="H224" s="167"/>
      <c r="I224" s="167"/>
      <c r="J224" s="167"/>
      <c r="K224" s="167"/>
      <c r="L224" s="167"/>
      <c r="M224" s="174"/>
      <c r="N224" s="167"/>
      <c r="O224" s="167"/>
      <c r="P224" s="167"/>
      <c r="Q224" s="167"/>
      <c r="R224" s="167"/>
      <c r="S224" s="167"/>
      <c r="T224" s="167"/>
      <c r="U224" s="167"/>
      <c r="V224" s="175" t="s">
        <v>353</v>
      </c>
      <c r="W224" s="170"/>
      <c r="X224" s="170"/>
      <c r="Y224" s="170"/>
      <c r="Z224" s="171"/>
      <c r="AA224" s="17" t="s">
        <v>354</v>
      </c>
      <c r="AB224" s="170">
        <v>-20000</v>
      </c>
      <c r="AC224" s="170"/>
      <c r="AD224" s="170">
        <f>-SUM(AB224)</f>
        <v>20000</v>
      </c>
      <c r="AE224" s="11"/>
      <c r="AF224" s="172"/>
      <c r="AG224" s="172"/>
      <c r="AH224" s="172"/>
    </row>
    <row r="225" spans="4:36" ht="17" thickTop="1" thickBot="1">
      <c r="E225" s="177"/>
      <c r="F225" s="178"/>
      <c r="G225" s="179"/>
      <c r="H225" s="180"/>
      <c r="I225" s="180"/>
      <c r="J225" s="17"/>
      <c r="K225" s="8"/>
      <c r="L225" s="181"/>
      <c r="M225" s="181"/>
      <c r="N225" s="11"/>
      <c r="O225" s="182"/>
      <c r="P225" s="170"/>
      <c r="Q225" s="170"/>
      <c r="R225" s="62"/>
      <c r="S225" s="62"/>
      <c r="T225" s="62"/>
      <c r="U225" s="8"/>
      <c r="V225" s="183"/>
      <c r="W225" s="184"/>
      <c r="X225" s="185"/>
      <c r="Y225" s="185"/>
      <c r="Z225" s="186"/>
      <c r="AA225" s="17" t="s">
        <v>355</v>
      </c>
      <c r="AB225" s="170">
        <v>-122550.8</v>
      </c>
      <c r="AC225" s="170"/>
      <c r="AD225" s="170">
        <f>-SUM(AB225)</f>
        <v>122550.8</v>
      </c>
      <c r="AE225" s="11"/>
      <c r="AF225" s="11"/>
      <c r="AG225" s="11"/>
      <c r="AH225" s="11"/>
    </row>
    <row r="226" spans="4:36" ht="17" thickBot="1">
      <c r="E226" s="177"/>
      <c r="F226" s="178"/>
      <c r="G226" s="179"/>
      <c r="H226" s="180"/>
      <c r="J226" s="41" t="e">
        <f>J222</f>
        <v>#REF!</v>
      </c>
      <c r="K226" s="180" t="s">
        <v>435</v>
      </c>
      <c r="L226" s="8"/>
      <c r="M226" s="188"/>
      <c r="N226" s="11"/>
      <c r="O226" s="45"/>
      <c r="P226" s="171"/>
      <c r="Q226" s="170"/>
      <c r="R226" s="62"/>
      <c r="S226" s="62"/>
      <c r="T226" s="62"/>
      <c r="U226" s="8"/>
      <c r="V226" s="189"/>
      <c r="W226" s="190"/>
      <c r="X226" s="191" t="s">
        <v>357</v>
      </c>
      <c r="Y226" s="191" t="s">
        <v>358</v>
      </c>
      <c r="Z226" s="190"/>
      <c r="AA226" s="192" t="s">
        <v>359</v>
      </c>
      <c r="AB226" s="193" t="e">
        <f>SUM(AB222:AB225)</f>
        <v>#REF!</v>
      </c>
      <c r="AC226" s="193" t="e">
        <f>AC222</f>
        <v>#REF!</v>
      </c>
      <c r="AD226" s="193" t="e">
        <f>SUM(AD222:AD225)</f>
        <v>#REF!</v>
      </c>
      <c r="AE226" s="193"/>
      <c r="AF226" s="193">
        <f>AF222</f>
        <v>2748672.7</v>
      </c>
      <c r="AG226" s="193">
        <f>AG222</f>
        <v>378000</v>
      </c>
      <c r="AH226" s="194">
        <f>AH222</f>
        <v>74835.460000000006</v>
      </c>
      <c r="AJ226" s="11" t="e">
        <f>SUM(AJ17:AJ225)</f>
        <v>#REF!</v>
      </c>
    </row>
    <row r="227" spans="4:36" ht="15" thickBot="1">
      <c r="D227" s="195"/>
      <c r="E227" s="196"/>
      <c r="F227" s="178"/>
      <c r="G227" s="179"/>
      <c r="H227" s="197"/>
      <c r="J227" s="198"/>
      <c r="K227" s="199" t="s">
        <v>360</v>
      </c>
      <c r="L227" s="200"/>
      <c r="M227" s="182"/>
      <c r="N227" s="62"/>
      <c r="O227" s="45"/>
      <c r="P227" s="171"/>
      <c r="Q227" s="170"/>
      <c r="R227" s="62"/>
      <c r="S227" s="62"/>
      <c r="T227" s="62"/>
      <c r="U227" s="8"/>
      <c r="V227" s="201" t="s">
        <v>361</v>
      </c>
      <c r="W227" s="171" t="s">
        <v>362</v>
      </c>
      <c r="X227" s="171">
        <f>V222+W222+X222</f>
        <v>3201508.16</v>
      </c>
      <c r="Y227" s="171"/>
      <c r="Z227" s="202"/>
      <c r="AA227" s="203"/>
      <c r="AB227" s="11"/>
      <c r="AC227" s="11"/>
      <c r="AD227" s="11"/>
      <c r="AE227" s="11"/>
      <c r="AF227" s="11"/>
      <c r="AG227" s="11"/>
      <c r="AH227" s="11"/>
    </row>
    <row r="228" spans="4:36" ht="15" thickTop="1">
      <c r="D228" s="195"/>
      <c r="E228" s="177"/>
      <c r="F228" s="178"/>
      <c r="G228" s="179"/>
      <c r="H228" s="179" t="s">
        <v>363</v>
      </c>
      <c r="J228" s="49" t="e">
        <f>J227+J226</f>
        <v>#REF!</v>
      </c>
      <c r="K228" s="179" t="s">
        <v>364</v>
      </c>
      <c r="L228" s="200"/>
      <c r="M228" s="45"/>
      <c r="N228" s="171"/>
      <c r="O228" s="49"/>
      <c r="P228" s="171"/>
      <c r="Q228" s="170"/>
      <c r="R228" s="170"/>
      <c r="S228" s="170"/>
      <c r="T228" s="170"/>
      <c r="U228" s="8"/>
      <c r="V228" s="201"/>
      <c r="W228" s="171"/>
      <c r="X228" s="171"/>
      <c r="Y228" s="171"/>
      <c r="Z228" s="202"/>
      <c r="AA228" s="203"/>
      <c r="AB228" s="11"/>
      <c r="AC228" s="11"/>
      <c r="AD228" s="11" t="s">
        <v>349</v>
      </c>
      <c r="AE228" s="11"/>
      <c r="AF228" s="181" t="e">
        <f>SUM(AB226+AF226)</f>
        <v>#REF!</v>
      </c>
      <c r="AG228" s="181" t="e">
        <f t="shared" ref="AG228:AH228" si="68">SUM(AC226+AG226)</f>
        <v>#REF!</v>
      </c>
      <c r="AH228" s="181" t="e">
        <f t="shared" si="68"/>
        <v>#REF!</v>
      </c>
    </row>
    <row r="229" spans="4:36" ht="14">
      <c r="D229" s="195"/>
      <c r="E229" s="177"/>
      <c r="F229" s="178"/>
      <c r="G229" s="179"/>
      <c r="H229" s="179"/>
      <c r="J229" s="45"/>
      <c r="K229" s="179"/>
      <c r="L229" s="200"/>
      <c r="M229" s="171"/>
      <c r="N229" s="11"/>
      <c r="O229" s="170"/>
      <c r="P229" s="171"/>
      <c r="Q229" s="170"/>
      <c r="R229" s="170"/>
      <c r="S229" s="170"/>
      <c r="T229" s="170"/>
      <c r="U229" s="8"/>
      <c r="V229" s="201" t="s">
        <v>365</v>
      </c>
      <c r="W229" s="171" t="s">
        <v>366</v>
      </c>
      <c r="X229" s="171"/>
      <c r="Y229" s="171">
        <f>V222</f>
        <v>2748672.7</v>
      </c>
      <c r="Z229" s="202"/>
      <c r="AA229" s="11"/>
      <c r="AB229" s="286"/>
      <c r="AC229" s="11"/>
      <c r="AD229" s="11"/>
      <c r="AE229" s="11"/>
      <c r="AF229" s="181"/>
      <c r="AG229" s="181"/>
      <c r="AH229" s="181"/>
    </row>
    <row r="230" spans="4:36" ht="15" thickBot="1">
      <c r="D230" s="195" t="s">
        <v>368</v>
      </c>
      <c r="E230" s="177"/>
      <c r="F230" s="178"/>
      <c r="G230" s="179"/>
      <c r="H230" s="179"/>
      <c r="J230" s="207">
        <f>M223</f>
        <v>3201508.16</v>
      </c>
      <c r="K230" s="179" t="s">
        <v>436</v>
      </c>
      <c r="L230" s="208"/>
      <c r="M230" s="49"/>
      <c r="N230" s="11"/>
      <c r="O230" s="170"/>
      <c r="P230" s="171"/>
      <c r="Q230" s="170"/>
      <c r="R230" s="209"/>
      <c r="S230" s="170"/>
      <c r="T230" s="210"/>
      <c r="U230" s="8"/>
      <c r="V230" s="201"/>
      <c r="W230" s="171" t="s">
        <v>370</v>
      </c>
      <c r="X230" s="171"/>
      <c r="Y230" s="171">
        <f>Y222</f>
        <v>0</v>
      </c>
      <c r="Z230" s="202"/>
      <c r="AA230" s="11"/>
      <c r="AB230" s="11"/>
      <c r="AC230" s="11"/>
      <c r="AD230" s="11"/>
      <c r="AE230" s="11"/>
      <c r="AG230" s="181" t="e">
        <f>SUM(AF228:AH228)</f>
        <v>#REF!</v>
      </c>
      <c r="AH230" s="181"/>
    </row>
    <row r="231" spans="4:36" ht="16" thickTop="1" thickBot="1">
      <c r="D231" s="195"/>
      <c r="E231" s="177"/>
      <c r="F231" s="178"/>
      <c r="G231" s="179"/>
      <c r="H231" s="179"/>
      <c r="J231" s="49">
        <v>0</v>
      </c>
      <c r="K231" s="179"/>
      <c r="L231" s="200"/>
      <c r="M231" s="49"/>
      <c r="N231" s="11"/>
      <c r="O231" s="62"/>
      <c r="P231" s="11"/>
      <c r="Q231" s="170"/>
      <c r="R231" s="170"/>
      <c r="S231" s="170"/>
      <c r="T231" s="170"/>
      <c r="U231" s="8"/>
      <c r="V231" s="201"/>
      <c r="W231" s="171"/>
      <c r="X231" s="171"/>
      <c r="Y231" s="171"/>
      <c r="Z231" s="202"/>
      <c r="AA231" s="11"/>
      <c r="AB231" s="11"/>
      <c r="AC231" s="11"/>
      <c r="AD231" s="11"/>
      <c r="AE231" s="11"/>
    </row>
    <row r="232" spans="4:36" ht="15" thickBot="1">
      <c r="E232" s="177"/>
      <c r="F232" s="178"/>
      <c r="G232" s="179"/>
      <c r="H232" s="179"/>
      <c r="J232" s="214" t="e">
        <f>J226+J230</f>
        <v>#REF!</v>
      </c>
      <c r="K232" s="179" t="s">
        <v>437</v>
      </c>
      <c r="L232" s="200"/>
      <c r="M232" s="49"/>
      <c r="N232" s="11"/>
      <c r="O232" s="62"/>
      <c r="P232" s="11"/>
      <c r="Q232" s="170"/>
      <c r="R232" s="170"/>
      <c r="S232" s="170"/>
      <c r="T232" s="170"/>
      <c r="U232" s="8"/>
      <c r="V232" s="201" t="s">
        <v>373</v>
      </c>
      <c r="W232" s="171" t="s">
        <v>374</v>
      </c>
      <c r="X232" s="171"/>
      <c r="Y232" s="171">
        <f>W222</f>
        <v>378000</v>
      </c>
      <c r="Z232" s="202"/>
      <c r="AA232" s="11"/>
      <c r="AB232" s="11"/>
      <c r="AC232" s="11"/>
      <c r="AD232" s="11"/>
      <c r="AE232" s="11"/>
      <c r="AF232" s="215" t="s">
        <v>375</v>
      </c>
      <c r="AG232" s="11" t="e">
        <f>AG230-AH228</f>
        <v>#REF!</v>
      </c>
      <c r="AH232" s="11"/>
    </row>
    <row r="233" spans="4:36">
      <c r="E233" s="177"/>
      <c r="F233" s="178"/>
      <c r="G233" s="179"/>
      <c r="H233" s="179"/>
      <c r="J233" s="216"/>
      <c r="K233" s="179"/>
      <c r="L233" s="49"/>
      <c r="M233" s="217"/>
      <c r="N233" s="11"/>
      <c r="O233" s="62"/>
      <c r="P233" s="11"/>
      <c r="Q233" s="170"/>
      <c r="R233" s="170"/>
      <c r="S233" s="170"/>
      <c r="T233" s="170"/>
      <c r="U233" s="8"/>
      <c r="V233" s="218"/>
      <c r="W233" s="171" t="s">
        <v>376</v>
      </c>
      <c r="X233" s="171"/>
      <c r="Y233" s="171">
        <f>Z222</f>
        <v>0</v>
      </c>
      <c r="Z233" s="202"/>
      <c r="AA233" s="11"/>
      <c r="AB233" s="11"/>
      <c r="AC233" s="11"/>
      <c r="AD233" s="11"/>
      <c r="AE233" s="11"/>
      <c r="AF233" s="11"/>
      <c r="AG233" s="11"/>
      <c r="AH233" s="11"/>
    </row>
    <row r="234" spans="4:36">
      <c r="E234" s="177"/>
      <c r="F234" s="178"/>
      <c r="G234" s="179"/>
      <c r="H234" s="179"/>
      <c r="J234" s="219" t="e">
        <f>SUM(AB226:AH226)</f>
        <v>#REF!</v>
      </c>
      <c r="K234" s="179" t="s">
        <v>377</v>
      </c>
      <c r="L234" s="220"/>
      <c r="M234" s="216"/>
      <c r="N234" s="11"/>
      <c r="O234" s="62"/>
      <c r="P234" s="11"/>
      <c r="Q234" s="170"/>
      <c r="R234" s="170"/>
      <c r="S234" s="170"/>
      <c r="T234" s="170"/>
      <c r="U234" s="8"/>
      <c r="V234" s="218"/>
      <c r="W234" s="171"/>
      <c r="X234" s="171"/>
      <c r="Y234" s="171"/>
      <c r="Z234" s="202"/>
      <c r="AA234" s="11"/>
      <c r="AB234" s="11"/>
      <c r="AC234" s="11"/>
      <c r="AD234" s="11"/>
      <c r="AE234" s="11"/>
      <c r="AF234" s="11"/>
      <c r="AG234" s="11"/>
      <c r="AH234" s="11"/>
    </row>
    <row r="235" spans="4:36" ht="13" thickBot="1">
      <c r="E235" s="177"/>
      <c r="F235" s="178"/>
      <c r="G235" s="179"/>
      <c r="H235" s="179"/>
      <c r="J235" s="8"/>
      <c r="K235" s="179" t="s">
        <v>364</v>
      </c>
      <c r="L235" s="221"/>
      <c r="M235" s="222"/>
      <c r="N235" s="11"/>
      <c r="O235" s="62"/>
      <c r="P235" s="11"/>
      <c r="Q235" s="170"/>
      <c r="R235" s="170"/>
      <c r="S235" s="170"/>
      <c r="T235" s="170"/>
      <c r="U235" s="8"/>
      <c r="V235" s="201" t="s">
        <v>378</v>
      </c>
      <c r="W235" s="190" t="s">
        <v>379</v>
      </c>
      <c r="X235" s="190"/>
      <c r="Y235" s="190">
        <f>X222</f>
        <v>74835.460000000006</v>
      </c>
      <c r="Z235" s="223"/>
      <c r="AA235" s="11"/>
      <c r="AB235" s="11"/>
      <c r="AC235" s="11"/>
      <c r="AD235" s="11"/>
      <c r="AE235" s="11"/>
      <c r="AF235" s="11"/>
      <c r="AG235" s="11"/>
      <c r="AH235" s="11"/>
    </row>
    <row r="236" spans="4:36" ht="15" thickBot="1">
      <c r="E236" s="177"/>
      <c r="F236" s="178"/>
      <c r="G236" s="179"/>
      <c r="H236" s="179"/>
      <c r="J236" s="224"/>
      <c r="K236" s="179" t="s">
        <v>380</v>
      </c>
      <c r="L236" s="8"/>
      <c r="M236" s="8"/>
      <c r="N236" s="11"/>
      <c r="O236" s="62"/>
      <c r="P236" s="11"/>
      <c r="Q236" s="62"/>
      <c r="R236" s="62"/>
      <c r="S236" s="62"/>
      <c r="T236" s="62"/>
      <c r="U236" s="8"/>
      <c r="V236" s="225"/>
      <c r="W236" s="171"/>
      <c r="X236" s="45">
        <f>SUM(X227:X235)</f>
        <v>3201508.16</v>
      </c>
      <c r="Y236" s="45">
        <f>SUM(Y227:Y235)</f>
        <v>3201508.16</v>
      </c>
      <c r="Z236" s="202"/>
      <c r="AA236" s="11"/>
      <c r="AB236" s="11"/>
      <c r="AC236" s="11"/>
      <c r="AD236" s="11"/>
      <c r="AE236" s="11"/>
      <c r="AF236" s="11"/>
      <c r="AG236" s="11"/>
      <c r="AH236" s="11"/>
    </row>
    <row r="237" spans="4:36">
      <c r="E237" s="177"/>
      <c r="F237" s="178"/>
      <c r="G237" s="179"/>
      <c r="H237" s="179"/>
      <c r="I237" s="179"/>
      <c r="J237" s="8"/>
      <c r="K237" s="8"/>
      <c r="L237" s="8"/>
      <c r="M237" s="8"/>
      <c r="N237" s="11"/>
      <c r="O237" s="62"/>
      <c r="P237" s="11"/>
      <c r="Q237" s="62"/>
      <c r="R237" s="62"/>
      <c r="S237" s="62"/>
      <c r="T237" s="62"/>
      <c r="U237" s="8"/>
      <c r="V237" s="225"/>
      <c r="W237" s="171"/>
      <c r="X237" s="171"/>
      <c r="Y237" s="171"/>
      <c r="Z237" s="202"/>
      <c r="AA237" s="11"/>
      <c r="AB237" s="11"/>
      <c r="AC237" s="11"/>
      <c r="AD237" s="11"/>
      <c r="AE237" s="11"/>
      <c r="AF237" s="11"/>
      <c r="AG237" s="11"/>
      <c r="AH237" s="11"/>
    </row>
    <row r="238" spans="4:36" ht="13" thickBot="1">
      <c r="E238" s="177"/>
      <c r="F238" s="178"/>
      <c r="G238" s="179"/>
      <c r="H238" s="179"/>
      <c r="I238" s="179"/>
      <c r="J238" s="8"/>
      <c r="K238" s="8"/>
      <c r="L238" s="8"/>
      <c r="M238" s="8"/>
      <c r="N238" s="11"/>
      <c r="O238" s="62"/>
      <c r="P238" s="11"/>
      <c r="Q238" s="62"/>
      <c r="R238" s="62"/>
      <c r="S238" s="62"/>
      <c r="T238" s="62"/>
      <c r="U238" s="8"/>
      <c r="V238" s="227"/>
      <c r="W238" s="228"/>
      <c r="X238" s="228"/>
      <c r="Y238" s="228"/>
      <c r="Z238" s="229"/>
      <c r="AA238" s="11"/>
      <c r="AB238" s="11"/>
      <c r="AC238" s="11"/>
      <c r="AD238" s="11"/>
      <c r="AE238" s="11"/>
      <c r="AF238" s="11"/>
      <c r="AG238" s="11"/>
      <c r="AH238" s="11"/>
    </row>
    <row r="239" spans="4:36">
      <c r="E239" s="177"/>
      <c r="F239" s="178"/>
      <c r="G239" s="179"/>
      <c r="H239" s="179"/>
      <c r="I239" s="179"/>
      <c r="J239" s="8"/>
      <c r="K239" s="8"/>
      <c r="L239" s="8"/>
      <c r="M239" s="8"/>
      <c r="N239" s="11"/>
      <c r="O239" s="62"/>
      <c r="P239" s="11"/>
      <c r="Q239" s="62"/>
      <c r="R239" s="62"/>
      <c r="S239" s="62"/>
      <c r="T239" s="62"/>
      <c r="U239" s="8"/>
      <c r="V239" s="171"/>
      <c r="W239" s="171"/>
      <c r="X239" s="171"/>
      <c r="Y239" s="171"/>
      <c r="Z239" s="171"/>
      <c r="AA239" s="11"/>
      <c r="AB239" s="11"/>
      <c r="AC239" s="11"/>
      <c r="AD239" s="11"/>
      <c r="AE239" s="11"/>
      <c r="AF239" s="11"/>
      <c r="AG239" s="11"/>
      <c r="AH239" s="11"/>
    </row>
    <row r="240" spans="4:36">
      <c r="E240" s="177"/>
      <c r="F240" s="178"/>
      <c r="G240" s="179"/>
      <c r="H240" s="179"/>
      <c r="I240" s="179"/>
      <c r="J240" s="8"/>
      <c r="K240" s="8"/>
      <c r="L240" s="8"/>
      <c r="M240" s="8"/>
      <c r="N240" s="11"/>
      <c r="O240" s="62"/>
      <c r="P240" s="11"/>
      <c r="Q240" s="62"/>
      <c r="R240" s="62"/>
      <c r="S240" s="62"/>
      <c r="T240" s="62"/>
      <c r="U240" s="8"/>
      <c r="AA240" s="11"/>
      <c r="AB240" s="11"/>
      <c r="AC240" s="11"/>
      <c r="AD240" s="11"/>
      <c r="AE240" s="11"/>
      <c r="AF240" s="11"/>
      <c r="AG240" s="11"/>
      <c r="AH240" s="11"/>
    </row>
    <row r="241" spans="5:34">
      <c r="E241" s="177"/>
      <c r="F241" s="178"/>
      <c r="G241" s="179"/>
      <c r="H241" s="179"/>
      <c r="I241" s="179"/>
      <c r="J241" s="8"/>
      <c r="K241" s="8"/>
      <c r="L241" s="8"/>
      <c r="M241" s="8"/>
      <c r="N241" s="11"/>
      <c r="O241" s="62"/>
      <c r="P241" s="11"/>
      <c r="Q241" s="62"/>
      <c r="R241" s="62"/>
      <c r="S241" s="62"/>
      <c r="T241" s="62"/>
      <c r="U241" s="8"/>
      <c r="AA241" s="11"/>
      <c r="AB241" s="11"/>
      <c r="AC241" s="11"/>
      <c r="AD241" s="11"/>
      <c r="AE241" s="11"/>
      <c r="AF241" s="11"/>
      <c r="AG241" s="11"/>
      <c r="AH241" s="11"/>
    </row>
    <row r="242" spans="5:34">
      <c r="E242" s="177"/>
      <c r="F242" s="178"/>
      <c r="G242" s="179"/>
      <c r="H242" s="179"/>
      <c r="I242" s="179"/>
      <c r="J242" s="8"/>
      <c r="K242" s="8"/>
      <c r="L242" s="8"/>
      <c r="M242" s="8"/>
      <c r="N242" s="11"/>
      <c r="O242" s="62"/>
      <c r="P242" s="11"/>
      <c r="Q242" s="62"/>
      <c r="R242" s="62"/>
      <c r="S242" s="62"/>
      <c r="T242" s="62"/>
      <c r="U242" s="8"/>
      <c r="AA242" s="11"/>
      <c r="AB242" s="11"/>
      <c r="AC242" s="11"/>
      <c r="AD242" s="11"/>
      <c r="AE242" s="11"/>
      <c r="AF242" s="11"/>
      <c r="AG242" s="11"/>
      <c r="AH242" s="11"/>
    </row>
    <row r="243" spans="5:34">
      <c r="E243" s="177"/>
      <c r="F243" s="178"/>
      <c r="G243" s="179"/>
      <c r="H243" s="179"/>
      <c r="I243" s="179"/>
      <c r="J243" s="8"/>
      <c r="K243" s="8"/>
      <c r="L243" s="8"/>
      <c r="M243" s="8"/>
      <c r="N243" s="11"/>
      <c r="O243" s="62"/>
      <c r="P243" s="11"/>
      <c r="Q243" s="62"/>
      <c r="R243" s="62"/>
      <c r="S243" s="62"/>
      <c r="T243" s="62"/>
      <c r="U243" s="8"/>
      <c r="AA243" s="11"/>
      <c r="AB243" s="11"/>
      <c r="AC243" s="11"/>
      <c r="AD243" s="11"/>
      <c r="AE243" s="11"/>
      <c r="AF243" s="11"/>
      <c r="AG243" s="11"/>
      <c r="AH243" s="11"/>
    </row>
    <row r="244" spans="5:34">
      <c r="E244" s="177"/>
      <c r="F244" s="178"/>
      <c r="G244" s="179"/>
      <c r="H244" s="179"/>
      <c r="I244" s="179"/>
      <c r="J244" s="8"/>
      <c r="K244" s="8"/>
      <c r="L244" s="8"/>
      <c r="M244" s="8"/>
      <c r="N244" s="11"/>
      <c r="O244" s="62"/>
      <c r="P244" s="11"/>
      <c r="Q244" s="62"/>
      <c r="R244" s="62"/>
      <c r="S244" s="62"/>
      <c r="T244" s="62"/>
      <c r="U244" s="8"/>
      <c r="AA244" s="11"/>
      <c r="AB244" s="11"/>
      <c r="AC244" s="11"/>
      <c r="AD244" s="11"/>
      <c r="AE244" s="11"/>
      <c r="AF244" s="11"/>
      <c r="AG244" s="11"/>
      <c r="AH244" s="11"/>
    </row>
    <row r="245" spans="5:34">
      <c r="E245" s="177"/>
      <c r="F245" s="178"/>
      <c r="G245" s="179"/>
      <c r="H245" s="179"/>
      <c r="I245" s="179"/>
      <c r="J245" s="8"/>
      <c r="K245" s="8"/>
      <c r="L245" s="8"/>
      <c r="M245" s="8"/>
      <c r="N245" s="11"/>
      <c r="O245" s="62"/>
      <c r="P245" s="11"/>
      <c r="Q245" s="62"/>
      <c r="R245" s="62"/>
      <c r="S245" s="62"/>
      <c r="T245" s="62"/>
      <c r="U245" s="8"/>
      <c r="AA245" s="11"/>
      <c r="AB245" s="11"/>
      <c r="AC245" s="11"/>
      <c r="AD245" s="11"/>
      <c r="AE245" s="11"/>
      <c r="AF245" s="11"/>
      <c r="AG245" s="11"/>
      <c r="AH245" s="11"/>
    </row>
  </sheetData>
  <pageMargins left="0.7" right="0.7" top="0.75" bottom="0.75" header="0.3" footer="0.3"/>
  <pageSetup orientation="portrait" horizontalDpi="1200" verticalDpi="1200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Mar14 Revenue</vt:lpstr>
      <vt:lpstr>Feb14 Revenue</vt:lpstr>
      <vt:lpstr>Jan 2013 Revenue</vt:lpstr>
      <vt:lpstr>Dec 2012 Revenue</vt:lpstr>
      <vt:lpstr>Sept13 Revenue</vt:lpstr>
      <vt:lpstr>Sept 2012 Revenue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RS</cp:lastModifiedBy>
  <dcterms:created xsi:type="dcterms:W3CDTF">2014-05-14T20:38:27Z</dcterms:created>
  <dcterms:modified xsi:type="dcterms:W3CDTF">2014-06-24T00:16:12Z</dcterms:modified>
</cp:coreProperties>
</file>