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" windowWidth="15135" windowHeight="9045" firstSheet="1" activeTab="1"/>
  </bookViews>
  <sheets>
    <sheet name="AlliantData" sheetId="457" state="veryHidden" r:id="rId1"/>
    <sheet name="Sheet1" sheetId="1" r:id="rId2"/>
  </sheets>
  <definedNames>
    <definedName name="A_AttentionTo">AlliantData!$B$278</definedName>
    <definedName name="A_PublisherAddr1">AlliantData!$D$278</definedName>
    <definedName name="A_PublisherAddr2">AlliantData!$E$278</definedName>
    <definedName name="A_PublisherAddr3">AlliantData!$F$278</definedName>
    <definedName name="A_PublisherCity">AlliantData!$G$278</definedName>
    <definedName name="A_PublisherID">AlliantData!$A$278</definedName>
    <definedName name="A_PublisherName">AlliantData!$C$278</definedName>
    <definedName name="A_PublisherState">AlliantData!$H$278</definedName>
    <definedName name="A_PublisherZip">AlliantData!$I$278</definedName>
    <definedName name="A_StmtDueDate">AlliantData!$J$278</definedName>
    <definedName name="AccountDescr">#REF!</definedName>
    <definedName name="alliantsort_1">#REF!</definedName>
    <definedName name="Amount">#REF!</definedName>
    <definedName name="ARcptName">#REF!</definedName>
    <definedName name="AStmtDueDate">AlliantData!$A$284</definedName>
    <definedName name="BPriorPeriodEndDate">AlliantData!$B$284</definedName>
    <definedName name="BRcptCompany">#REF!</definedName>
    <definedName name="CCurrentPeriodEndDate">AlliantData!$C$284</definedName>
    <definedName name="Comment">#REF!</definedName>
    <definedName name="CRcptCOName">#REF!</definedName>
    <definedName name="CurStmtDueDate">#REF!</definedName>
    <definedName name="DRcptAttnName">#REF!</definedName>
    <definedName name="ERcptAddr1">#REF!</definedName>
    <definedName name="FRcptAddr2">#REF!</definedName>
    <definedName name="GRcptAddr3">#REF!</definedName>
    <definedName name="HRcptCity">#REF!</definedName>
    <definedName name="IRcptState">#REF!</definedName>
    <definedName name="ISBNFlag">#REF!</definedName>
    <definedName name="JRcptZip">#REF!</definedName>
    <definedName name="KRcptCntry">#REF!</definedName>
    <definedName name="LRcptID">#REF!</definedName>
    <definedName name="PmtRecipientPaymentMinimum">#REF!</definedName>
    <definedName name="PriorStmtPeriodEndDate">#REF!</definedName>
    <definedName name="Rate">#REF!</definedName>
    <definedName name="Rate3">#REF!</definedName>
    <definedName name="RecipientRate">#REF!</definedName>
    <definedName name="StatementComment">AlliantData!$A$281</definedName>
    <definedName name="StatementPeriodEndDate">#REF!</definedName>
    <definedName name="TitleTitleEISBN">#REF!</definedName>
    <definedName name="TitleTitleISBN13">#REF!</definedName>
    <definedName name="TransTypeID">#REF!</definedName>
  </definedNames>
  <calcPr calcId="125725"/>
  <pivotCaches>
    <pivotCache cacheId="8" r:id="rId3"/>
    <pivotCache cacheId="9" r:id="rId4"/>
  </pivotCaches>
</workbook>
</file>

<file path=xl/calcChain.xml><?xml version="1.0" encoding="utf-8"?>
<calcChain xmlns="http://schemas.openxmlformats.org/spreadsheetml/2006/main">
  <c r="U289" i="1"/>
  <c r="D289"/>
  <c r="I287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2"/>
  <c r="B11"/>
  <c r="B10"/>
  <c r="B9"/>
  <c r="F5"/>
  <c r="F4"/>
  <c r="K37"/>
  <c r="K64"/>
  <c r="K115"/>
  <c r="K110"/>
  <c r="K145"/>
  <c r="K164"/>
  <c r="K183"/>
  <c r="K202"/>
  <c r="K98"/>
  <c r="K77"/>
  <c r="K104"/>
  <c r="K155"/>
  <c r="K150"/>
  <c r="K185"/>
  <c r="K204"/>
  <c r="K223"/>
  <c r="K242"/>
  <c r="K58"/>
  <c r="K88"/>
  <c r="K70"/>
  <c r="K124"/>
  <c r="K130"/>
  <c r="K85"/>
  <c r="K112"/>
  <c r="K163"/>
  <c r="K158"/>
  <c r="K193"/>
  <c r="K212"/>
  <c r="K231"/>
  <c r="K250"/>
  <c r="K189"/>
  <c r="K235"/>
  <c r="K38"/>
  <c r="K92"/>
  <c r="K66"/>
  <c r="K101"/>
  <c r="K179"/>
  <c r="K46"/>
  <c r="K100"/>
  <c r="K138"/>
  <c r="E14"/>
  <c r="K91"/>
  <c r="K121"/>
  <c r="K159"/>
  <c r="K157"/>
  <c r="K233"/>
  <c r="K277"/>
  <c r="K48"/>
  <c r="K94"/>
  <c r="K148"/>
  <c r="K186"/>
  <c r="K107"/>
  <c r="K239"/>
  <c r="K87"/>
  <c r="K237"/>
  <c r="D14"/>
  <c r="K54"/>
  <c r="K108"/>
  <c r="K146"/>
  <c r="K133"/>
  <c r="K160"/>
  <c r="K211"/>
  <c r="K206"/>
  <c r="K241"/>
  <c r="K260"/>
  <c r="K279"/>
  <c r="K23"/>
  <c r="K42"/>
  <c r="K173"/>
  <c r="K200"/>
  <c r="K251"/>
  <c r="K246"/>
  <c r="K281"/>
  <c r="K25"/>
  <c r="K44"/>
  <c r="K63"/>
  <c r="K82"/>
  <c r="K280"/>
  <c r="K75"/>
  <c r="K41"/>
  <c r="K79"/>
  <c r="K181"/>
  <c r="K208"/>
  <c r="K259"/>
  <c r="K254"/>
  <c r="K17"/>
  <c r="K33"/>
  <c r="K52"/>
  <c r="K71"/>
  <c r="K90"/>
  <c r="K120"/>
  <c r="K198"/>
  <c r="K284"/>
  <c r="K47"/>
  <c r="K59"/>
  <c r="K209"/>
  <c r="K247"/>
  <c r="F14"/>
  <c r="K168"/>
  <c r="K214"/>
  <c r="K268"/>
  <c r="K31"/>
  <c r="K216"/>
  <c r="K252"/>
  <c r="K149"/>
  <c r="K227"/>
  <c r="K257"/>
  <c r="K20"/>
  <c r="K26"/>
  <c r="K166"/>
  <c r="K258"/>
  <c r="K69"/>
  <c r="K96"/>
  <c r="K147"/>
  <c r="K142"/>
  <c r="K177"/>
  <c r="K68"/>
  <c r="K234"/>
  <c r="K109"/>
  <c r="K187"/>
  <c r="K217"/>
  <c r="K255"/>
  <c r="K18"/>
  <c r="K226"/>
  <c r="K190"/>
  <c r="K282"/>
  <c r="K156"/>
  <c r="K195"/>
  <c r="K102"/>
  <c r="K272"/>
  <c r="K248"/>
  <c r="K169"/>
  <c r="K16"/>
  <c r="K116"/>
  <c r="K35"/>
  <c r="K152"/>
  <c r="K225"/>
  <c r="K162"/>
  <c r="K67"/>
  <c r="K137"/>
  <c r="K165"/>
  <c r="K192"/>
  <c r="K243"/>
  <c r="K238"/>
  <c r="K273"/>
  <c r="I14"/>
  <c r="K36"/>
  <c r="K55"/>
  <c r="K74"/>
  <c r="K205"/>
  <c r="K232"/>
  <c r="K283"/>
  <c r="K278"/>
  <c r="K22"/>
  <c r="K57"/>
  <c r="K76"/>
  <c r="K95"/>
  <c r="K114"/>
  <c r="K29"/>
  <c r="K139"/>
  <c r="K105"/>
  <c r="K143"/>
  <c r="K213"/>
  <c r="K240"/>
  <c r="K15"/>
  <c r="K19"/>
  <c r="K30"/>
  <c r="K65"/>
  <c r="K84"/>
  <c r="K103"/>
  <c r="K122"/>
  <c r="K184"/>
  <c r="K262"/>
  <c r="K73"/>
  <c r="K111"/>
  <c r="K229"/>
  <c r="K128"/>
  <c r="K43"/>
  <c r="K81"/>
  <c r="K119"/>
  <c r="K269"/>
  <c r="K40"/>
  <c r="K86"/>
  <c r="K140"/>
  <c r="K178"/>
  <c r="K267"/>
  <c r="K271"/>
  <c r="K21"/>
  <c r="K99"/>
  <c r="K129"/>
  <c r="K167"/>
  <c r="K61"/>
  <c r="K201"/>
  <c r="K49"/>
  <c r="K106"/>
  <c r="K264"/>
  <c r="K51"/>
  <c r="K89"/>
  <c r="K127"/>
  <c r="K261"/>
  <c r="K14"/>
  <c r="K32"/>
  <c r="K83"/>
  <c r="K78"/>
  <c r="K113"/>
  <c r="K132"/>
  <c r="K151"/>
  <c r="K170"/>
  <c r="C14"/>
  <c r="K45"/>
  <c r="K72"/>
  <c r="K123"/>
  <c r="K118"/>
  <c r="K153"/>
  <c r="K172"/>
  <c r="K191"/>
  <c r="K210"/>
  <c r="K253"/>
  <c r="K24"/>
  <c r="J14"/>
  <c r="K60"/>
  <c r="K34"/>
  <c r="K53"/>
  <c r="K80"/>
  <c r="K131"/>
  <c r="K126"/>
  <c r="K161"/>
  <c r="K180"/>
  <c r="K199"/>
  <c r="K218"/>
  <c r="K125"/>
  <c r="K171"/>
  <c r="K265"/>
  <c r="K28"/>
  <c r="K256"/>
  <c r="K174"/>
  <c r="K228"/>
  <c r="K266"/>
  <c r="K141"/>
  <c r="K219"/>
  <c r="K249"/>
  <c r="H14"/>
  <c r="K50"/>
  <c r="K230"/>
  <c r="G14"/>
  <c r="K176"/>
  <c r="K222"/>
  <c r="K276"/>
  <c r="K39"/>
  <c r="K56"/>
  <c r="K220"/>
  <c r="K197"/>
  <c r="K224"/>
  <c r="K275"/>
  <c r="K270"/>
  <c r="B14"/>
  <c r="K215"/>
  <c r="K136"/>
  <c r="K236"/>
  <c r="K134"/>
  <c r="K244"/>
  <c r="K188"/>
  <c r="K203"/>
  <c r="K93"/>
  <c r="K62"/>
  <c r="K221"/>
  <c r="K196"/>
  <c r="K194"/>
  <c r="K182"/>
  <c r="K274"/>
  <c r="K144"/>
  <c r="K27"/>
  <c r="K263"/>
  <c r="K97"/>
  <c r="K245"/>
  <c r="K154"/>
  <c r="K117"/>
  <c r="K207"/>
  <c r="K175"/>
  <c r="K135"/>
</calcChain>
</file>

<file path=xl/sharedStrings.xml><?xml version="1.0" encoding="utf-8"?>
<sst xmlns="http://schemas.openxmlformats.org/spreadsheetml/2006/main" count="2379" uniqueCount="442">
  <si>
    <t xml:space="preserve"> </t>
  </si>
  <si>
    <t>AStmtDueDate</t>
  </si>
  <si>
    <t>BPriorPeriodEndDate</t>
  </si>
  <si>
    <t>CCurrentPeriodEndDate</t>
  </si>
  <si>
    <t>Safari Books Online</t>
  </si>
  <si>
    <t>www.safaribooksonline.com</t>
  </si>
  <si>
    <t>Safari Quarterly Commission Statement</t>
  </si>
  <si>
    <t>A_PublisherID</t>
  </si>
  <si>
    <t>A_AttentionTo</t>
  </si>
  <si>
    <t>A_PublisherName</t>
  </si>
  <si>
    <t>A_PublisherAddr1</t>
  </si>
  <si>
    <t>A_PublisherAddr2</t>
  </si>
  <si>
    <t>A_PublisherAddr3</t>
  </si>
  <si>
    <t>A_PublisherCity</t>
  </si>
  <si>
    <t>A_PublisherState</t>
  </si>
  <si>
    <t>A_PublisherZip</t>
  </si>
  <si>
    <t>ISBN</t>
  </si>
  <si>
    <t>Title</t>
  </si>
  <si>
    <t>Publisher</t>
  </si>
  <si>
    <t>Author</t>
  </si>
  <si>
    <t>Channel</t>
  </si>
  <si>
    <t>Sales</t>
  </si>
  <si>
    <t>Commission Rate</t>
  </si>
  <si>
    <t>Commission Earned</t>
  </si>
  <si>
    <t>CommissionRate</t>
  </si>
  <si>
    <t>Sum of Amount</t>
  </si>
  <si>
    <t>alliantsort_1</t>
  </si>
  <si>
    <t>AccountType</t>
  </si>
  <si>
    <t>DummyCol</t>
  </si>
  <si>
    <t>DummyRow</t>
  </si>
  <si>
    <t>StatementComment</t>
  </si>
  <si>
    <t>A_StmtDueDate</t>
  </si>
  <si>
    <t>46 Farnsworth St.</t>
  </si>
  <si>
    <t>Boston, MA 02210</t>
  </si>
  <si>
    <t>eISBN</t>
  </si>
  <si>
    <t>9782884791083</t>
  </si>
  <si>
    <t>Epica 23</t>
  </si>
  <si>
    <t>AVAPub</t>
  </si>
  <si>
    <t>Epica Awards.</t>
  </si>
  <si>
    <t>B2B</t>
  </si>
  <si>
    <t>B2C</t>
  </si>
  <si>
    <t>9782884791090</t>
  </si>
  <si>
    <t>Epica 24</t>
  </si>
  <si>
    <t>9782940373024</t>
  </si>
  <si>
    <t>The Fundamentals of Animation</t>
  </si>
  <si>
    <t>Paul Wells.</t>
  </si>
  <si>
    <t>9782940373031</t>
  </si>
  <si>
    <t>Basics Photography 02: Lightin</t>
  </si>
  <si>
    <t>David Präkel.</t>
  </si>
  <si>
    <t>9782940373048</t>
  </si>
  <si>
    <t>Basics Photography 01: Composi</t>
  </si>
  <si>
    <t>9782940373055</t>
  </si>
  <si>
    <t>Basics Photography 04: Post-Pr</t>
  </si>
  <si>
    <t>Steve MacLeod.</t>
  </si>
  <si>
    <t>9782940373062</t>
  </si>
  <si>
    <t>Basics Photography 03: Capturi</t>
  </si>
  <si>
    <t>Phil Malpas.</t>
  </si>
  <si>
    <t>9782940373178</t>
  </si>
  <si>
    <t>The Fundamentals of Product De</t>
  </si>
  <si>
    <t>Richard Morris.</t>
  </si>
  <si>
    <t>9782940373192</t>
  </si>
  <si>
    <t>The Fundamentals of Film-Makin</t>
  </si>
  <si>
    <t>Jane Barnwell.</t>
  </si>
  <si>
    <t>9782940373291</t>
  </si>
  <si>
    <t>Creative Vision: Traditional a</t>
  </si>
  <si>
    <t>Jeremy Webb.</t>
  </si>
  <si>
    <t>9782940373475</t>
  </si>
  <si>
    <t>The Fundamentals of Creative D</t>
  </si>
  <si>
    <t>Gavin Ambrose. Paul Harris.</t>
  </si>
  <si>
    <t>9782940373499</t>
  </si>
  <si>
    <t>The Fundamentals of Sonic Art</t>
  </si>
  <si>
    <t>Tony Gibbs.</t>
  </si>
  <si>
    <t>9782940373567</t>
  </si>
  <si>
    <t>Basics Animation 02: Digital A</t>
  </si>
  <si>
    <t>Andrew Chong.</t>
  </si>
  <si>
    <t>9782940373581</t>
  </si>
  <si>
    <t>The Fundamentals of Digital Ar</t>
  </si>
  <si>
    <t>Richard Colson.</t>
  </si>
  <si>
    <t>9782940373598</t>
  </si>
  <si>
    <t>Basics Photography 05: Post-Pr</t>
  </si>
  <si>
    <t>9782940373635</t>
  </si>
  <si>
    <t>The Production Manual: A Graph</t>
  </si>
  <si>
    <t>9782940373727</t>
  </si>
  <si>
    <t>The Fundamentals of Marketing</t>
  </si>
  <si>
    <t>Edward Russell.</t>
  </si>
  <si>
    <t>9782940373734</t>
  </si>
  <si>
    <t>Basics Animation 04: Stop-Moti</t>
  </si>
  <si>
    <t>Barry Purves.</t>
  </si>
  <si>
    <t>9782940373826</t>
  </si>
  <si>
    <t>The Fundamentals of Graphic De</t>
  </si>
  <si>
    <t>9782940373857</t>
  </si>
  <si>
    <t>Basics Photography 06: Working</t>
  </si>
  <si>
    <t>9782940373987</t>
  </si>
  <si>
    <t>The Fundamentals of Branding</t>
  </si>
  <si>
    <t>Melissa Davis.</t>
  </si>
  <si>
    <t>9782940411054</t>
  </si>
  <si>
    <t>Basics Photography 07: Exposur</t>
  </si>
  <si>
    <t>9782940411078</t>
  </si>
  <si>
    <t>The Fundamentals of Design Man</t>
  </si>
  <si>
    <t>Kathryn Best.</t>
  </si>
  <si>
    <t>9782940411139</t>
  </si>
  <si>
    <t>The Fundamentals of Creative P</t>
  </si>
  <si>
    <t>9782940411313</t>
  </si>
  <si>
    <t>Basics Fashion Design 09: Desi</t>
  </si>
  <si>
    <t>John Lau.</t>
  </si>
  <si>
    <t>9782940411344</t>
  </si>
  <si>
    <t>Basics Fashion Management 01:</t>
  </si>
  <si>
    <t>Virginia Grose.</t>
  </si>
  <si>
    <t>9782940411368</t>
  </si>
  <si>
    <t>Basics Creative Photography 01</t>
  </si>
  <si>
    <t>9782940411481</t>
  </si>
  <si>
    <t>The Fundamentals of Illustrati</t>
  </si>
  <si>
    <t>Lawrence Zeegen. Louise Fenton</t>
  </si>
  <si>
    <t>9782940411504</t>
  </si>
  <si>
    <t>Basics Advertising 03: Ideatio</t>
  </si>
  <si>
    <t>Nik Mahon.</t>
  </si>
  <si>
    <t>9782940411528</t>
  </si>
  <si>
    <t>Fashion Design</t>
  </si>
  <si>
    <t>John Hopkins.</t>
  </si>
  <si>
    <t>9782940411535</t>
  </si>
  <si>
    <t>Basics Interior Architecture 0</t>
  </si>
  <si>
    <t>Russell Gagg.</t>
  </si>
  <si>
    <t>9782940411559</t>
  </si>
  <si>
    <t>Basics Typography 02: Using Ty</t>
  </si>
  <si>
    <t>Michael Harkins.</t>
  </si>
  <si>
    <t>9782940411580</t>
  </si>
  <si>
    <t>The Fundamentals of Fashion Ma</t>
  </si>
  <si>
    <t>Susan Dillon.</t>
  </si>
  <si>
    <t>9782940411603</t>
  </si>
  <si>
    <t>Visual Research, 2nd Edition</t>
  </si>
  <si>
    <t>Ian Noble. Russell Bestley.</t>
  </si>
  <si>
    <t>9782940411627</t>
  </si>
  <si>
    <t>The Publishing Business</t>
  </si>
  <si>
    <t>Kelvin Smith.</t>
  </si>
  <si>
    <t>9782940411634</t>
  </si>
  <si>
    <t>Basics Textile Design 01: Sour</t>
  </si>
  <si>
    <t>Josephine Steed. Frances Steve</t>
  </si>
  <si>
    <t>9782940411665</t>
  </si>
  <si>
    <t>Basics Creative Photography 03</t>
  </si>
  <si>
    <t>Natasha Caruana. Anna Fox.</t>
  </si>
  <si>
    <t>9782940411702</t>
  </si>
  <si>
    <t>Basics Fashion Design 01: Rese</t>
  </si>
  <si>
    <t>Simon Seivewright.</t>
  </si>
  <si>
    <t>9782940411719</t>
  </si>
  <si>
    <t>Fashion Thinking</t>
  </si>
  <si>
    <t>Fiona Dieffenbacher.</t>
  </si>
  <si>
    <t>9782940411740</t>
  </si>
  <si>
    <t>Basics Graphic Design 02: Desi</t>
  </si>
  <si>
    <t>Neil Leonard. Gavin Ambrose.</t>
  </si>
  <si>
    <t>9782940411757</t>
  </si>
  <si>
    <t>The Fundamentals of Architectu</t>
  </si>
  <si>
    <t>Lorraine Farrelly.</t>
  </si>
  <si>
    <t>9782940411771</t>
  </si>
  <si>
    <t>9782940411788</t>
  </si>
  <si>
    <t>The Fundamentals of Fashion De</t>
  </si>
  <si>
    <t>Richard Sorger. Jenny Udale.</t>
  </si>
  <si>
    <t>9782940411849</t>
  </si>
  <si>
    <t>9782940411870</t>
  </si>
  <si>
    <t>Basics Fashion Management 02:</t>
  </si>
  <si>
    <t>Gwyneth Gwyneth Moore.</t>
  </si>
  <si>
    <t>9782940411887</t>
  </si>
  <si>
    <t>The Art Directors Annual 90</t>
  </si>
  <si>
    <t>Art Directors Club.</t>
  </si>
  <si>
    <t>9782940411924</t>
  </si>
  <si>
    <t>Basics Design 07: Grids</t>
  </si>
  <si>
    <t>Gavin Gavin Ambrose. Paul Paul</t>
  </si>
  <si>
    <t>9782940411948</t>
  </si>
  <si>
    <t>Basics Fashion Design 10: Jewe</t>
  </si>
  <si>
    <t>Elizabeth Elizabeth Galton.</t>
  </si>
  <si>
    <t>9782940439027</t>
  </si>
  <si>
    <t>Basics Design 03: Typography</t>
  </si>
  <si>
    <t>9782940439041</t>
  </si>
  <si>
    <t>9782940439058</t>
  </si>
  <si>
    <t>9782940439065</t>
  </si>
  <si>
    <t>Basics Fashion Design 02: Text</t>
  </si>
  <si>
    <t>Jenny Udale.</t>
  </si>
  <si>
    <t>9782940439072</t>
  </si>
  <si>
    <t>Basics Fashion Design 03: Cons</t>
  </si>
  <si>
    <t>Anette Fischer.</t>
  </si>
  <si>
    <t>9782940439089</t>
  </si>
  <si>
    <t>Basics Design 01: Format</t>
  </si>
  <si>
    <t>9782940439096</t>
  </si>
  <si>
    <t>Basics Design 02: Layout</t>
  </si>
  <si>
    <t>9782940439102</t>
  </si>
  <si>
    <t>Basics Design 04: Image</t>
  </si>
  <si>
    <t>9782940439119</t>
  </si>
  <si>
    <t>Basics Design 05: Colour</t>
  </si>
  <si>
    <t>9782940439126</t>
  </si>
  <si>
    <t>Basics Design 06: Print &amp; Fini</t>
  </si>
  <si>
    <t>9782940439133</t>
  </si>
  <si>
    <t>9782940439201</t>
  </si>
  <si>
    <t>The Fundamentals of Interior D</t>
  </si>
  <si>
    <t>Simon Dodsworth.</t>
  </si>
  <si>
    <t>9782940439225</t>
  </si>
  <si>
    <t>The Visual Dictionary of Illus</t>
  </si>
  <si>
    <t>Mark Wigan.</t>
  </si>
  <si>
    <t>9782940439232</t>
  </si>
  <si>
    <t>The Fundamentals of Landscape</t>
  </si>
  <si>
    <t>Tim Waterman.</t>
  </si>
  <si>
    <t>9782940439249</t>
  </si>
  <si>
    <t>Basics Marketing 01: Consumer</t>
  </si>
  <si>
    <t>DR Hayden Noel.</t>
  </si>
  <si>
    <t>9782940439256</t>
  </si>
  <si>
    <t>Basics Fashion Design 04: Deve</t>
  </si>
  <si>
    <t>Elinor Renfrew. Colin Renfrew.</t>
  </si>
  <si>
    <t>9782940439263</t>
  </si>
  <si>
    <t>Basics Film-Making 02: Screenw</t>
  </si>
  <si>
    <t>Robert Edgar-Hunt. John Marlan</t>
  </si>
  <si>
    <t>9782940439287</t>
  </si>
  <si>
    <t>Basics Product Design 02: Mate</t>
  </si>
  <si>
    <t>David Bramston.</t>
  </si>
  <si>
    <t>9782940439294</t>
  </si>
  <si>
    <t>Basics Typography 01: Virtual</t>
  </si>
  <si>
    <t>Matthias Hillner.</t>
  </si>
  <si>
    <t>9782940439300</t>
  </si>
  <si>
    <t>Vision and Values in Design Ma</t>
  </si>
  <si>
    <t>David Hands.</t>
  </si>
  <si>
    <t>9782940439317</t>
  </si>
  <si>
    <t>Thinking: Objects</t>
  </si>
  <si>
    <t>Tim Parsons.</t>
  </si>
  <si>
    <t>9782940439355</t>
  </si>
  <si>
    <t>The Visual Dictionary of Photo</t>
  </si>
  <si>
    <t>9782940439362</t>
  </si>
  <si>
    <t>Basics Illustration 04: Global</t>
  </si>
  <si>
    <t>9782940439379</t>
  </si>
  <si>
    <t>Basics Fashion Design 05: Fash</t>
  </si>
  <si>
    <t>9782940439386</t>
  </si>
  <si>
    <t>Basics Design 08: Design Think</t>
  </si>
  <si>
    <t>9782940439393</t>
  </si>
  <si>
    <t>Basics Film-Making 03: Directi</t>
  </si>
  <si>
    <t>DR Robert Edgar-Hunt.</t>
  </si>
  <si>
    <t>9782940439409</t>
  </si>
  <si>
    <t>Graeme Brooker. Sally Stone.</t>
  </si>
  <si>
    <t>9782940439416</t>
  </si>
  <si>
    <t>Basics Landscape Architecture</t>
  </si>
  <si>
    <t>Tim Waterman. Ed Wall.</t>
  </si>
  <si>
    <t>9782940439430</t>
  </si>
  <si>
    <t>Basics Product Design 03: Visu</t>
  </si>
  <si>
    <t>9782940439447</t>
  </si>
  <si>
    <t>Basics Advertising 02: Art Dir</t>
  </si>
  <si>
    <t>9782940439454</t>
  </si>
  <si>
    <t>Basics Architecture 03: Archit</t>
  </si>
  <si>
    <t>Jane Anderson.</t>
  </si>
  <si>
    <t>9782940439478</t>
  </si>
  <si>
    <t>Basics Fashion Design 06: Knit</t>
  </si>
  <si>
    <t>Juliana Sissons.</t>
  </si>
  <si>
    <t>9782940439485</t>
  </si>
  <si>
    <t>Basics Film-Making 04: The Lan</t>
  </si>
  <si>
    <t>9782940439492</t>
  </si>
  <si>
    <t>Basics Interior Design 01: Ret</t>
  </si>
  <si>
    <t>Lynne Mesher.</t>
  </si>
  <si>
    <t>9782940439522</t>
  </si>
  <si>
    <t>The Visual Dictionary of Typog</t>
  </si>
  <si>
    <t>9782940439539</t>
  </si>
  <si>
    <t>Basics Advertising 01: Copywri</t>
  </si>
  <si>
    <t>Rob Bowdery.</t>
  </si>
  <si>
    <t>9782940439553</t>
  </si>
  <si>
    <t>Basics Animation 03: Drawing f</t>
  </si>
  <si>
    <t>Paul Wells. Joanna Quinn. Les</t>
  </si>
  <si>
    <t>9782940439560</t>
  </si>
  <si>
    <t>Re-imagining Animation</t>
  </si>
  <si>
    <t>Paul Wells. Johnny Hardstaff.</t>
  </si>
  <si>
    <t>9782940439577</t>
  </si>
  <si>
    <t>Basics Architecture 02: Constr</t>
  </si>
  <si>
    <t>9782940439584</t>
  </si>
  <si>
    <t>Basics Film-Making 01: Produci</t>
  </si>
  <si>
    <t>Charlotte Worthington.</t>
  </si>
  <si>
    <t>9782940439607</t>
  </si>
  <si>
    <t>Basics Illustration 03: Text a</t>
  </si>
  <si>
    <t>9782940439614</t>
  </si>
  <si>
    <t>The Visual Dictionary of Inter</t>
  </si>
  <si>
    <t>Graeme Brooker. Michael Coates</t>
  </si>
  <si>
    <t>9782940439621</t>
  </si>
  <si>
    <t>9782940439638</t>
  </si>
  <si>
    <t>Basics Product Design 01: Idea</t>
  </si>
  <si>
    <t>9782940439652</t>
  </si>
  <si>
    <t>The Visual Dictionary of Graph</t>
  </si>
  <si>
    <t>9782940439669</t>
  </si>
  <si>
    <t>The Visual Dictionary of Fashi</t>
  </si>
  <si>
    <t>9782940439676</t>
  </si>
  <si>
    <t>Creative Research</t>
  </si>
  <si>
    <t>Hilary Collins.</t>
  </si>
  <si>
    <t>9782940439683</t>
  </si>
  <si>
    <t>Animated Performance</t>
  </si>
  <si>
    <t>Nancy Beiman.</t>
  </si>
  <si>
    <t>9782940439690</t>
  </si>
  <si>
    <t>The Layout Book</t>
  </si>
  <si>
    <t>9782940439737</t>
  </si>
  <si>
    <t>Basics Graphic Design 01: Appr</t>
  </si>
  <si>
    <t>Gavin Ambrose. Nigel Aono-Bill</t>
  </si>
  <si>
    <t>9782940439744</t>
  </si>
  <si>
    <t>Basics Interior Design 02: Exh</t>
  </si>
  <si>
    <t>Pam Locker.</t>
  </si>
  <si>
    <t>9782940439751</t>
  </si>
  <si>
    <t>Basics Marketing 02: Online Ma</t>
  </si>
  <si>
    <t>Brian Sheehan.</t>
  </si>
  <si>
    <t>9782940439768</t>
  </si>
  <si>
    <t>Brand-driven Innovation</t>
  </si>
  <si>
    <t>Erik Roscam Abbing.</t>
  </si>
  <si>
    <t>9782940439775</t>
  </si>
  <si>
    <t>Design for Sustainable Change</t>
  </si>
  <si>
    <t>Anne Chick. Paul Micklethwaite</t>
  </si>
  <si>
    <t>9782940439782</t>
  </si>
  <si>
    <t>Design Management</t>
  </si>
  <si>
    <t>9782940439799</t>
  </si>
  <si>
    <t>Packaging the Brand</t>
  </si>
  <si>
    <t>9782940439805</t>
  </si>
  <si>
    <t>Visible Signs (second edition)</t>
  </si>
  <si>
    <t>David Crow.</t>
  </si>
  <si>
    <t>9782940439812</t>
  </si>
  <si>
    <t>The Visual Dictionary of Pre-p</t>
  </si>
  <si>
    <t>9782940439829</t>
  </si>
  <si>
    <t>Basics Animation 01: Scriptwri</t>
  </si>
  <si>
    <t>9782940439836</t>
  </si>
  <si>
    <t>Basics Architecture 01: Repres</t>
  </si>
  <si>
    <t>9782940439843</t>
  </si>
  <si>
    <t>Basics Illustration 01: Thinki</t>
  </si>
  <si>
    <t>9782940439850</t>
  </si>
  <si>
    <t>Basics Illustration 02: Sequen</t>
  </si>
  <si>
    <t>9782940439867</t>
  </si>
  <si>
    <t>9782940439874</t>
  </si>
  <si>
    <t>Creative Vision</t>
  </si>
  <si>
    <t>9782940439881</t>
  </si>
  <si>
    <t>Drip-dry Shirts</t>
  </si>
  <si>
    <t>Lucienne Roberts.</t>
  </si>
  <si>
    <t>9782940439904</t>
  </si>
  <si>
    <t>9782940439911</t>
  </si>
  <si>
    <t>The Fundamentals of Creative A</t>
  </si>
  <si>
    <t>Ken Burtenshaw. Nik Mahon. Car</t>
  </si>
  <si>
    <t>9782940439935</t>
  </si>
  <si>
    <t>Lawrence Zeegen. Crush Design.</t>
  </si>
  <si>
    <t>9782940439942</t>
  </si>
  <si>
    <t>The Fundamentals of Interior A</t>
  </si>
  <si>
    <t>John Coles. Naomi House.</t>
  </si>
  <si>
    <t>9782940439959</t>
  </si>
  <si>
    <t>The Fundamentals of Photograph</t>
  </si>
  <si>
    <t>Helen Drew.</t>
  </si>
  <si>
    <t>9782940439973</t>
  </si>
  <si>
    <t>The Fundamentals of Typography</t>
  </si>
  <si>
    <t>9782940439980</t>
  </si>
  <si>
    <t>Good</t>
  </si>
  <si>
    <t>9782940439997</t>
  </si>
  <si>
    <t>Illustration</t>
  </si>
  <si>
    <t>Alan Male.</t>
  </si>
  <si>
    <t>9782940447015</t>
  </si>
  <si>
    <t>Left to Right</t>
  </si>
  <si>
    <t>9782940447022</t>
  </si>
  <si>
    <t>More than a Name</t>
  </si>
  <si>
    <t>Melissa Davis. Jonathon Baldwi</t>
  </si>
  <si>
    <t>9782940447039</t>
  </si>
  <si>
    <t>Train Your Gaze</t>
  </si>
  <si>
    <t>Roswell Angier.</t>
  </si>
  <si>
    <t>9782940447046</t>
  </si>
  <si>
    <t>Verbalising the Visual</t>
  </si>
  <si>
    <t>Michael Clarke.</t>
  </si>
  <si>
    <t>9782940447053</t>
  </si>
  <si>
    <t>Visual Communication</t>
  </si>
  <si>
    <t>Jonathan Baldwin. Lucienne Rob</t>
  </si>
  <si>
    <t>9782940447060</t>
  </si>
  <si>
    <t>The Visual Dictionary of Archi</t>
  </si>
  <si>
    <t>Gavin Ambrose. Paul Harris. Sa</t>
  </si>
  <si>
    <t>9782940447077</t>
  </si>
  <si>
    <t>Visual Research</t>
  </si>
  <si>
    <t>9782940447084</t>
  </si>
  <si>
    <t>Kiss &amp; Sell</t>
  </si>
  <si>
    <t>Robert Sawyer.</t>
  </si>
  <si>
    <t>9782940447107</t>
  </si>
  <si>
    <t>Designing for Small Screens</t>
  </si>
  <si>
    <t>Carola Zwick. Burkhard Schmitz</t>
  </si>
  <si>
    <t>9782940447114</t>
  </si>
  <si>
    <t>Nancy Rottle. Ken Yocom.</t>
  </si>
  <si>
    <t>9782940447121</t>
  </si>
  <si>
    <t>Basics Creative Photography 02</t>
  </si>
  <si>
    <t>Maria Short.</t>
  </si>
  <si>
    <t>9782940447138</t>
  </si>
  <si>
    <t>Basics Fashion Design 08: Styl</t>
  </si>
  <si>
    <t>Clare Buckley. Jacqui McAssey.</t>
  </si>
  <si>
    <t>9782940447145</t>
  </si>
  <si>
    <t>Basics Fashion Design 07: Mens</t>
  </si>
  <si>
    <t>9782940447169</t>
  </si>
  <si>
    <t>Basics Design 02: Layout (seco</t>
  </si>
  <si>
    <t>9782940447176</t>
  </si>
  <si>
    <t>The Fundamentals of Printed Te</t>
  </si>
  <si>
    <t>Alex Russell.</t>
  </si>
  <si>
    <t>9782940447183</t>
  </si>
  <si>
    <t>9782940447244</t>
  </si>
  <si>
    <t>9782940447251</t>
  </si>
  <si>
    <t>9782940447282</t>
  </si>
  <si>
    <t>Basics Marketing 03: Marketing</t>
  </si>
  <si>
    <t>9782940447329</t>
  </si>
  <si>
    <t>Basics Design 01: Format, 2nd</t>
  </si>
  <si>
    <t>VN000956</t>
  </si>
  <si>
    <t>AVA Publishing</t>
  </si>
  <si>
    <t>56A Chapel Rd</t>
  </si>
  <si>
    <t>Worthing</t>
  </si>
  <si>
    <t>BN111BE</t>
  </si>
  <si>
    <t>9782940447091</t>
  </si>
  <si>
    <t>9782940447503</t>
  </si>
  <si>
    <t>9782940439898</t>
  </si>
  <si>
    <t>9782940439140</t>
  </si>
  <si>
    <t>9782940439157</t>
  </si>
  <si>
    <t>9782940439171</t>
  </si>
  <si>
    <t>9782940439164</t>
  </si>
  <si>
    <t>9782940439218</t>
  </si>
  <si>
    <t>9782940439010</t>
  </si>
  <si>
    <t>9782940439645</t>
  </si>
  <si>
    <t>9782940439966</t>
  </si>
  <si>
    <t>9782940439546</t>
  </si>
  <si>
    <t>9782940439928</t>
  </si>
  <si>
    <t>9782940439188</t>
  </si>
  <si>
    <t>9782940439591</t>
  </si>
  <si>
    <t>9782940439348</t>
  </si>
  <si>
    <t>9782940439034</t>
  </si>
  <si>
    <t>9782940439195</t>
  </si>
  <si>
    <t>9782940439324</t>
  </si>
  <si>
    <t>9782940439423</t>
  </si>
  <si>
    <t>9782940439331</t>
  </si>
  <si>
    <t>9782940439508</t>
  </si>
  <si>
    <t>9782940439720</t>
  </si>
  <si>
    <t>9782940447152</t>
  </si>
  <si>
    <t>9782940439713</t>
  </si>
  <si>
    <t>9782940447206</t>
  </si>
  <si>
    <t>9782940447190</t>
  </si>
  <si>
    <t>9782940447220</t>
  </si>
  <si>
    <t>9782940447299</t>
  </si>
  <si>
    <t>9782940447275</t>
  </si>
  <si>
    <t>9782940447237</t>
  </si>
  <si>
    <t>9782940447268</t>
  </si>
  <si>
    <t>9782940447374</t>
  </si>
  <si>
    <t>9782940447336</t>
  </si>
  <si>
    <t>9782940447312</t>
  </si>
  <si>
    <t>9782940447305</t>
  </si>
  <si>
    <t>9782940447602</t>
  </si>
  <si>
    <t>9782940447381</t>
  </si>
  <si>
    <t>9782940447350</t>
  </si>
  <si>
    <t>9782940447411</t>
  </si>
  <si>
    <t>9782940447404</t>
  </si>
  <si>
    <t>9782940447398</t>
  </si>
  <si>
    <t>9782940447473</t>
  </si>
  <si>
    <t>9782940447497</t>
  </si>
  <si>
    <t>9782940447466</t>
  </si>
  <si>
    <t>9782940447213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</si>
</sst>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0"/>
      <name val="Arial"/>
    </font>
    <font>
      <u/>
      <sz val="10"/>
      <color theme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>
      <alignment horizontal="right"/>
    </xf>
    <xf numFmtId="7" fontId="2" fillId="0" borderId="0"/>
    <xf numFmtId="0" fontId="3" fillId="0" borderId="0">
      <alignment horizontal="right"/>
    </xf>
    <xf numFmtId="0" fontId="4" fillId="0" borderId="0"/>
    <xf numFmtId="7" fontId="5" fillId="0" borderId="0"/>
    <xf numFmtId="9" fontId="5" fillId="0" borderId="0" applyFill="0" applyBorder="0" applyAlignment="0" applyProtection="0"/>
    <xf numFmtId="10" fontId="2" fillId="0" borderId="0" applyFont="0" applyFill="0" applyBorder="0" applyAlignment="0" applyProtection="0"/>
    <xf numFmtId="0" fontId="4" fillId="0" borderId="0">
      <alignment horizontal="center" vertical="center" wrapText="1"/>
    </xf>
  </cellStyleXfs>
  <cellXfs count="25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6" fillId="0" borderId="0" xfId="1" applyFont="1" applyAlignment="1" applyProtection="1">
      <protection locked="0"/>
    </xf>
    <xf numFmtId="0" fontId="7" fillId="0" borderId="0" xfId="0" applyFont="1" applyProtection="1">
      <protection locked="0"/>
    </xf>
    <xf numFmtId="0" fontId="2" fillId="0" borderId="0" xfId="2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pivotButton="1" applyBorder="1"/>
    <xf numFmtId="0" fontId="0" fillId="0" borderId="4" xfId="0" applyBorder="1"/>
    <xf numFmtId="0" fontId="0" fillId="0" borderId="5" xfId="0" applyBorder="1"/>
    <xf numFmtId="0" fontId="0" fillId="0" borderId="5" xfId="0" pivotButton="1" applyBorder="1"/>
    <xf numFmtId="0" fontId="0" fillId="0" borderId="5" xfId="0" applyNumberFormat="1" applyBorder="1"/>
    <xf numFmtId="0" fontId="0" fillId="0" borderId="7" xfId="0" applyBorder="1"/>
    <xf numFmtId="0" fontId="0" fillId="0" borderId="6" xfId="0" applyNumberFormat="1" applyBorder="1"/>
    <xf numFmtId="0" fontId="0" fillId="0" borderId="0" xfId="0" applyProtection="1"/>
    <xf numFmtId="0" fontId="4" fillId="0" borderId="0" xfId="9" applyProtection="1">
      <alignment horizontal="center" vertical="center" wrapText="1"/>
    </xf>
    <xf numFmtId="7" fontId="2" fillId="0" borderId="0" xfId="3" applyProtection="1"/>
    <xf numFmtId="10" fontId="0" fillId="0" borderId="0" xfId="8" applyFont="1" applyProtection="1"/>
    <xf numFmtId="7" fontId="2" fillId="0" borderId="0" xfId="3" applyProtection="1">
      <protection locked="0"/>
    </xf>
    <xf numFmtId="10" fontId="0" fillId="0" borderId="0" xfId="8" applyFont="1" applyProtection="1">
      <protection locked="0"/>
    </xf>
    <xf numFmtId="0" fontId="2" fillId="0" borderId="0" xfId="2" applyProtection="1">
      <alignment horizontal="right"/>
    </xf>
  </cellXfs>
  <cellStyles count="10">
    <cellStyle name="Amount" xfId="3"/>
    <cellStyle name="AmountUnderline" xfId="6"/>
    <cellStyle name="Heading Title" xfId="9"/>
    <cellStyle name="Hyperlink" xfId="1" builtinId="8"/>
    <cellStyle name="Normal" xfId="0" builtinId="0"/>
    <cellStyle name="NormalBoldRight" xfId="4"/>
    <cellStyle name="NormalRight" xfId="2"/>
    <cellStyle name="Percent2" xfId="8"/>
    <cellStyle name="PercentUnderline" xfId="7"/>
    <cellStyle name="RowHeading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571500</xdr:colOff>
      <xdr:row>1</xdr:row>
      <xdr:rowOff>958331</xdr:rowOff>
    </xdr:to>
    <xdr:pic>
      <xdr:nvPicPr>
        <xdr:cNvPr id="3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409950" cy="11202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rogram%20Files%20(x86)/Alliant%205.5%20SP6/AlliantStatements2.xlam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Program%20Files%20(x86)/Alliant%205.5%20SP6/AlliantStatements2.xlam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liant_srvc" refreshedDate="41837.572958217592" createdVersion="3" refreshedVersion="3" minRefreshableVersion="3" recordCount="271">
  <cacheSource type="worksheet">
    <worksheetSource ref="A1:J272" sheet="AlliantPivBU" r:id="rId2"/>
  </cacheSource>
  <cacheFields count="10">
    <cacheField name="AccountType" numFmtId="0">
      <sharedItems containsBlank="1" count="2">
        <s v="Sales"/>
        <m/>
      </sharedItems>
    </cacheField>
    <cacheField name="Amount" numFmtId="0">
      <sharedItems containsString="0" containsBlank="1" containsNumber="1" minValue="0" maxValue="2649.85"/>
    </cacheField>
    <cacheField name="ISBN" numFmtId="0">
      <sharedItems containsBlank="1" count="142">
        <s v="9782940439997"/>
        <s v="9782940447176"/>
        <s v="9782940373567"/>
        <s v="9782940439072"/>
        <s v="9782940439775"/>
        <s v="9782940411887"/>
        <s v="9782940373734"/>
        <s v="9782940439751"/>
        <s v="9782940447282"/>
        <s v="9782940447107"/>
        <s v="9782940439584"/>
        <s v="9782940447138"/>
        <s v="9782940439287"/>
        <s v="9782940439430"/>
        <s v="9782940439638"/>
        <s v="9782940439805"/>
        <s v="9782940447015"/>
        <s v="9782940439300"/>
        <s v="9782940373031"/>
        <s v="9782940373048"/>
        <s v="9782940373857"/>
        <s v="9782940411054"/>
        <s v="9782940411139"/>
        <s v="9782940411771"/>
        <s v="9782940439355"/>
        <s v="9782940439249"/>
        <s v="9782940439393"/>
        <s v="9782940373727"/>
        <s v="9782940439256"/>
        <s v="9782940411948"/>
        <s v="9782884791083"/>
        <s v="9782884791090"/>
        <s v="9782940439768"/>
        <s v="9782940411719"/>
        <s v="9782940439737"/>
        <s v="9782940373475"/>
        <s v="9782940373635"/>
        <s v="9782940373826"/>
        <s v="9782940439027"/>
        <s v="9782940439089"/>
        <s v="9782940439096"/>
        <s v="9782940439102"/>
        <s v="9782940439119"/>
        <s v="9782940439126"/>
        <s v="9782940439133"/>
        <s v="9782940439386"/>
        <s v="9782940439522"/>
        <s v="9782940439652"/>
        <s v="9782940439669"/>
        <s v="9782940439690"/>
        <s v="9782940439799"/>
        <s v="9782940439812"/>
        <s v="9782940439973"/>
        <s v="9782940447169"/>
        <s v="9782940447244"/>
        <s v="9782940447251"/>
        <s v="9782940447329"/>
        <s v="9782940447060"/>
        <s v="9782940411924"/>
        <s v="9782940439614"/>
        <s v="9782940439409"/>
        <s v="9782940439621"/>
        <s v="9782940439867"/>
        <s v="9782940411870"/>
        <s v="9782940439959"/>
        <s v="9782940439676"/>
        <s v="9782940411603"/>
        <s v="9782940447077"/>
        <s v="9782940439454"/>
        <s v="9782940373192"/>
        <s v="9782940439065"/>
        <s v="9782940373291"/>
        <s v="9782940411368"/>
        <s v="9782940439874"/>
        <s v="9782940439942"/>
        <s v="9782940411528"/>
        <s v="9782940439379"/>
        <s v="9782940447145"/>
        <s v="9782940411313"/>
        <s v="9782940447053"/>
        <s v="9782940411634"/>
        <s v="9782940439478"/>
        <s v="9782940411078"/>
        <s v="9782940439782"/>
        <s v="9782940411627"/>
        <s v="9782940439911"/>
        <s v="9782940447183"/>
        <s v="9782940439935"/>
        <s v="9782940411481"/>
        <s v="9782940411757"/>
        <s v="9782940439577"/>
        <s v="9782940439836"/>
        <s v="9782940439904"/>
        <s v="9782940439881"/>
        <s v="9782940439980"/>
        <s v="9782940439492"/>
        <s v="9782940447121"/>
        <s v="9782940439225"/>
        <s v="9782940439362"/>
        <s v="9782940439607"/>
        <s v="9782940439843"/>
        <s v="9782940439850"/>
        <s v="9782940439294"/>
        <s v="9782940373987"/>
        <s v="9782940447022"/>
        <s v="9782940447046"/>
        <s v="9782940411559"/>
        <s v="9782940439683"/>
        <s v="9782940447114"/>
        <s v="9782940411665"/>
        <s v="9782940411740"/>
        <s v="9782940411504"/>
        <s v="9782940439447"/>
        <s v="9782940439744"/>
        <s v="9782940373024"/>
        <s v="9782940439829"/>
        <s v="9782940439553"/>
        <s v="9782940439560"/>
        <s v="9782940373062"/>
        <s v="9782940373581"/>
        <s v="9782940373178"/>
        <s v="9782940411788"/>
        <s v="9782940439041"/>
        <s v="9782940439539"/>
        <s v="9782940439263"/>
        <s v="9782940439485"/>
        <s v="9782940447084"/>
        <s v="9782940447039"/>
        <s v="9782940411535"/>
        <s v="9782940439201"/>
        <s v="9782940411702"/>
        <s v="9782940439058"/>
        <s v="9782940373055"/>
        <s v="9782940373598"/>
        <s v="9782940411580"/>
        <s v="9782940439317"/>
        <s v="9782940439232"/>
        <s v="9782940439416"/>
        <s v="9782940373499"/>
        <s v="9782940411344"/>
        <s v="9782940411849"/>
        <m/>
      </sharedItems>
    </cacheField>
    <cacheField name="eISBN" numFmtId="0">
      <sharedItems containsBlank="1" count="2">
        <s v=" "/>
        <m/>
      </sharedItems>
    </cacheField>
    <cacheField name="Title" numFmtId="0">
      <sharedItems containsBlank="1" count="128">
        <s v="Illustration"/>
        <s v="The Fundamentals of Printed Te"/>
        <s v="Basics Animation 02: Digital A"/>
        <s v="Basics Fashion Design 03: Cons"/>
        <s v="Design for Sustainable Change"/>
        <s v="The Art Directors Annual 90"/>
        <s v="Basics Animation 04: Stop-Moti"/>
        <s v="Basics Marketing 02: Online Ma"/>
        <s v="Basics Marketing 03: Marketing"/>
        <s v="Designing for Small Screens"/>
        <s v="Basics Film-Making 01: Produci"/>
        <s v="Basics Fashion Design 08: Styl"/>
        <s v="Basics Product Design 02: Mate"/>
        <s v="Basics Product Design 03: Visu"/>
        <s v="Basics Product Design 01: Idea"/>
        <s v="Visible Signs (second edition)"/>
        <s v="Left to Right"/>
        <s v="Vision and Values in Design Ma"/>
        <s v="Basics Photography 02: Lightin"/>
        <s v="Basics Photography 01: Composi"/>
        <s v="Basics Photography 06: Working"/>
        <s v="Basics Photography 07: Exposur"/>
        <s v="The Fundamentals of Creative P"/>
        <s v="The Visual Dictionary of Photo"/>
        <s v="Basics Marketing 01: Consumer"/>
        <s v="Basics Film-Making 03: Directi"/>
        <s v="The Fundamentals of Marketing"/>
        <s v="Basics Fashion Design 04: Deve"/>
        <s v="Basics Fashion Design 10: Jewe"/>
        <s v="Epica 23"/>
        <s v="Epica 24"/>
        <s v="Brand-driven Innovation"/>
        <s v="Fashion Thinking"/>
        <s v="Basics Graphic Design 01: Appr"/>
        <s v="The Fundamentals of Creative D"/>
        <s v="The Production Manual: A Graph"/>
        <s v="The Fundamentals of Graphic De"/>
        <s v="Basics Design 03: Typography"/>
        <s v="Basics Design 01: Format"/>
        <s v="Basics Design 02: Layout"/>
        <s v="Basics Design 04: Image"/>
        <s v="Basics Design 05: Colour"/>
        <s v="Basics Design 06: Print &amp; Fini"/>
        <s v="Basics Design 07: Grids"/>
        <s v="Basics Design 08: Design Think"/>
        <s v="The Visual Dictionary of Typog"/>
        <s v="The Visual Dictionary of Graph"/>
        <s v="The Visual Dictionary of Fashi"/>
        <s v="The Layout Book"/>
        <s v="Packaging the Brand"/>
        <s v="The Visual Dictionary of Pre-p"/>
        <s v="The Fundamentals of Typography"/>
        <s v="Basics Design 02: Layout (seco"/>
        <s v="Basics Design 01: Format, 2nd"/>
        <s v="The Visual Dictionary of Archi"/>
        <s v="The Visual Dictionary of Inter"/>
        <s v="Basics Interior Architecture 0"/>
        <s v="Basics Fashion Management 02:"/>
        <s v="The Fundamentals of Photograph"/>
        <s v="Creative Research"/>
        <s v="Visual Research, 2nd Edition"/>
        <s v="Visual Research"/>
        <s v="Basics Architecture 03: Archit"/>
        <s v="The Fundamentals of Film-Makin"/>
        <s v="Basics Fashion Design 02: Text"/>
        <s v="Creative Vision: Traditional a"/>
        <s v="Basics Creative Photography 01"/>
        <s v="Creative Vision"/>
        <s v="The Fundamentals of Interior A"/>
        <s v="Fashion Design"/>
        <s v="Basics Fashion Design 05: Fash"/>
        <s v="Basics Fashion Design 07: Mens"/>
        <s v="Basics Fashion Design 09: Desi"/>
        <s v="Visual Communication"/>
        <s v="Basics Textile Design 01: Sour"/>
        <s v="Basics Fashion Design 06: Knit"/>
        <s v="The Fundamentals of Design Man"/>
        <s v="Design Management"/>
        <s v="The Publishing Business"/>
        <s v="The Fundamentals of Creative A"/>
        <s v="The Fundamentals of Illustrati"/>
        <s v="The Fundamentals of Architectu"/>
        <s v="Basics Architecture 02: Constr"/>
        <s v="Basics Architecture 01: Repres"/>
        <s v="Drip-dry Shirts"/>
        <s v="Good"/>
        <s v="Basics Interior Design 01: Ret"/>
        <s v="Basics Creative Photography 02"/>
        <s v="The Visual Dictionary of Illus"/>
        <s v="Basics Illustration 04: Global"/>
        <s v="Basics Illustration 03: Text a"/>
        <s v="Basics Illustration 01: Thinki"/>
        <s v="Basics Illustration 02: Sequen"/>
        <s v="Basics Typography 01: Virtual"/>
        <s v="The Fundamentals of Branding"/>
        <s v="More than a Name"/>
        <s v="Verbalising the Visual"/>
        <s v="Basics Typography 02: Using Ty"/>
        <s v="Animated Performance"/>
        <s v="Basics Landscape Architecture"/>
        <s v="Basics Creative Photography 03"/>
        <s v="Basics Graphic Design 02: Desi"/>
        <s v="Basics Advertising 03: Ideatio"/>
        <s v="Basics Advertising 02: Art Dir"/>
        <s v="Basics Interior Design 02: Exh"/>
        <s v="The Fundamentals of Animation"/>
        <s v="Basics Animation 01: Scriptwri"/>
        <s v="Basics Animation 03: Drawing f"/>
        <s v="Re-imagining Animation"/>
        <s v="Basics Photography 03: Capturi"/>
        <s v="The Fundamentals of Digital Ar"/>
        <s v="The Fundamentals of Product De"/>
        <s v="The Fundamentals of Fashion De"/>
        <s v="Basics Advertising 01: Copywri"/>
        <s v="Basics Film-Making 02: Screenw"/>
        <s v="Basics Film-Making 04: The Lan"/>
        <s v="Kiss &amp; Sell"/>
        <s v="Train Your Gaze"/>
        <s v="The Fundamentals of Interior D"/>
        <s v="Basics Fashion Design 01: Rese"/>
        <s v="Basics Photography 04: Post-Pr"/>
        <s v="Basics Photography 05: Post-Pr"/>
        <s v="The Fundamentals of Fashion Ma"/>
        <s v="Thinking: Objects"/>
        <s v="The Fundamentals of Landscape"/>
        <s v="The Fundamentals of Sonic Art"/>
        <s v="Basics Fashion Management 01:"/>
        <m/>
      </sharedItems>
    </cacheField>
    <cacheField name="alliantsort_1" numFmtId="0">
      <sharedItems containsString="0" containsBlank="1" containsNumber="1" containsInteger="1" minValue="9999" maxValue="9999" count="2">
        <n v="9999"/>
        <m/>
      </sharedItems>
    </cacheField>
    <cacheField name="Publisher" numFmtId="0">
      <sharedItems containsBlank="1" count="2">
        <s v="AVAPub"/>
        <m/>
      </sharedItems>
    </cacheField>
    <cacheField name="Author" numFmtId="0">
      <sharedItems containsBlank="1" count="86">
        <s v="Alan Male."/>
        <s v="Alex Russell."/>
        <s v="Andrew Chong."/>
        <s v="Anette Fischer."/>
        <s v="Anne Chick. Paul Micklethwaite"/>
        <s v="Art Directors Club."/>
        <s v="Barry Purves."/>
        <s v="Brian Sheehan."/>
        <s v="Carola Zwick. Burkhard Schmitz"/>
        <s v="Charlotte Worthington."/>
        <s v="Clare Buckley. Jacqui McAssey."/>
        <s v="David Bramston."/>
        <s v="David Crow."/>
        <s v="David Hands."/>
        <s v="David Präkel."/>
        <s v="DR Hayden Noel."/>
        <s v="DR Robert Edgar-Hunt."/>
        <s v="Edward Russell."/>
        <s v="Elinor Renfrew. Colin Renfrew."/>
        <s v="Elizabeth Elizabeth Galton."/>
        <s v="Epica Awards."/>
        <s v="Erik Roscam Abbing."/>
        <s v="Fiona Dieffenbacher."/>
        <s v="Gavin Ambrose. Nigel Aono-Bill"/>
        <s v="Gavin Ambrose. Paul Harris."/>
        <s v="Gavin Ambrose. Paul Harris. Sa"/>
        <s v="Gavin Gavin Ambrose. Paul Paul"/>
        <s v="Graeme Brooker. Michael Coates"/>
        <s v="Graeme Brooker. Sally Stone."/>
        <s v="Gwyneth Gwyneth Moore."/>
        <s v="Helen Drew."/>
        <s v="Hilary Collins."/>
        <s v="Ian Noble. Russell Bestley."/>
        <s v="Jane Anderson."/>
        <s v="Jane Barnwell."/>
        <s v="Jenny Udale."/>
        <s v="Jeremy Webb."/>
        <s v="John Coles. Naomi House."/>
        <s v="John Hopkins."/>
        <s v="John Lau."/>
        <s v="Jonathan Baldwin. Lucienne Rob"/>
        <s v="Josephine Steed. Frances Steve"/>
        <s v="Juliana Sissons."/>
        <s v="Kathryn Best."/>
        <s v="Kelvin Smith."/>
        <s v="Ken Burtenshaw. Nik Mahon. Car"/>
        <s v="Lawrence Zeegen. Crush Design."/>
        <s v="Lawrence Zeegen. Louise Fenton"/>
        <s v="Lorraine Farrelly."/>
        <s v="Lucienne Roberts."/>
        <s v="Lynne Mesher."/>
        <s v="Maria Short."/>
        <s v="Mark Wigan."/>
        <s v="Matthias Hillner."/>
        <s v="Melissa Davis."/>
        <s v="Melissa Davis. Jonathon Baldwi"/>
        <s v="Michael Clarke."/>
        <s v="Michael Harkins."/>
        <s v="Nancy Beiman."/>
        <s v="Nancy Rottle. Ken Yocom."/>
        <s v="Natasha Caruana. Anna Fox."/>
        <s v="Neil Leonard. Gavin Ambrose."/>
        <s v="Nik Mahon."/>
        <s v="Pam Locker."/>
        <s v="Paul Wells."/>
        <s v="Paul Wells. Joanna Quinn. Les"/>
        <s v="Paul Wells. Johnny Hardstaff."/>
        <s v="Phil Malpas."/>
        <s v="Richard Colson."/>
        <s v="Richard Morris."/>
        <s v="Richard Sorger. Jenny Udale."/>
        <s v="Rob Bowdery."/>
        <s v="Robert Edgar-Hunt. John Marlan"/>
        <s v="Robert Sawyer."/>
        <s v="Roswell Angier."/>
        <s v="Russell Gagg."/>
        <s v="Simon Dodsworth."/>
        <s v="Simon Seivewright."/>
        <s v="Steve MacLeod."/>
        <s v="Susan Dillon."/>
        <s v="Tim Parsons."/>
        <s v="Tim Waterman."/>
        <s v="Tim Waterman. Ed Wall."/>
        <s v="Tony Gibbs."/>
        <s v="Virginia Grose."/>
        <m/>
      </sharedItems>
    </cacheField>
    <cacheField name="Channel" numFmtId="0">
      <sharedItems containsBlank="1" count="3">
        <s v="B2B"/>
        <s v="B2C"/>
        <m/>
      </sharedItems>
    </cacheField>
    <cacheField name="CommissionRate" numFmtId="0">
      <sharedItems containsString="0" containsBlank="1" containsNumber="1" minValue="0.3" maxValue="0.35" count="3">
        <n v="0.3"/>
        <n v="0.3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lliant_srvc" refreshedDate="41837.572959375" createdVersion="3" refreshedVersion="3" minRefreshableVersion="3" recordCount="2">
  <cacheSource type="worksheet">
    <worksheetSource ref="A1:C3" sheet="AlliantPivBU" r:id="rId2"/>
  </cacheSource>
  <cacheFields count="3">
    <cacheField name="DummyCol" numFmtId="0">
      <sharedItems containsBlank="1" count="2">
        <s v="DummyCol"/>
        <m/>
      </sharedItems>
    </cacheField>
    <cacheField name="Amount" numFmtId="0">
      <sharedItems containsString="0" containsBlank="1" containsNumber="1" minValue="4560.2299999999996" maxValue="4560.2299999999996" count="2">
        <n v="4560.2299999999996"/>
        <m/>
      </sharedItems>
    </cacheField>
    <cacheField name="DummyRow" numFmtId="0">
      <sharedItems containsBlank="1" count="2">
        <s v="DummyRow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1">
  <r>
    <x v="0"/>
    <n v="59.61"/>
    <x v="0"/>
    <x v="0"/>
    <x v="0"/>
    <x v="0"/>
    <x v="0"/>
    <x v="0"/>
    <x v="0"/>
    <x v="0"/>
  </r>
  <r>
    <x v="0"/>
    <n v="92.06"/>
    <x v="0"/>
    <x v="0"/>
    <x v="0"/>
    <x v="0"/>
    <x v="0"/>
    <x v="0"/>
    <x v="1"/>
    <x v="1"/>
  </r>
  <r>
    <x v="0"/>
    <n v="13.01"/>
    <x v="1"/>
    <x v="0"/>
    <x v="1"/>
    <x v="0"/>
    <x v="0"/>
    <x v="1"/>
    <x v="0"/>
    <x v="0"/>
  </r>
  <r>
    <x v="0"/>
    <n v="8.7200000000000006"/>
    <x v="1"/>
    <x v="0"/>
    <x v="1"/>
    <x v="0"/>
    <x v="0"/>
    <x v="1"/>
    <x v="1"/>
    <x v="1"/>
  </r>
  <r>
    <x v="0"/>
    <n v="31.01"/>
    <x v="2"/>
    <x v="0"/>
    <x v="2"/>
    <x v="0"/>
    <x v="0"/>
    <x v="2"/>
    <x v="0"/>
    <x v="0"/>
  </r>
  <r>
    <x v="0"/>
    <n v="1.0900000000000001"/>
    <x v="2"/>
    <x v="0"/>
    <x v="2"/>
    <x v="0"/>
    <x v="0"/>
    <x v="2"/>
    <x v="1"/>
    <x v="1"/>
  </r>
  <r>
    <x v="0"/>
    <n v="185.27"/>
    <x v="3"/>
    <x v="0"/>
    <x v="3"/>
    <x v="0"/>
    <x v="0"/>
    <x v="3"/>
    <x v="0"/>
    <x v="0"/>
  </r>
  <r>
    <x v="0"/>
    <n v="17.739999999999998"/>
    <x v="3"/>
    <x v="0"/>
    <x v="3"/>
    <x v="0"/>
    <x v="0"/>
    <x v="3"/>
    <x v="1"/>
    <x v="1"/>
  </r>
  <r>
    <x v="0"/>
    <n v="18.64"/>
    <x v="4"/>
    <x v="0"/>
    <x v="4"/>
    <x v="0"/>
    <x v="0"/>
    <x v="4"/>
    <x v="0"/>
    <x v="0"/>
  </r>
  <r>
    <x v="0"/>
    <n v="8.9"/>
    <x v="4"/>
    <x v="0"/>
    <x v="4"/>
    <x v="0"/>
    <x v="0"/>
    <x v="4"/>
    <x v="1"/>
    <x v="1"/>
  </r>
  <r>
    <x v="0"/>
    <n v="21.79"/>
    <x v="5"/>
    <x v="0"/>
    <x v="5"/>
    <x v="0"/>
    <x v="0"/>
    <x v="5"/>
    <x v="0"/>
    <x v="0"/>
  </r>
  <r>
    <x v="0"/>
    <n v="20.32"/>
    <x v="5"/>
    <x v="0"/>
    <x v="5"/>
    <x v="0"/>
    <x v="0"/>
    <x v="5"/>
    <x v="1"/>
    <x v="1"/>
  </r>
  <r>
    <x v="0"/>
    <n v="26.26"/>
    <x v="6"/>
    <x v="0"/>
    <x v="6"/>
    <x v="0"/>
    <x v="0"/>
    <x v="6"/>
    <x v="0"/>
    <x v="0"/>
  </r>
  <r>
    <x v="0"/>
    <n v="18.12"/>
    <x v="6"/>
    <x v="0"/>
    <x v="6"/>
    <x v="0"/>
    <x v="0"/>
    <x v="6"/>
    <x v="1"/>
    <x v="1"/>
  </r>
  <r>
    <x v="0"/>
    <n v="37.25"/>
    <x v="7"/>
    <x v="0"/>
    <x v="7"/>
    <x v="0"/>
    <x v="0"/>
    <x v="7"/>
    <x v="0"/>
    <x v="0"/>
  </r>
  <r>
    <x v="0"/>
    <n v="63.22"/>
    <x v="8"/>
    <x v="0"/>
    <x v="8"/>
    <x v="0"/>
    <x v="0"/>
    <x v="7"/>
    <x v="0"/>
    <x v="0"/>
  </r>
  <r>
    <x v="0"/>
    <n v="0"/>
    <x v="7"/>
    <x v="0"/>
    <x v="7"/>
    <x v="0"/>
    <x v="0"/>
    <x v="7"/>
    <x v="1"/>
    <x v="1"/>
  </r>
  <r>
    <x v="0"/>
    <n v="13.91"/>
    <x v="8"/>
    <x v="0"/>
    <x v="8"/>
    <x v="0"/>
    <x v="0"/>
    <x v="7"/>
    <x v="1"/>
    <x v="1"/>
  </r>
  <r>
    <x v="0"/>
    <n v="11.58"/>
    <x v="9"/>
    <x v="0"/>
    <x v="9"/>
    <x v="0"/>
    <x v="0"/>
    <x v="8"/>
    <x v="0"/>
    <x v="0"/>
  </r>
  <r>
    <x v="0"/>
    <n v="1.04"/>
    <x v="9"/>
    <x v="0"/>
    <x v="9"/>
    <x v="0"/>
    <x v="0"/>
    <x v="8"/>
    <x v="1"/>
    <x v="1"/>
  </r>
  <r>
    <x v="0"/>
    <n v="37.06"/>
    <x v="10"/>
    <x v="0"/>
    <x v="10"/>
    <x v="0"/>
    <x v="0"/>
    <x v="9"/>
    <x v="0"/>
    <x v="0"/>
  </r>
  <r>
    <x v="0"/>
    <n v="34.28"/>
    <x v="10"/>
    <x v="0"/>
    <x v="10"/>
    <x v="0"/>
    <x v="0"/>
    <x v="9"/>
    <x v="1"/>
    <x v="1"/>
  </r>
  <r>
    <x v="0"/>
    <n v="15.62"/>
    <x v="11"/>
    <x v="0"/>
    <x v="11"/>
    <x v="0"/>
    <x v="0"/>
    <x v="10"/>
    <x v="0"/>
    <x v="0"/>
  </r>
  <r>
    <x v="0"/>
    <n v="0.03"/>
    <x v="11"/>
    <x v="0"/>
    <x v="11"/>
    <x v="0"/>
    <x v="0"/>
    <x v="10"/>
    <x v="1"/>
    <x v="1"/>
  </r>
  <r>
    <x v="0"/>
    <n v="17.71"/>
    <x v="12"/>
    <x v="0"/>
    <x v="12"/>
    <x v="0"/>
    <x v="0"/>
    <x v="11"/>
    <x v="0"/>
    <x v="0"/>
  </r>
  <r>
    <x v="0"/>
    <n v="5.98"/>
    <x v="13"/>
    <x v="0"/>
    <x v="13"/>
    <x v="0"/>
    <x v="0"/>
    <x v="11"/>
    <x v="0"/>
    <x v="0"/>
  </r>
  <r>
    <x v="0"/>
    <n v="15.14"/>
    <x v="14"/>
    <x v="0"/>
    <x v="14"/>
    <x v="0"/>
    <x v="0"/>
    <x v="11"/>
    <x v="0"/>
    <x v="0"/>
  </r>
  <r>
    <x v="0"/>
    <n v="5.35"/>
    <x v="14"/>
    <x v="0"/>
    <x v="14"/>
    <x v="0"/>
    <x v="0"/>
    <x v="11"/>
    <x v="1"/>
    <x v="1"/>
  </r>
  <r>
    <x v="0"/>
    <n v="48.18"/>
    <x v="15"/>
    <x v="0"/>
    <x v="15"/>
    <x v="0"/>
    <x v="0"/>
    <x v="12"/>
    <x v="0"/>
    <x v="0"/>
  </r>
  <r>
    <x v="0"/>
    <n v="8.76"/>
    <x v="16"/>
    <x v="0"/>
    <x v="16"/>
    <x v="0"/>
    <x v="0"/>
    <x v="12"/>
    <x v="0"/>
    <x v="0"/>
  </r>
  <r>
    <x v="0"/>
    <n v="13.14"/>
    <x v="15"/>
    <x v="0"/>
    <x v="15"/>
    <x v="0"/>
    <x v="0"/>
    <x v="12"/>
    <x v="1"/>
    <x v="1"/>
  </r>
  <r>
    <x v="0"/>
    <n v="2.0699999999999998"/>
    <x v="16"/>
    <x v="0"/>
    <x v="16"/>
    <x v="0"/>
    <x v="0"/>
    <x v="12"/>
    <x v="1"/>
    <x v="1"/>
  </r>
  <r>
    <x v="0"/>
    <n v="18.88"/>
    <x v="17"/>
    <x v="0"/>
    <x v="17"/>
    <x v="0"/>
    <x v="0"/>
    <x v="13"/>
    <x v="0"/>
    <x v="0"/>
  </r>
  <r>
    <x v="0"/>
    <n v="10"/>
    <x v="17"/>
    <x v="0"/>
    <x v="17"/>
    <x v="0"/>
    <x v="0"/>
    <x v="13"/>
    <x v="1"/>
    <x v="1"/>
  </r>
  <r>
    <x v="0"/>
    <n v="13.33"/>
    <x v="18"/>
    <x v="0"/>
    <x v="18"/>
    <x v="0"/>
    <x v="0"/>
    <x v="14"/>
    <x v="0"/>
    <x v="0"/>
  </r>
  <r>
    <x v="0"/>
    <n v="8.4499999999999993"/>
    <x v="19"/>
    <x v="0"/>
    <x v="19"/>
    <x v="0"/>
    <x v="0"/>
    <x v="14"/>
    <x v="0"/>
    <x v="0"/>
  </r>
  <r>
    <x v="0"/>
    <n v="6.48"/>
    <x v="20"/>
    <x v="0"/>
    <x v="20"/>
    <x v="0"/>
    <x v="0"/>
    <x v="14"/>
    <x v="0"/>
    <x v="0"/>
  </r>
  <r>
    <x v="0"/>
    <n v="7.34"/>
    <x v="21"/>
    <x v="0"/>
    <x v="21"/>
    <x v="0"/>
    <x v="0"/>
    <x v="14"/>
    <x v="0"/>
    <x v="0"/>
  </r>
  <r>
    <x v="0"/>
    <n v="11.43"/>
    <x v="22"/>
    <x v="0"/>
    <x v="22"/>
    <x v="0"/>
    <x v="0"/>
    <x v="14"/>
    <x v="0"/>
    <x v="0"/>
  </r>
  <r>
    <x v="0"/>
    <n v="43.21"/>
    <x v="23"/>
    <x v="0"/>
    <x v="19"/>
    <x v="0"/>
    <x v="0"/>
    <x v="14"/>
    <x v="0"/>
    <x v="0"/>
  </r>
  <r>
    <x v="0"/>
    <n v="8.1999999999999993"/>
    <x v="24"/>
    <x v="0"/>
    <x v="23"/>
    <x v="0"/>
    <x v="0"/>
    <x v="14"/>
    <x v="0"/>
    <x v="0"/>
  </r>
  <r>
    <x v="0"/>
    <n v="23.15"/>
    <x v="18"/>
    <x v="0"/>
    <x v="18"/>
    <x v="0"/>
    <x v="0"/>
    <x v="14"/>
    <x v="1"/>
    <x v="1"/>
  </r>
  <r>
    <x v="0"/>
    <n v="5.4"/>
    <x v="19"/>
    <x v="0"/>
    <x v="19"/>
    <x v="0"/>
    <x v="0"/>
    <x v="14"/>
    <x v="1"/>
    <x v="1"/>
  </r>
  <r>
    <x v="0"/>
    <n v="9.1199999999999992"/>
    <x v="20"/>
    <x v="0"/>
    <x v="20"/>
    <x v="0"/>
    <x v="0"/>
    <x v="14"/>
    <x v="1"/>
    <x v="1"/>
  </r>
  <r>
    <x v="0"/>
    <n v="30.43"/>
    <x v="21"/>
    <x v="0"/>
    <x v="21"/>
    <x v="0"/>
    <x v="0"/>
    <x v="14"/>
    <x v="1"/>
    <x v="1"/>
  </r>
  <r>
    <x v="0"/>
    <n v="5.17"/>
    <x v="22"/>
    <x v="0"/>
    <x v="22"/>
    <x v="0"/>
    <x v="0"/>
    <x v="14"/>
    <x v="1"/>
    <x v="1"/>
  </r>
  <r>
    <x v="0"/>
    <n v="55.66"/>
    <x v="23"/>
    <x v="0"/>
    <x v="19"/>
    <x v="0"/>
    <x v="0"/>
    <x v="14"/>
    <x v="1"/>
    <x v="1"/>
  </r>
  <r>
    <x v="0"/>
    <n v="12.16"/>
    <x v="24"/>
    <x v="0"/>
    <x v="23"/>
    <x v="0"/>
    <x v="0"/>
    <x v="14"/>
    <x v="1"/>
    <x v="1"/>
  </r>
  <r>
    <x v="0"/>
    <n v="138.68"/>
    <x v="25"/>
    <x v="0"/>
    <x v="24"/>
    <x v="0"/>
    <x v="0"/>
    <x v="15"/>
    <x v="0"/>
    <x v="0"/>
  </r>
  <r>
    <x v="0"/>
    <n v="0.72"/>
    <x v="25"/>
    <x v="0"/>
    <x v="24"/>
    <x v="0"/>
    <x v="0"/>
    <x v="15"/>
    <x v="1"/>
    <x v="1"/>
  </r>
  <r>
    <x v="0"/>
    <n v="26.16"/>
    <x v="26"/>
    <x v="0"/>
    <x v="25"/>
    <x v="0"/>
    <x v="0"/>
    <x v="16"/>
    <x v="0"/>
    <x v="0"/>
  </r>
  <r>
    <x v="0"/>
    <n v="5.48"/>
    <x v="26"/>
    <x v="0"/>
    <x v="25"/>
    <x v="0"/>
    <x v="0"/>
    <x v="16"/>
    <x v="1"/>
    <x v="1"/>
  </r>
  <r>
    <x v="0"/>
    <n v="73.03"/>
    <x v="27"/>
    <x v="0"/>
    <x v="26"/>
    <x v="0"/>
    <x v="0"/>
    <x v="17"/>
    <x v="0"/>
    <x v="0"/>
  </r>
  <r>
    <x v="0"/>
    <n v="10.01"/>
    <x v="27"/>
    <x v="0"/>
    <x v="26"/>
    <x v="0"/>
    <x v="0"/>
    <x v="17"/>
    <x v="1"/>
    <x v="1"/>
  </r>
  <r>
    <x v="0"/>
    <n v="14.2"/>
    <x v="28"/>
    <x v="0"/>
    <x v="27"/>
    <x v="0"/>
    <x v="0"/>
    <x v="18"/>
    <x v="0"/>
    <x v="0"/>
  </r>
  <r>
    <x v="0"/>
    <n v="17.97"/>
    <x v="28"/>
    <x v="0"/>
    <x v="27"/>
    <x v="0"/>
    <x v="0"/>
    <x v="18"/>
    <x v="1"/>
    <x v="1"/>
  </r>
  <r>
    <x v="0"/>
    <n v="119.4"/>
    <x v="29"/>
    <x v="0"/>
    <x v="28"/>
    <x v="0"/>
    <x v="0"/>
    <x v="19"/>
    <x v="0"/>
    <x v="0"/>
  </r>
  <r>
    <x v="0"/>
    <n v="8.9600000000000009"/>
    <x v="29"/>
    <x v="0"/>
    <x v="28"/>
    <x v="0"/>
    <x v="0"/>
    <x v="19"/>
    <x v="1"/>
    <x v="1"/>
  </r>
  <r>
    <x v="0"/>
    <n v="64.61"/>
    <x v="30"/>
    <x v="0"/>
    <x v="29"/>
    <x v="0"/>
    <x v="0"/>
    <x v="20"/>
    <x v="0"/>
    <x v="0"/>
  </r>
  <r>
    <x v="0"/>
    <n v="72.75"/>
    <x v="31"/>
    <x v="0"/>
    <x v="30"/>
    <x v="0"/>
    <x v="0"/>
    <x v="20"/>
    <x v="0"/>
    <x v="0"/>
  </r>
  <r>
    <x v="0"/>
    <n v="22.2"/>
    <x v="30"/>
    <x v="0"/>
    <x v="29"/>
    <x v="0"/>
    <x v="0"/>
    <x v="20"/>
    <x v="1"/>
    <x v="1"/>
  </r>
  <r>
    <x v="0"/>
    <n v="25.61"/>
    <x v="31"/>
    <x v="0"/>
    <x v="30"/>
    <x v="0"/>
    <x v="0"/>
    <x v="20"/>
    <x v="1"/>
    <x v="1"/>
  </r>
  <r>
    <x v="0"/>
    <n v="65.5"/>
    <x v="32"/>
    <x v="0"/>
    <x v="31"/>
    <x v="0"/>
    <x v="0"/>
    <x v="21"/>
    <x v="0"/>
    <x v="0"/>
  </r>
  <r>
    <x v="0"/>
    <n v="23.86"/>
    <x v="32"/>
    <x v="0"/>
    <x v="31"/>
    <x v="0"/>
    <x v="0"/>
    <x v="21"/>
    <x v="1"/>
    <x v="1"/>
  </r>
  <r>
    <x v="0"/>
    <n v="337.21"/>
    <x v="33"/>
    <x v="0"/>
    <x v="32"/>
    <x v="0"/>
    <x v="0"/>
    <x v="22"/>
    <x v="0"/>
    <x v="0"/>
  </r>
  <r>
    <x v="0"/>
    <n v="17.36"/>
    <x v="33"/>
    <x v="0"/>
    <x v="32"/>
    <x v="0"/>
    <x v="0"/>
    <x v="22"/>
    <x v="1"/>
    <x v="1"/>
  </r>
  <r>
    <x v="0"/>
    <n v="349.17"/>
    <x v="34"/>
    <x v="0"/>
    <x v="33"/>
    <x v="0"/>
    <x v="0"/>
    <x v="23"/>
    <x v="0"/>
    <x v="0"/>
  </r>
  <r>
    <x v="0"/>
    <n v="37.67"/>
    <x v="34"/>
    <x v="0"/>
    <x v="33"/>
    <x v="0"/>
    <x v="0"/>
    <x v="23"/>
    <x v="1"/>
    <x v="1"/>
  </r>
  <r>
    <x v="0"/>
    <n v="6.34"/>
    <x v="35"/>
    <x v="0"/>
    <x v="34"/>
    <x v="0"/>
    <x v="0"/>
    <x v="24"/>
    <x v="0"/>
    <x v="0"/>
  </r>
  <r>
    <x v="0"/>
    <n v="21.42"/>
    <x v="36"/>
    <x v="0"/>
    <x v="35"/>
    <x v="0"/>
    <x v="0"/>
    <x v="24"/>
    <x v="0"/>
    <x v="0"/>
  </r>
  <r>
    <x v="0"/>
    <n v="87.6"/>
    <x v="37"/>
    <x v="0"/>
    <x v="36"/>
    <x v="0"/>
    <x v="0"/>
    <x v="24"/>
    <x v="0"/>
    <x v="0"/>
  </r>
  <r>
    <x v="0"/>
    <n v="159.43"/>
    <x v="38"/>
    <x v="0"/>
    <x v="37"/>
    <x v="0"/>
    <x v="0"/>
    <x v="24"/>
    <x v="0"/>
    <x v="0"/>
  </r>
  <r>
    <x v="0"/>
    <n v="6.55"/>
    <x v="39"/>
    <x v="0"/>
    <x v="38"/>
    <x v="0"/>
    <x v="0"/>
    <x v="24"/>
    <x v="0"/>
    <x v="0"/>
  </r>
  <r>
    <x v="0"/>
    <n v="23.88"/>
    <x v="40"/>
    <x v="0"/>
    <x v="39"/>
    <x v="0"/>
    <x v="0"/>
    <x v="24"/>
    <x v="0"/>
    <x v="0"/>
  </r>
  <r>
    <x v="0"/>
    <n v="6.84"/>
    <x v="41"/>
    <x v="0"/>
    <x v="40"/>
    <x v="0"/>
    <x v="0"/>
    <x v="24"/>
    <x v="0"/>
    <x v="0"/>
  </r>
  <r>
    <x v="0"/>
    <n v="125.78"/>
    <x v="42"/>
    <x v="0"/>
    <x v="41"/>
    <x v="0"/>
    <x v="0"/>
    <x v="24"/>
    <x v="0"/>
    <x v="0"/>
  </r>
  <r>
    <x v="0"/>
    <n v="4.9000000000000004"/>
    <x v="43"/>
    <x v="0"/>
    <x v="42"/>
    <x v="0"/>
    <x v="0"/>
    <x v="24"/>
    <x v="0"/>
    <x v="0"/>
  </r>
  <r>
    <x v="0"/>
    <n v="14.2"/>
    <x v="44"/>
    <x v="0"/>
    <x v="43"/>
    <x v="0"/>
    <x v="0"/>
    <x v="24"/>
    <x v="0"/>
    <x v="0"/>
  </r>
  <r>
    <x v="0"/>
    <n v="1455.57"/>
    <x v="45"/>
    <x v="0"/>
    <x v="44"/>
    <x v="0"/>
    <x v="0"/>
    <x v="24"/>
    <x v="0"/>
    <x v="0"/>
  </r>
  <r>
    <x v="0"/>
    <n v="249.16"/>
    <x v="46"/>
    <x v="0"/>
    <x v="45"/>
    <x v="0"/>
    <x v="0"/>
    <x v="24"/>
    <x v="0"/>
    <x v="0"/>
  </r>
  <r>
    <x v="0"/>
    <n v="104.11"/>
    <x v="47"/>
    <x v="0"/>
    <x v="46"/>
    <x v="0"/>
    <x v="0"/>
    <x v="24"/>
    <x v="0"/>
    <x v="0"/>
  </r>
  <r>
    <x v="0"/>
    <n v="7.58"/>
    <x v="48"/>
    <x v="0"/>
    <x v="47"/>
    <x v="0"/>
    <x v="0"/>
    <x v="24"/>
    <x v="0"/>
    <x v="0"/>
  </r>
  <r>
    <x v="0"/>
    <n v="174.86"/>
    <x v="49"/>
    <x v="0"/>
    <x v="48"/>
    <x v="0"/>
    <x v="0"/>
    <x v="24"/>
    <x v="0"/>
    <x v="0"/>
  </r>
  <r>
    <x v="0"/>
    <n v="70.739999999999995"/>
    <x v="50"/>
    <x v="0"/>
    <x v="49"/>
    <x v="0"/>
    <x v="0"/>
    <x v="24"/>
    <x v="0"/>
    <x v="0"/>
  </r>
  <r>
    <x v="0"/>
    <n v="26.7"/>
    <x v="51"/>
    <x v="0"/>
    <x v="50"/>
    <x v="0"/>
    <x v="0"/>
    <x v="24"/>
    <x v="0"/>
    <x v="0"/>
  </r>
  <r>
    <x v="0"/>
    <n v="20.18"/>
    <x v="52"/>
    <x v="0"/>
    <x v="51"/>
    <x v="0"/>
    <x v="0"/>
    <x v="24"/>
    <x v="0"/>
    <x v="0"/>
  </r>
  <r>
    <x v="0"/>
    <n v="131.59"/>
    <x v="53"/>
    <x v="0"/>
    <x v="52"/>
    <x v="0"/>
    <x v="0"/>
    <x v="24"/>
    <x v="0"/>
    <x v="0"/>
  </r>
  <r>
    <x v="0"/>
    <n v="213.82"/>
    <x v="54"/>
    <x v="0"/>
    <x v="51"/>
    <x v="0"/>
    <x v="0"/>
    <x v="24"/>
    <x v="0"/>
    <x v="0"/>
  </r>
  <r>
    <x v="0"/>
    <n v="27.06"/>
    <x v="55"/>
    <x v="0"/>
    <x v="34"/>
    <x v="0"/>
    <x v="0"/>
    <x v="24"/>
    <x v="0"/>
    <x v="0"/>
  </r>
  <r>
    <x v="0"/>
    <n v="95.82"/>
    <x v="56"/>
    <x v="0"/>
    <x v="53"/>
    <x v="0"/>
    <x v="0"/>
    <x v="24"/>
    <x v="0"/>
    <x v="0"/>
  </r>
  <r>
    <x v="0"/>
    <n v="0.52"/>
    <x v="35"/>
    <x v="0"/>
    <x v="34"/>
    <x v="0"/>
    <x v="0"/>
    <x v="24"/>
    <x v="1"/>
    <x v="1"/>
  </r>
  <r>
    <x v="0"/>
    <n v="18.98"/>
    <x v="36"/>
    <x v="0"/>
    <x v="35"/>
    <x v="0"/>
    <x v="0"/>
    <x v="24"/>
    <x v="1"/>
    <x v="1"/>
  </r>
  <r>
    <x v="0"/>
    <n v="92.78"/>
    <x v="37"/>
    <x v="0"/>
    <x v="36"/>
    <x v="0"/>
    <x v="0"/>
    <x v="24"/>
    <x v="1"/>
    <x v="1"/>
  </r>
  <r>
    <x v="0"/>
    <n v="11.92"/>
    <x v="38"/>
    <x v="0"/>
    <x v="37"/>
    <x v="0"/>
    <x v="0"/>
    <x v="24"/>
    <x v="1"/>
    <x v="1"/>
  </r>
  <r>
    <x v="0"/>
    <n v="0.56999999999999995"/>
    <x v="39"/>
    <x v="0"/>
    <x v="38"/>
    <x v="0"/>
    <x v="0"/>
    <x v="24"/>
    <x v="1"/>
    <x v="1"/>
  </r>
  <r>
    <x v="0"/>
    <n v="12.82"/>
    <x v="40"/>
    <x v="0"/>
    <x v="39"/>
    <x v="0"/>
    <x v="0"/>
    <x v="24"/>
    <x v="1"/>
    <x v="1"/>
  </r>
  <r>
    <x v="0"/>
    <n v="8.11"/>
    <x v="41"/>
    <x v="0"/>
    <x v="40"/>
    <x v="0"/>
    <x v="0"/>
    <x v="24"/>
    <x v="1"/>
    <x v="1"/>
  </r>
  <r>
    <x v="0"/>
    <n v="6.33"/>
    <x v="42"/>
    <x v="0"/>
    <x v="41"/>
    <x v="0"/>
    <x v="0"/>
    <x v="24"/>
    <x v="1"/>
    <x v="1"/>
  </r>
  <r>
    <x v="0"/>
    <n v="5.52"/>
    <x v="43"/>
    <x v="0"/>
    <x v="42"/>
    <x v="0"/>
    <x v="0"/>
    <x v="24"/>
    <x v="1"/>
    <x v="1"/>
  </r>
  <r>
    <x v="0"/>
    <n v="8.08"/>
    <x v="44"/>
    <x v="0"/>
    <x v="43"/>
    <x v="0"/>
    <x v="0"/>
    <x v="24"/>
    <x v="1"/>
    <x v="1"/>
  </r>
  <r>
    <x v="0"/>
    <n v="34.799999999999997"/>
    <x v="45"/>
    <x v="0"/>
    <x v="44"/>
    <x v="0"/>
    <x v="0"/>
    <x v="24"/>
    <x v="1"/>
    <x v="1"/>
  </r>
  <r>
    <x v="0"/>
    <n v="11.94"/>
    <x v="46"/>
    <x v="0"/>
    <x v="45"/>
    <x v="0"/>
    <x v="0"/>
    <x v="24"/>
    <x v="1"/>
    <x v="1"/>
  </r>
  <r>
    <x v="0"/>
    <n v="38.42"/>
    <x v="47"/>
    <x v="0"/>
    <x v="46"/>
    <x v="0"/>
    <x v="0"/>
    <x v="24"/>
    <x v="1"/>
    <x v="1"/>
  </r>
  <r>
    <x v="0"/>
    <n v="0.38"/>
    <x v="48"/>
    <x v="0"/>
    <x v="47"/>
    <x v="0"/>
    <x v="0"/>
    <x v="24"/>
    <x v="1"/>
    <x v="1"/>
  </r>
  <r>
    <x v="0"/>
    <n v="74.09"/>
    <x v="49"/>
    <x v="0"/>
    <x v="48"/>
    <x v="0"/>
    <x v="0"/>
    <x v="24"/>
    <x v="1"/>
    <x v="1"/>
  </r>
  <r>
    <x v="0"/>
    <n v="14.08"/>
    <x v="50"/>
    <x v="0"/>
    <x v="49"/>
    <x v="0"/>
    <x v="0"/>
    <x v="24"/>
    <x v="1"/>
    <x v="1"/>
  </r>
  <r>
    <x v="0"/>
    <n v="1.98"/>
    <x v="51"/>
    <x v="0"/>
    <x v="50"/>
    <x v="0"/>
    <x v="0"/>
    <x v="24"/>
    <x v="1"/>
    <x v="1"/>
  </r>
  <r>
    <x v="0"/>
    <n v="10.95"/>
    <x v="52"/>
    <x v="0"/>
    <x v="51"/>
    <x v="0"/>
    <x v="0"/>
    <x v="24"/>
    <x v="1"/>
    <x v="1"/>
  </r>
  <r>
    <x v="0"/>
    <n v="31.16"/>
    <x v="53"/>
    <x v="0"/>
    <x v="52"/>
    <x v="0"/>
    <x v="0"/>
    <x v="24"/>
    <x v="1"/>
    <x v="1"/>
  </r>
  <r>
    <x v="0"/>
    <n v="63.26"/>
    <x v="54"/>
    <x v="0"/>
    <x v="51"/>
    <x v="0"/>
    <x v="0"/>
    <x v="24"/>
    <x v="1"/>
    <x v="1"/>
  </r>
  <r>
    <x v="0"/>
    <n v="35.57"/>
    <x v="55"/>
    <x v="0"/>
    <x v="34"/>
    <x v="0"/>
    <x v="0"/>
    <x v="24"/>
    <x v="1"/>
    <x v="1"/>
  </r>
  <r>
    <x v="0"/>
    <n v="15.62"/>
    <x v="56"/>
    <x v="0"/>
    <x v="53"/>
    <x v="0"/>
    <x v="0"/>
    <x v="24"/>
    <x v="1"/>
    <x v="1"/>
  </r>
  <r>
    <x v="0"/>
    <n v="29.72"/>
    <x v="57"/>
    <x v="0"/>
    <x v="54"/>
    <x v="0"/>
    <x v="0"/>
    <x v="25"/>
    <x v="0"/>
    <x v="0"/>
  </r>
  <r>
    <x v="0"/>
    <n v="2.31"/>
    <x v="57"/>
    <x v="0"/>
    <x v="54"/>
    <x v="0"/>
    <x v="0"/>
    <x v="25"/>
    <x v="1"/>
    <x v="1"/>
  </r>
  <r>
    <x v="0"/>
    <n v="303.43"/>
    <x v="58"/>
    <x v="0"/>
    <x v="43"/>
    <x v="0"/>
    <x v="0"/>
    <x v="26"/>
    <x v="0"/>
    <x v="0"/>
  </r>
  <r>
    <x v="0"/>
    <n v="34.08"/>
    <x v="58"/>
    <x v="0"/>
    <x v="43"/>
    <x v="0"/>
    <x v="0"/>
    <x v="26"/>
    <x v="1"/>
    <x v="1"/>
  </r>
  <r>
    <x v="0"/>
    <n v="20.2"/>
    <x v="59"/>
    <x v="0"/>
    <x v="55"/>
    <x v="0"/>
    <x v="0"/>
    <x v="27"/>
    <x v="0"/>
    <x v="0"/>
  </r>
  <r>
    <x v="0"/>
    <n v="0.93"/>
    <x v="59"/>
    <x v="0"/>
    <x v="55"/>
    <x v="0"/>
    <x v="0"/>
    <x v="27"/>
    <x v="1"/>
    <x v="1"/>
  </r>
  <r>
    <x v="0"/>
    <n v="4.08"/>
    <x v="60"/>
    <x v="0"/>
    <x v="56"/>
    <x v="0"/>
    <x v="0"/>
    <x v="28"/>
    <x v="0"/>
    <x v="0"/>
  </r>
  <r>
    <x v="0"/>
    <n v="4.08"/>
    <x v="61"/>
    <x v="0"/>
    <x v="56"/>
    <x v="0"/>
    <x v="0"/>
    <x v="28"/>
    <x v="0"/>
    <x v="0"/>
  </r>
  <r>
    <x v="0"/>
    <n v="5.08"/>
    <x v="62"/>
    <x v="0"/>
    <x v="56"/>
    <x v="0"/>
    <x v="0"/>
    <x v="28"/>
    <x v="0"/>
    <x v="0"/>
  </r>
  <r>
    <x v="0"/>
    <n v="4.41"/>
    <x v="60"/>
    <x v="0"/>
    <x v="56"/>
    <x v="0"/>
    <x v="0"/>
    <x v="28"/>
    <x v="1"/>
    <x v="1"/>
  </r>
  <r>
    <x v="0"/>
    <n v="2.5099999999999998"/>
    <x v="62"/>
    <x v="0"/>
    <x v="56"/>
    <x v="0"/>
    <x v="0"/>
    <x v="28"/>
    <x v="1"/>
    <x v="1"/>
  </r>
  <r>
    <x v="0"/>
    <n v="16.86"/>
    <x v="63"/>
    <x v="0"/>
    <x v="57"/>
    <x v="0"/>
    <x v="0"/>
    <x v="29"/>
    <x v="0"/>
    <x v="0"/>
  </r>
  <r>
    <x v="0"/>
    <n v="2.13"/>
    <x v="63"/>
    <x v="0"/>
    <x v="57"/>
    <x v="0"/>
    <x v="0"/>
    <x v="29"/>
    <x v="1"/>
    <x v="1"/>
  </r>
  <r>
    <x v="0"/>
    <n v="6.94"/>
    <x v="64"/>
    <x v="0"/>
    <x v="58"/>
    <x v="0"/>
    <x v="0"/>
    <x v="30"/>
    <x v="0"/>
    <x v="0"/>
  </r>
  <r>
    <x v="0"/>
    <n v="136.06"/>
    <x v="65"/>
    <x v="0"/>
    <x v="59"/>
    <x v="0"/>
    <x v="0"/>
    <x v="31"/>
    <x v="0"/>
    <x v="0"/>
  </r>
  <r>
    <x v="0"/>
    <n v="18.37"/>
    <x v="65"/>
    <x v="0"/>
    <x v="59"/>
    <x v="0"/>
    <x v="0"/>
    <x v="31"/>
    <x v="1"/>
    <x v="1"/>
  </r>
  <r>
    <x v="0"/>
    <n v="30.34"/>
    <x v="66"/>
    <x v="0"/>
    <x v="60"/>
    <x v="0"/>
    <x v="0"/>
    <x v="32"/>
    <x v="0"/>
    <x v="0"/>
  </r>
  <r>
    <x v="0"/>
    <n v="67.05"/>
    <x v="67"/>
    <x v="0"/>
    <x v="61"/>
    <x v="0"/>
    <x v="0"/>
    <x v="32"/>
    <x v="0"/>
    <x v="0"/>
  </r>
  <r>
    <x v="0"/>
    <n v="16.13"/>
    <x v="66"/>
    <x v="0"/>
    <x v="60"/>
    <x v="0"/>
    <x v="0"/>
    <x v="32"/>
    <x v="1"/>
    <x v="1"/>
  </r>
  <r>
    <x v="0"/>
    <n v="23.93"/>
    <x v="67"/>
    <x v="0"/>
    <x v="61"/>
    <x v="0"/>
    <x v="0"/>
    <x v="32"/>
    <x v="1"/>
    <x v="1"/>
  </r>
  <r>
    <x v="0"/>
    <n v="17.87"/>
    <x v="68"/>
    <x v="0"/>
    <x v="62"/>
    <x v="0"/>
    <x v="0"/>
    <x v="33"/>
    <x v="0"/>
    <x v="0"/>
  </r>
  <r>
    <x v="0"/>
    <n v="0.1"/>
    <x v="68"/>
    <x v="0"/>
    <x v="62"/>
    <x v="0"/>
    <x v="0"/>
    <x v="33"/>
    <x v="1"/>
    <x v="1"/>
  </r>
  <r>
    <x v="0"/>
    <n v="40.880000000000003"/>
    <x v="69"/>
    <x v="0"/>
    <x v="63"/>
    <x v="0"/>
    <x v="0"/>
    <x v="34"/>
    <x v="0"/>
    <x v="0"/>
  </r>
  <r>
    <x v="0"/>
    <n v="7.64"/>
    <x v="69"/>
    <x v="0"/>
    <x v="63"/>
    <x v="0"/>
    <x v="0"/>
    <x v="34"/>
    <x v="1"/>
    <x v="1"/>
  </r>
  <r>
    <x v="0"/>
    <n v="18.95"/>
    <x v="70"/>
    <x v="0"/>
    <x v="64"/>
    <x v="0"/>
    <x v="0"/>
    <x v="35"/>
    <x v="0"/>
    <x v="0"/>
  </r>
  <r>
    <x v="0"/>
    <n v="25.21"/>
    <x v="70"/>
    <x v="0"/>
    <x v="64"/>
    <x v="0"/>
    <x v="0"/>
    <x v="35"/>
    <x v="1"/>
    <x v="1"/>
  </r>
  <r>
    <x v="0"/>
    <n v="9.07"/>
    <x v="71"/>
    <x v="0"/>
    <x v="65"/>
    <x v="0"/>
    <x v="0"/>
    <x v="36"/>
    <x v="0"/>
    <x v="0"/>
  </r>
  <r>
    <x v="0"/>
    <n v="46.15"/>
    <x v="72"/>
    <x v="0"/>
    <x v="66"/>
    <x v="0"/>
    <x v="0"/>
    <x v="36"/>
    <x v="0"/>
    <x v="0"/>
  </r>
  <r>
    <x v="0"/>
    <n v="8.23"/>
    <x v="73"/>
    <x v="0"/>
    <x v="67"/>
    <x v="0"/>
    <x v="0"/>
    <x v="36"/>
    <x v="0"/>
    <x v="0"/>
  </r>
  <r>
    <x v="0"/>
    <n v="0"/>
    <x v="71"/>
    <x v="0"/>
    <x v="65"/>
    <x v="0"/>
    <x v="0"/>
    <x v="36"/>
    <x v="1"/>
    <x v="1"/>
  </r>
  <r>
    <x v="0"/>
    <n v="10.64"/>
    <x v="72"/>
    <x v="0"/>
    <x v="66"/>
    <x v="0"/>
    <x v="0"/>
    <x v="36"/>
    <x v="1"/>
    <x v="1"/>
  </r>
  <r>
    <x v="0"/>
    <n v="14.74"/>
    <x v="74"/>
    <x v="0"/>
    <x v="68"/>
    <x v="0"/>
    <x v="0"/>
    <x v="37"/>
    <x v="0"/>
    <x v="0"/>
  </r>
  <r>
    <x v="0"/>
    <n v="81.8"/>
    <x v="75"/>
    <x v="0"/>
    <x v="69"/>
    <x v="0"/>
    <x v="0"/>
    <x v="38"/>
    <x v="0"/>
    <x v="0"/>
  </r>
  <r>
    <x v="0"/>
    <n v="41.04"/>
    <x v="76"/>
    <x v="0"/>
    <x v="70"/>
    <x v="0"/>
    <x v="0"/>
    <x v="38"/>
    <x v="0"/>
    <x v="0"/>
  </r>
  <r>
    <x v="0"/>
    <n v="62.76"/>
    <x v="77"/>
    <x v="0"/>
    <x v="71"/>
    <x v="0"/>
    <x v="0"/>
    <x v="38"/>
    <x v="0"/>
    <x v="0"/>
  </r>
  <r>
    <x v="0"/>
    <n v="47.78"/>
    <x v="75"/>
    <x v="0"/>
    <x v="69"/>
    <x v="0"/>
    <x v="0"/>
    <x v="38"/>
    <x v="1"/>
    <x v="1"/>
  </r>
  <r>
    <x v="0"/>
    <n v="16.809999999999999"/>
    <x v="76"/>
    <x v="0"/>
    <x v="70"/>
    <x v="0"/>
    <x v="0"/>
    <x v="38"/>
    <x v="1"/>
    <x v="1"/>
  </r>
  <r>
    <x v="0"/>
    <n v="11.55"/>
    <x v="77"/>
    <x v="0"/>
    <x v="71"/>
    <x v="0"/>
    <x v="0"/>
    <x v="38"/>
    <x v="1"/>
    <x v="1"/>
  </r>
  <r>
    <x v="0"/>
    <n v="59.99"/>
    <x v="78"/>
    <x v="0"/>
    <x v="72"/>
    <x v="0"/>
    <x v="0"/>
    <x v="39"/>
    <x v="0"/>
    <x v="0"/>
  </r>
  <r>
    <x v="0"/>
    <n v="6.49"/>
    <x v="78"/>
    <x v="0"/>
    <x v="72"/>
    <x v="0"/>
    <x v="0"/>
    <x v="39"/>
    <x v="1"/>
    <x v="1"/>
  </r>
  <r>
    <x v="0"/>
    <n v="74.02"/>
    <x v="79"/>
    <x v="0"/>
    <x v="73"/>
    <x v="0"/>
    <x v="0"/>
    <x v="40"/>
    <x v="0"/>
    <x v="0"/>
  </r>
  <r>
    <x v="0"/>
    <n v="3.2"/>
    <x v="79"/>
    <x v="0"/>
    <x v="73"/>
    <x v="0"/>
    <x v="0"/>
    <x v="40"/>
    <x v="1"/>
    <x v="1"/>
  </r>
  <r>
    <x v="0"/>
    <n v="65.819999999999993"/>
    <x v="80"/>
    <x v="0"/>
    <x v="74"/>
    <x v="0"/>
    <x v="0"/>
    <x v="41"/>
    <x v="0"/>
    <x v="0"/>
  </r>
  <r>
    <x v="0"/>
    <n v="11.09"/>
    <x v="80"/>
    <x v="0"/>
    <x v="74"/>
    <x v="0"/>
    <x v="0"/>
    <x v="41"/>
    <x v="1"/>
    <x v="1"/>
  </r>
  <r>
    <x v="0"/>
    <n v="9.3000000000000007"/>
    <x v="81"/>
    <x v="0"/>
    <x v="75"/>
    <x v="0"/>
    <x v="0"/>
    <x v="42"/>
    <x v="0"/>
    <x v="0"/>
  </r>
  <r>
    <x v="0"/>
    <n v="2.66"/>
    <x v="81"/>
    <x v="0"/>
    <x v="75"/>
    <x v="0"/>
    <x v="0"/>
    <x v="42"/>
    <x v="1"/>
    <x v="1"/>
  </r>
  <r>
    <x v="0"/>
    <n v="24.89"/>
    <x v="82"/>
    <x v="0"/>
    <x v="76"/>
    <x v="0"/>
    <x v="0"/>
    <x v="43"/>
    <x v="0"/>
    <x v="0"/>
  </r>
  <r>
    <x v="0"/>
    <n v="16.190000000000001"/>
    <x v="83"/>
    <x v="0"/>
    <x v="77"/>
    <x v="0"/>
    <x v="0"/>
    <x v="43"/>
    <x v="0"/>
    <x v="0"/>
  </r>
  <r>
    <x v="0"/>
    <n v="5"/>
    <x v="82"/>
    <x v="0"/>
    <x v="76"/>
    <x v="0"/>
    <x v="0"/>
    <x v="43"/>
    <x v="1"/>
    <x v="1"/>
  </r>
  <r>
    <x v="0"/>
    <n v="4.41"/>
    <x v="83"/>
    <x v="0"/>
    <x v="77"/>
    <x v="0"/>
    <x v="0"/>
    <x v="43"/>
    <x v="1"/>
    <x v="1"/>
  </r>
  <r>
    <x v="0"/>
    <n v="208.49"/>
    <x v="84"/>
    <x v="0"/>
    <x v="78"/>
    <x v="0"/>
    <x v="0"/>
    <x v="44"/>
    <x v="0"/>
    <x v="0"/>
  </r>
  <r>
    <x v="0"/>
    <n v="17.7"/>
    <x v="84"/>
    <x v="0"/>
    <x v="78"/>
    <x v="0"/>
    <x v="0"/>
    <x v="44"/>
    <x v="1"/>
    <x v="1"/>
  </r>
  <r>
    <x v="0"/>
    <n v="11.95"/>
    <x v="85"/>
    <x v="0"/>
    <x v="79"/>
    <x v="0"/>
    <x v="0"/>
    <x v="45"/>
    <x v="0"/>
    <x v="0"/>
  </r>
  <r>
    <x v="0"/>
    <n v="26.33"/>
    <x v="86"/>
    <x v="0"/>
    <x v="79"/>
    <x v="0"/>
    <x v="0"/>
    <x v="45"/>
    <x v="0"/>
    <x v="0"/>
  </r>
  <r>
    <x v="0"/>
    <n v="14.03"/>
    <x v="85"/>
    <x v="0"/>
    <x v="79"/>
    <x v="0"/>
    <x v="0"/>
    <x v="45"/>
    <x v="1"/>
    <x v="1"/>
  </r>
  <r>
    <x v="0"/>
    <n v="14.23"/>
    <x v="86"/>
    <x v="0"/>
    <x v="79"/>
    <x v="0"/>
    <x v="0"/>
    <x v="45"/>
    <x v="1"/>
    <x v="1"/>
  </r>
  <r>
    <x v="0"/>
    <n v="9.6300000000000008"/>
    <x v="87"/>
    <x v="0"/>
    <x v="80"/>
    <x v="0"/>
    <x v="0"/>
    <x v="46"/>
    <x v="0"/>
    <x v="0"/>
  </r>
  <r>
    <x v="0"/>
    <n v="13.07"/>
    <x v="87"/>
    <x v="0"/>
    <x v="80"/>
    <x v="0"/>
    <x v="0"/>
    <x v="46"/>
    <x v="1"/>
    <x v="1"/>
  </r>
  <r>
    <x v="0"/>
    <n v="75.03"/>
    <x v="88"/>
    <x v="0"/>
    <x v="80"/>
    <x v="0"/>
    <x v="0"/>
    <x v="47"/>
    <x v="0"/>
    <x v="0"/>
  </r>
  <r>
    <x v="0"/>
    <n v="43.41"/>
    <x v="88"/>
    <x v="0"/>
    <x v="80"/>
    <x v="0"/>
    <x v="0"/>
    <x v="47"/>
    <x v="1"/>
    <x v="1"/>
  </r>
  <r>
    <x v="0"/>
    <n v="825.08"/>
    <x v="89"/>
    <x v="0"/>
    <x v="81"/>
    <x v="0"/>
    <x v="0"/>
    <x v="48"/>
    <x v="0"/>
    <x v="0"/>
  </r>
  <r>
    <x v="0"/>
    <n v="11.79"/>
    <x v="90"/>
    <x v="0"/>
    <x v="82"/>
    <x v="0"/>
    <x v="0"/>
    <x v="48"/>
    <x v="0"/>
    <x v="0"/>
  </r>
  <r>
    <x v="0"/>
    <n v="7.48"/>
    <x v="91"/>
    <x v="0"/>
    <x v="83"/>
    <x v="0"/>
    <x v="0"/>
    <x v="48"/>
    <x v="0"/>
    <x v="0"/>
  </r>
  <r>
    <x v="0"/>
    <n v="47.82"/>
    <x v="92"/>
    <x v="0"/>
    <x v="81"/>
    <x v="0"/>
    <x v="0"/>
    <x v="48"/>
    <x v="0"/>
    <x v="0"/>
  </r>
  <r>
    <x v="0"/>
    <n v="3.23"/>
    <x v="89"/>
    <x v="0"/>
    <x v="81"/>
    <x v="0"/>
    <x v="0"/>
    <x v="48"/>
    <x v="1"/>
    <x v="1"/>
  </r>
  <r>
    <x v="0"/>
    <n v="18.920000000000002"/>
    <x v="91"/>
    <x v="0"/>
    <x v="83"/>
    <x v="0"/>
    <x v="0"/>
    <x v="48"/>
    <x v="1"/>
    <x v="1"/>
  </r>
  <r>
    <x v="0"/>
    <n v="1.9"/>
    <x v="92"/>
    <x v="0"/>
    <x v="81"/>
    <x v="0"/>
    <x v="0"/>
    <x v="48"/>
    <x v="1"/>
    <x v="1"/>
  </r>
  <r>
    <x v="0"/>
    <n v="6.25"/>
    <x v="93"/>
    <x v="0"/>
    <x v="84"/>
    <x v="0"/>
    <x v="0"/>
    <x v="49"/>
    <x v="0"/>
    <x v="0"/>
  </r>
  <r>
    <x v="0"/>
    <n v="16.079999999999998"/>
    <x v="94"/>
    <x v="0"/>
    <x v="85"/>
    <x v="0"/>
    <x v="0"/>
    <x v="49"/>
    <x v="0"/>
    <x v="0"/>
  </r>
  <r>
    <x v="0"/>
    <n v="0.19"/>
    <x v="94"/>
    <x v="0"/>
    <x v="85"/>
    <x v="0"/>
    <x v="0"/>
    <x v="49"/>
    <x v="1"/>
    <x v="1"/>
  </r>
  <r>
    <x v="0"/>
    <n v="147.08000000000001"/>
    <x v="95"/>
    <x v="0"/>
    <x v="86"/>
    <x v="0"/>
    <x v="0"/>
    <x v="50"/>
    <x v="0"/>
    <x v="0"/>
  </r>
  <r>
    <x v="0"/>
    <n v="6.85"/>
    <x v="95"/>
    <x v="0"/>
    <x v="86"/>
    <x v="0"/>
    <x v="0"/>
    <x v="50"/>
    <x v="1"/>
    <x v="1"/>
  </r>
  <r>
    <x v="0"/>
    <n v="27.9"/>
    <x v="96"/>
    <x v="0"/>
    <x v="87"/>
    <x v="0"/>
    <x v="0"/>
    <x v="51"/>
    <x v="0"/>
    <x v="0"/>
  </r>
  <r>
    <x v="0"/>
    <n v="64.53"/>
    <x v="97"/>
    <x v="0"/>
    <x v="88"/>
    <x v="0"/>
    <x v="0"/>
    <x v="52"/>
    <x v="0"/>
    <x v="0"/>
  </r>
  <r>
    <x v="0"/>
    <n v="4.4000000000000004"/>
    <x v="98"/>
    <x v="0"/>
    <x v="89"/>
    <x v="0"/>
    <x v="0"/>
    <x v="52"/>
    <x v="0"/>
    <x v="0"/>
  </r>
  <r>
    <x v="0"/>
    <n v="11.54"/>
    <x v="99"/>
    <x v="0"/>
    <x v="90"/>
    <x v="0"/>
    <x v="0"/>
    <x v="52"/>
    <x v="0"/>
    <x v="0"/>
  </r>
  <r>
    <x v="0"/>
    <n v="19.57"/>
    <x v="100"/>
    <x v="0"/>
    <x v="91"/>
    <x v="0"/>
    <x v="0"/>
    <x v="52"/>
    <x v="0"/>
    <x v="0"/>
  </r>
  <r>
    <x v="0"/>
    <n v="22.42"/>
    <x v="101"/>
    <x v="0"/>
    <x v="92"/>
    <x v="0"/>
    <x v="0"/>
    <x v="52"/>
    <x v="0"/>
    <x v="0"/>
  </r>
  <r>
    <x v="0"/>
    <n v="34.06"/>
    <x v="97"/>
    <x v="0"/>
    <x v="88"/>
    <x v="0"/>
    <x v="0"/>
    <x v="52"/>
    <x v="1"/>
    <x v="1"/>
  </r>
  <r>
    <x v="0"/>
    <n v="2.93"/>
    <x v="98"/>
    <x v="0"/>
    <x v="89"/>
    <x v="0"/>
    <x v="0"/>
    <x v="52"/>
    <x v="1"/>
    <x v="1"/>
  </r>
  <r>
    <x v="0"/>
    <n v="9.69"/>
    <x v="99"/>
    <x v="0"/>
    <x v="90"/>
    <x v="0"/>
    <x v="0"/>
    <x v="52"/>
    <x v="1"/>
    <x v="1"/>
  </r>
  <r>
    <x v="0"/>
    <n v="17.8"/>
    <x v="100"/>
    <x v="0"/>
    <x v="91"/>
    <x v="0"/>
    <x v="0"/>
    <x v="52"/>
    <x v="1"/>
    <x v="1"/>
  </r>
  <r>
    <x v="0"/>
    <n v="10.59"/>
    <x v="101"/>
    <x v="0"/>
    <x v="92"/>
    <x v="0"/>
    <x v="0"/>
    <x v="52"/>
    <x v="1"/>
    <x v="1"/>
  </r>
  <r>
    <x v="0"/>
    <n v="19.23"/>
    <x v="102"/>
    <x v="0"/>
    <x v="93"/>
    <x v="0"/>
    <x v="0"/>
    <x v="53"/>
    <x v="0"/>
    <x v="0"/>
  </r>
  <r>
    <x v="0"/>
    <n v="47.67"/>
    <x v="102"/>
    <x v="0"/>
    <x v="93"/>
    <x v="0"/>
    <x v="0"/>
    <x v="53"/>
    <x v="1"/>
    <x v="1"/>
  </r>
  <r>
    <x v="0"/>
    <n v="67.989999999999995"/>
    <x v="103"/>
    <x v="0"/>
    <x v="94"/>
    <x v="0"/>
    <x v="0"/>
    <x v="54"/>
    <x v="0"/>
    <x v="0"/>
  </r>
  <r>
    <x v="0"/>
    <n v="10.01"/>
    <x v="103"/>
    <x v="0"/>
    <x v="94"/>
    <x v="0"/>
    <x v="0"/>
    <x v="54"/>
    <x v="1"/>
    <x v="1"/>
  </r>
  <r>
    <x v="0"/>
    <n v="31.02"/>
    <x v="104"/>
    <x v="0"/>
    <x v="95"/>
    <x v="0"/>
    <x v="0"/>
    <x v="55"/>
    <x v="0"/>
    <x v="0"/>
  </r>
  <r>
    <x v="0"/>
    <n v="46.71"/>
    <x v="104"/>
    <x v="0"/>
    <x v="95"/>
    <x v="0"/>
    <x v="0"/>
    <x v="55"/>
    <x v="1"/>
    <x v="1"/>
  </r>
  <r>
    <x v="0"/>
    <n v="14.52"/>
    <x v="105"/>
    <x v="0"/>
    <x v="96"/>
    <x v="0"/>
    <x v="0"/>
    <x v="56"/>
    <x v="0"/>
    <x v="0"/>
  </r>
  <r>
    <x v="0"/>
    <n v="5.43"/>
    <x v="105"/>
    <x v="0"/>
    <x v="96"/>
    <x v="0"/>
    <x v="0"/>
    <x v="56"/>
    <x v="1"/>
    <x v="1"/>
  </r>
  <r>
    <x v="0"/>
    <n v="210.58"/>
    <x v="106"/>
    <x v="0"/>
    <x v="97"/>
    <x v="0"/>
    <x v="0"/>
    <x v="57"/>
    <x v="0"/>
    <x v="0"/>
  </r>
  <r>
    <x v="0"/>
    <n v="38.270000000000003"/>
    <x v="106"/>
    <x v="0"/>
    <x v="97"/>
    <x v="0"/>
    <x v="0"/>
    <x v="57"/>
    <x v="1"/>
    <x v="1"/>
  </r>
  <r>
    <x v="0"/>
    <n v="20.93"/>
    <x v="107"/>
    <x v="0"/>
    <x v="98"/>
    <x v="0"/>
    <x v="0"/>
    <x v="58"/>
    <x v="0"/>
    <x v="0"/>
  </r>
  <r>
    <x v="0"/>
    <n v="2.64"/>
    <x v="107"/>
    <x v="0"/>
    <x v="98"/>
    <x v="0"/>
    <x v="0"/>
    <x v="58"/>
    <x v="1"/>
    <x v="1"/>
  </r>
  <r>
    <x v="0"/>
    <n v="141.09"/>
    <x v="108"/>
    <x v="0"/>
    <x v="99"/>
    <x v="0"/>
    <x v="0"/>
    <x v="59"/>
    <x v="0"/>
    <x v="0"/>
  </r>
  <r>
    <x v="0"/>
    <n v="0.09"/>
    <x v="108"/>
    <x v="0"/>
    <x v="99"/>
    <x v="0"/>
    <x v="0"/>
    <x v="59"/>
    <x v="1"/>
    <x v="1"/>
  </r>
  <r>
    <x v="0"/>
    <n v="19.670000000000002"/>
    <x v="109"/>
    <x v="0"/>
    <x v="100"/>
    <x v="0"/>
    <x v="0"/>
    <x v="60"/>
    <x v="0"/>
    <x v="0"/>
  </r>
  <r>
    <x v="0"/>
    <n v="22.79"/>
    <x v="109"/>
    <x v="0"/>
    <x v="100"/>
    <x v="0"/>
    <x v="0"/>
    <x v="60"/>
    <x v="1"/>
    <x v="1"/>
  </r>
  <r>
    <x v="0"/>
    <n v="126.22"/>
    <x v="110"/>
    <x v="0"/>
    <x v="101"/>
    <x v="0"/>
    <x v="0"/>
    <x v="61"/>
    <x v="0"/>
    <x v="0"/>
  </r>
  <r>
    <x v="0"/>
    <n v="17.95"/>
    <x v="110"/>
    <x v="0"/>
    <x v="101"/>
    <x v="0"/>
    <x v="0"/>
    <x v="61"/>
    <x v="1"/>
    <x v="1"/>
  </r>
  <r>
    <x v="0"/>
    <n v="849.86"/>
    <x v="111"/>
    <x v="0"/>
    <x v="102"/>
    <x v="0"/>
    <x v="0"/>
    <x v="62"/>
    <x v="0"/>
    <x v="0"/>
  </r>
  <r>
    <x v="0"/>
    <n v="19.649999999999999"/>
    <x v="112"/>
    <x v="0"/>
    <x v="103"/>
    <x v="0"/>
    <x v="0"/>
    <x v="62"/>
    <x v="0"/>
    <x v="0"/>
  </r>
  <r>
    <x v="0"/>
    <n v="12.15"/>
    <x v="111"/>
    <x v="0"/>
    <x v="102"/>
    <x v="0"/>
    <x v="0"/>
    <x v="62"/>
    <x v="1"/>
    <x v="1"/>
  </r>
  <r>
    <x v="0"/>
    <n v="16.59"/>
    <x v="112"/>
    <x v="0"/>
    <x v="103"/>
    <x v="0"/>
    <x v="0"/>
    <x v="62"/>
    <x v="1"/>
    <x v="1"/>
  </r>
  <r>
    <x v="0"/>
    <n v="5.73"/>
    <x v="113"/>
    <x v="0"/>
    <x v="104"/>
    <x v="0"/>
    <x v="0"/>
    <x v="63"/>
    <x v="0"/>
    <x v="0"/>
  </r>
  <r>
    <x v="0"/>
    <n v="7.5"/>
    <x v="114"/>
    <x v="0"/>
    <x v="105"/>
    <x v="0"/>
    <x v="0"/>
    <x v="64"/>
    <x v="0"/>
    <x v="0"/>
  </r>
  <r>
    <x v="0"/>
    <n v="6.25"/>
    <x v="115"/>
    <x v="0"/>
    <x v="106"/>
    <x v="0"/>
    <x v="0"/>
    <x v="64"/>
    <x v="0"/>
    <x v="0"/>
  </r>
  <r>
    <x v="0"/>
    <n v="6.82"/>
    <x v="114"/>
    <x v="0"/>
    <x v="105"/>
    <x v="0"/>
    <x v="0"/>
    <x v="64"/>
    <x v="1"/>
    <x v="1"/>
  </r>
  <r>
    <x v="0"/>
    <n v="25.33"/>
    <x v="115"/>
    <x v="0"/>
    <x v="106"/>
    <x v="0"/>
    <x v="0"/>
    <x v="64"/>
    <x v="1"/>
    <x v="1"/>
  </r>
  <r>
    <x v="0"/>
    <n v="28.13"/>
    <x v="116"/>
    <x v="0"/>
    <x v="107"/>
    <x v="0"/>
    <x v="0"/>
    <x v="65"/>
    <x v="0"/>
    <x v="0"/>
  </r>
  <r>
    <x v="0"/>
    <n v="9.35"/>
    <x v="116"/>
    <x v="0"/>
    <x v="107"/>
    <x v="0"/>
    <x v="0"/>
    <x v="65"/>
    <x v="1"/>
    <x v="1"/>
  </r>
  <r>
    <x v="0"/>
    <n v="31.28"/>
    <x v="117"/>
    <x v="0"/>
    <x v="108"/>
    <x v="0"/>
    <x v="0"/>
    <x v="66"/>
    <x v="0"/>
    <x v="0"/>
  </r>
  <r>
    <x v="0"/>
    <n v="2.52"/>
    <x v="117"/>
    <x v="0"/>
    <x v="108"/>
    <x v="0"/>
    <x v="0"/>
    <x v="66"/>
    <x v="1"/>
    <x v="1"/>
  </r>
  <r>
    <x v="0"/>
    <n v="7.54"/>
    <x v="118"/>
    <x v="0"/>
    <x v="109"/>
    <x v="0"/>
    <x v="0"/>
    <x v="67"/>
    <x v="0"/>
    <x v="0"/>
  </r>
  <r>
    <x v="0"/>
    <n v="2.5299999999999998"/>
    <x v="118"/>
    <x v="0"/>
    <x v="109"/>
    <x v="0"/>
    <x v="0"/>
    <x v="67"/>
    <x v="1"/>
    <x v="1"/>
  </r>
  <r>
    <x v="0"/>
    <n v="26.05"/>
    <x v="119"/>
    <x v="0"/>
    <x v="110"/>
    <x v="0"/>
    <x v="0"/>
    <x v="68"/>
    <x v="0"/>
    <x v="0"/>
  </r>
  <r>
    <x v="0"/>
    <n v="4.6500000000000004"/>
    <x v="119"/>
    <x v="0"/>
    <x v="110"/>
    <x v="0"/>
    <x v="0"/>
    <x v="68"/>
    <x v="1"/>
    <x v="1"/>
  </r>
  <r>
    <x v="0"/>
    <n v="31.69"/>
    <x v="120"/>
    <x v="0"/>
    <x v="111"/>
    <x v="0"/>
    <x v="0"/>
    <x v="69"/>
    <x v="0"/>
    <x v="0"/>
  </r>
  <r>
    <x v="0"/>
    <n v="0"/>
    <x v="120"/>
    <x v="0"/>
    <x v="111"/>
    <x v="0"/>
    <x v="0"/>
    <x v="69"/>
    <x v="1"/>
    <x v="1"/>
  </r>
  <r>
    <x v="0"/>
    <n v="51.93"/>
    <x v="121"/>
    <x v="0"/>
    <x v="112"/>
    <x v="0"/>
    <x v="0"/>
    <x v="70"/>
    <x v="0"/>
    <x v="0"/>
  </r>
  <r>
    <x v="0"/>
    <n v="6.87"/>
    <x v="122"/>
    <x v="0"/>
    <x v="112"/>
    <x v="0"/>
    <x v="0"/>
    <x v="70"/>
    <x v="0"/>
    <x v="0"/>
  </r>
  <r>
    <x v="0"/>
    <n v="21.39"/>
    <x v="121"/>
    <x v="0"/>
    <x v="112"/>
    <x v="0"/>
    <x v="0"/>
    <x v="70"/>
    <x v="1"/>
    <x v="1"/>
  </r>
  <r>
    <x v="0"/>
    <n v="0.18"/>
    <x v="122"/>
    <x v="0"/>
    <x v="112"/>
    <x v="0"/>
    <x v="0"/>
    <x v="70"/>
    <x v="1"/>
    <x v="1"/>
  </r>
  <r>
    <x v="0"/>
    <n v="14.61"/>
    <x v="123"/>
    <x v="0"/>
    <x v="113"/>
    <x v="0"/>
    <x v="0"/>
    <x v="71"/>
    <x v="0"/>
    <x v="0"/>
  </r>
  <r>
    <x v="0"/>
    <n v="4.83"/>
    <x v="123"/>
    <x v="0"/>
    <x v="113"/>
    <x v="0"/>
    <x v="0"/>
    <x v="71"/>
    <x v="1"/>
    <x v="1"/>
  </r>
  <r>
    <x v="0"/>
    <n v="46.04"/>
    <x v="124"/>
    <x v="0"/>
    <x v="114"/>
    <x v="0"/>
    <x v="0"/>
    <x v="72"/>
    <x v="0"/>
    <x v="0"/>
  </r>
  <r>
    <x v="0"/>
    <n v="2649.85"/>
    <x v="125"/>
    <x v="0"/>
    <x v="115"/>
    <x v="0"/>
    <x v="0"/>
    <x v="72"/>
    <x v="0"/>
    <x v="0"/>
  </r>
  <r>
    <x v="0"/>
    <n v="9.99"/>
    <x v="124"/>
    <x v="0"/>
    <x v="114"/>
    <x v="0"/>
    <x v="0"/>
    <x v="72"/>
    <x v="1"/>
    <x v="1"/>
  </r>
  <r>
    <x v="0"/>
    <n v="29.73"/>
    <x v="125"/>
    <x v="0"/>
    <x v="115"/>
    <x v="0"/>
    <x v="0"/>
    <x v="72"/>
    <x v="1"/>
    <x v="1"/>
  </r>
  <r>
    <x v="0"/>
    <n v="11.67"/>
    <x v="126"/>
    <x v="0"/>
    <x v="116"/>
    <x v="0"/>
    <x v="0"/>
    <x v="73"/>
    <x v="0"/>
    <x v="0"/>
  </r>
  <r>
    <x v="0"/>
    <n v="3.54"/>
    <x v="126"/>
    <x v="0"/>
    <x v="116"/>
    <x v="0"/>
    <x v="0"/>
    <x v="73"/>
    <x v="1"/>
    <x v="1"/>
  </r>
  <r>
    <x v="0"/>
    <n v="19.760000000000002"/>
    <x v="127"/>
    <x v="0"/>
    <x v="117"/>
    <x v="0"/>
    <x v="0"/>
    <x v="74"/>
    <x v="0"/>
    <x v="0"/>
  </r>
  <r>
    <x v="0"/>
    <n v="11.47"/>
    <x v="127"/>
    <x v="0"/>
    <x v="117"/>
    <x v="0"/>
    <x v="0"/>
    <x v="74"/>
    <x v="1"/>
    <x v="1"/>
  </r>
  <r>
    <x v="0"/>
    <n v="27.8"/>
    <x v="128"/>
    <x v="0"/>
    <x v="56"/>
    <x v="0"/>
    <x v="0"/>
    <x v="75"/>
    <x v="0"/>
    <x v="0"/>
  </r>
  <r>
    <x v="0"/>
    <n v="5.98"/>
    <x v="128"/>
    <x v="0"/>
    <x v="56"/>
    <x v="0"/>
    <x v="0"/>
    <x v="75"/>
    <x v="1"/>
    <x v="1"/>
  </r>
  <r>
    <x v="0"/>
    <n v="99.18"/>
    <x v="129"/>
    <x v="0"/>
    <x v="118"/>
    <x v="0"/>
    <x v="0"/>
    <x v="76"/>
    <x v="0"/>
    <x v="0"/>
  </r>
  <r>
    <x v="0"/>
    <n v="42.31"/>
    <x v="129"/>
    <x v="0"/>
    <x v="118"/>
    <x v="0"/>
    <x v="0"/>
    <x v="76"/>
    <x v="1"/>
    <x v="1"/>
  </r>
  <r>
    <x v="0"/>
    <n v="23.22"/>
    <x v="130"/>
    <x v="0"/>
    <x v="119"/>
    <x v="0"/>
    <x v="0"/>
    <x v="77"/>
    <x v="0"/>
    <x v="0"/>
  </r>
  <r>
    <x v="0"/>
    <n v="101.86"/>
    <x v="131"/>
    <x v="0"/>
    <x v="119"/>
    <x v="0"/>
    <x v="0"/>
    <x v="77"/>
    <x v="0"/>
    <x v="0"/>
  </r>
  <r>
    <x v="0"/>
    <n v="0.56000000000000005"/>
    <x v="130"/>
    <x v="0"/>
    <x v="119"/>
    <x v="0"/>
    <x v="0"/>
    <x v="77"/>
    <x v="1"/>
    <x v="1"/>
  </r>
  <r>
    <x v="0"/>
    <n v="77.540000000000006"/>
    <x v="131"/>
    <x v="0"/>
    <x v="119"/>
    <x v="0"/>
    <x v="0"/>
    <x v="77"/>
    <x v="1"/>
    <x v="1"/>
  </r>
  <r>
    <x v="0"/>
    <n v="5.36"/>
    <x v="132"/>
    <x v="0"/>
    <x v="120"/>
    <x v="0"/>
    <x v="0"/>
    <x v="78"/>
    <x v="0"/>
    <x v="0"/>
  </r>
  <r>
    <x v="0"/>
    <n v="5.75"/>
    <x v="133"/>
    <x v="0"/>
    <x v="121"/>
    <x v="0"/>
    <x v="0"/>
    <x v="78"/>
    <x v="0"/>
    <x v="0"/>
  </r>
  <r>
    <x v="0"/>
    <n v="0"/>
    <x v="133"/>
    <x v="0"/>
    <x v="121"/>
    <x v="0"/>
    <x v="0"/>
    <x v="78"/>
    <x v="1"/>
    <x v="1"/>
  </r>
  <r>
    <x v="0"/>
    <n v="89.78"/>
    <x v="134"/>
    <x v="0"/>
    <x v="122"/>
    <x v="0"/>
    <x v="0"/>
    <x v="79"/>
    <x v="0"/>
    <x v="0"/>
  </r>
  <r>
    <x v="0"/>
    <n v="42.81"/>
    <x v="134"/>
    <x v="0"/>
    <x v="122"/>
    <x v="0"/>
    <x v="0"/>
    <x v="79"/>
    <x v="1"/>
    <x v="1"/>
  </r>
  <r>
    <x v="0"/>
    <n v="28.4"/>
    <x v="135"/>
    <x v="0"/>
    <x v="123"/>
    <x v="0"/>
    <x v="0"/>
    <x v="80"/>
    <x v="0"/>
    <x v="0"/>
  </r>
  <r>
    <x v="0"/>
    <n v="2.78"/>
    <x v="135"/>
    <x v="0"/>
    <x v="123"/>
    <x v="0"/>
    <x v="0"/>
    <x v="80"/>
    <x v="1"/>
    <x v="1"/>
  </r>
  <r>
    <x v="0"/>
    <n v="40.65"/>
    <x v="136"/>
    <x v="0"/>
    <x v="124"/>
    <x v="0"/>
    <x v="0"/>
    <x v="81"/>
    <x v="0"/>
    <x v="0"/>
  </r>
  <r>
    <x v="0"/>
    <n v="4.66"/>
    <x v="137"/>
    <x v="0"/>
    <x v="99"/>
    <x v="0"/>
    <x v="0"/>
    <x v="82"/>
    <x v="0"/>
    <x v="0"/>
  </r>
  <r>
    <x v="0"/>
    <n v="0.94"/>
    <x v="137"/>
    <x v="0"/>
    <x v="99"/>
    <x v="0"/>
    <x v="0"/>
    <x v="82"/>
    <x v="1"/>
    <x v="1"/>
  </r>
  <r>
    <x v="0"/>
    <n v="7.94"/>
    <x v="138"/>
    <x v="0"/>
    <x v="125"/>
    <x v="0"/>
    <x v="0"/>
    <x v="83"/>
    <x v="0"/>
    <x v="0"/>
  </r>
  <r>
    <x v="0"/>
    <n v="15.91"/>
    <x v="138"/>
    <x v="0"/>
    <x v="125"/>
    <x v="0"/>
    <x v="0"/>
    <x v="83"/>
    <x v="1"/>
    <x v="1"/>
  </r>
  <r>
    <x v="0"/>
    <n v="42.5"/>
    <x v="139"/>
    <x v="0"/>
    <x v="126"/>
    <x v="0"/>
    <x v="0"/>
    <x v="84"/>
    <x v="0"/>
    <x v="0"/>
  </r>
  <r>
    <x v="0"/>
    <n v="28.31"/>
    <x v="140"/>
    <x v="0"/>
    <x v="126"/>
    <x v="0"/>
    <x v="0"/>
    <x v="84"/>
    <x v="0"/>
    <x v="0"/>
  </r>
  <r>
    <x v="0"/>
    <n v="24.75"/>
    <x v="139"/>
    <x v="0"/>
    <x v="126"/>
    <x v="0"/>
    <x v="0"/>
    <x v="84"/>
    <x v="1"/>
    <x v="1"/>
  </r>
  <r>
    <x v="0"/>
    <n v="4.74"/>
    <x v="140"/>
    <x v="0"/>
    <x v="126"/>
    <x v="0"/>
    <x v="0"/>
    <x v="84"/>
    <x v="1"/>
    <x v="1"/>
  </r>
  <r>
    <x v="1"/>
    <m/>
    <x v="141"/>
    <x v="1"/>
    <x v="127"/>
    <x v="1"/>
    <x v="1"/>
    <x v="85"/>
    <x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">
  <r>
    <x v="0"/>
    <x v="0"/>
    <x v="0"/>
  </r>
  <r>
    <x v="1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otal Payment Due" cacheId="9" dataOnRows="1" applyNumberFormats="0" applyBorderFormats="0" applyFontFormats="0" applyPatternFormats="0" applyAlignmentFormats="0" applyWidthHeightFormats="1" dataCaption="Data" updatedVersion="3" showItems="0" showMultipleLabel="0" showMemberPropertyTips="0" rowGrandTotals="0" colGrandTotals="0" itemPrintTitles="1" showDropZones="0" indent="0" compact="0" compactData="0" gridDropZones="1">
  <location ref="A286:B288" firstHeaderRow="1" firstDataRow="2" firstDataCol="1"/>
  <pivotFields count="3">
    <pivotField axis="axisCol" compact="0" outline="0" subtotalTop="0" showAll="0" includeNewItemsInFilter="1" defaultSubtotal="0">
      <items count="2">
        <item x="0"/>
        <item h="1" x="1"/>
      </items>
    </pivotField>
    <pivotField dataField="1" compact="0" outline="0" subtotalTop="0" showAll="0" includeNewItemsInFilter="1"/>
    <pivotField axis="axisRow" compact="0" outline="0" subtotalTop="0" showAll="0" includeNewItemsInFilter="1" defaultSubtotal="0">
      <items count="2">
        <item x="0"/>
        <item h="1" x="1"/>
      </items>
    </pivotField>
  </pivotFields>
  <rowFields count="1">
    <field x="2"/>
  </rowFields>
  <rowItems count="1">
    <i>
      <x/>
    </i>
  </rowItems>
  <colFields count="1">
    <field x="0"/>
  </colFields>
  <colItems count="1">
    <i>
      <x/>
    </i>
  </colItems>
  <dataFields count="1">
    <dataField name="Sum of Amount" fld="1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Commission - Data - Main Table Short" cacheId="8" dataOnRows="1" applyNumberFormats="0" applyBorderFormats="0" applyFontFormats="0" applyPatternFormats="0" applyAlignmentFormats="0" applyWidthHeightFormats="1" dataCaption="Data" updatedVersion="3" showItems="0" showMultipleLabel="0" showMemberPropertyTips="0" rowGrandTotals="0" colGrandTotals="0" itemPrintTitles="1" showDropZones="0" indent="0" compact="0" compactData="0" gridDropZones="1">
  <location ref="A3:I274" firstHeaderRow="1" firstDataRow="2" firstDataCol="8"/>
  <pivotFields count="10">
    <pivotField axis="axisCol" compact="0" outline="0" subtotalTop="0" showAll="0" includeNewItemsInFilter="1" defaultSubtotal="0">
      <items count="2">
        <item x="0"/>
        <item h="1" x="1"/>
      </items>
    </pivotField>
    <pivotField dataField="1" compact="0" outline="0" subtotalTop="0" showAll="0" includeNewItemsInFilter="1"/>
    <pivotField axis="axisRow" compact="0" outline="0" subtotalTop="0" showAll="0" includeNewItemsInFilter="1" defaultSubtotal="0">
      <items count="142">
        <item x="30"/>
        <item x="31"/>
        <item x="114"/>
        <item x="18"/>
        <item x="19"/>
        <item x="132"/>
        <item x="118"/>
        <item x="120"/>
        <item x="69"/>
        <item x="71"/>
        <item x="35"/>
        <item x="138"/>
        <item x="2"/>
        <item x="119"/>
        <item x="133"/>
        <item x="36"/>
        <item x="27"/>
        <item x="6"/>
        <item x="37"/>
        <item x="20"/>
        <item x="103"/>
        <item x="21"/>
        <item x="82"/>
        <item x="22"/>
        <item x="78"/>
        <item x="139"/>
        <item x="72"/>
        <item x="88"/>
        <item x="111"/>
        <item x="75"/>
        <item x="128"/>
        <item x="106"/>
        <item x="134"/>
        <item x="66"/>
        <item x="84"/>
        <item x="80"/>
        <item x="109"/>
        <item x="130"/>
        <item x="33"/>
        <item x="110"/>
        <item x="89"/>
        <item x="23"/>
        <item x="121"/>
        <item x="140"/>
        <item x="63"/>
        <item x="5"/>
        <item x="58"/>
        <item x="29"/>
        <item x="38"/>
        <item x="122"/>
        <item x="131"/>
        <item x="70"/>
        <item x="3"/>
        <item x="39"/>
        <item x="40"/>
        <item x="41"/>
        <item x="42"/>
        <item x="43"/>
        <item x="44"/>
        <item x="129"/>
        <item x="97"/>
        <item x="136"/>
        <item x="25"/>
        <item x="28"/>
        <item x="124"/>
        <item x="12"/>
        <item x="102"/>
        <item x="17"/>
        <item x="135"/>
        <item x="24"/>
        <item x="98"/>
        <item x="76"/>
        <item x="45"/>
        <item x="26"/>
        <item x="60"/>
        <item x="137"/>
        <item x="13"/>
        <item x="112"/>
        <item x="68"/>
        <item x="81"/>
        <item x="125"/>
        <item x="95"/>
        <item x="46"/>
        <item x="123"/>
        <item x="116"/>
        <item x="117"/>
        <item x="90"/>
        <item x="10"/>
        <item x="99"/>
        <item x="59"/>
        <item x="61"/>
        <item x="14"/>
        <item x="47"/>
        <item x="48"/>
        <item x="65"/>
        <item x="107"/>
        <item x="49"/>
        <item x="34"/>
        <item x="113"/>
        <item x="7"/>
        <item x="32"/>
        <item x="4"/>
        <item x="83"/>
        <item x="50"/>
        <item x="15"/>
        <item x="51"/>
        <item x="115"/>
        <item x="91"/>
        <item x="100"/>
        <item x="101"/>
        <item x="62"/>
        <item x="73"/>
        <item x="93"/>
        <item x="92"/>
        <item x="85"/>
        <item x="87"/>
        <item x="74"/>
        <item x="64"/>
        <item x="52"/>
        <item x="94"/>
        <item x="0"/>
        <item x="16"/>
        <item x="104"/>
        <item x="127"/>
        <item x="105"/>
        <item x="79"/>
        <item x="57"/>
        <item x="67"/>
        <item x="126"/>
        <item x="9"/>
        <item x="108"/>
        <item x="96"/>
        <item x="11"/>
        <item x="77"/>
        <item x="53"/>
        <item x="1"/>
        <item x="86"/>
        <item x="54"/>
        <item x="55"/>
        <item x="8"/>
        <item x="56"/>
        <item h="1" x="141"/>
      </items>
    </pivotField>
    <pivotField axis="axisRow" compact="0" outline="0" subtotalTop="0" showAll="0" includeNewItemsInFilter="1" defaultSubtotal="0">
      <items count="2">
        <item x="0"/>
        <item h="1" x="1"/>
      </items>
    </pivotField>
    <pivotField axis="axisRow" compact="0" outline="0" subtotalTop="0" showAll="0" includeNewItemsInFilter="1" defaultSubtotal="0">
      <items count="128">
        <item x="98"/>
        <item x="113"/>
        <item x="103"/>
        <item x="102"/>
        <item x="106"/>
        <item x="2"/>
        <item x="107"/>
        <item x="6"/>
        <item x="83"/>
        <item x="82"/>
        <item x="62"/>
        <item x="66"/>
        <item x="87"/>
        <item x="100"/>
        <item x="38"/>
        <item x="53"/>
        <item x="39"/>
        <item x="52"/>
        <item x="37"/>
        <item x="40"/>
        <item x="41"/>
        <item x="42"/>
        <item x="43"/>
        <item x="44"/>
        <item x="119"/>
        <item x="64"/>
        <item x="3"/>
        <item x="27"/>
        <item x="70"/>
        <item x="75"/>
        <item x="71"/>
        <item x="11"/>
        <item x="72"/>
        <item x="28"/>
        <item x="126"/>
        <item x="57"/>
        <item x="10"/>
        <item x="114"/>
        <item x="25"/>
        <item x="115"/>
        <item x="33"/>
        <item x="101"/>
        <item x="91"/>
        <item x="92"/>
        <item x="90"/>
        <item x="89"/>
        <item x="56"/>
        <item x="86"/>
        <item x="104"/>
        <item x="99"/>
        <item x="24"/>
        <item x="7"/>
        <item x="8"/>
        <item x="19"/>
        <item x="18"/>
        <item x="109"/>
        <item x="120"/>
        <item x="121"/>
        <item x="20"/>
        <item x="21"/>
        <item x="14"/>
        <item x="12"/>
        <item x="13"/>
        <item x="74"/>
        <item x="93"/>
        <item x="97"/>
        <item x="31"/>
        <item x="59"/>
        <item x="67"/>
        <item x="65"/>
        <item x="4"/>
        <item x="77"/>
        <item x="9"/>
        <item x="84"/>
        <item x="29"/>
        <item x="30"/>
        <item x="69"/>
        <item x="32"/>
        <item x="85"/>
        <item x="0"/>
        <item x="116"/>
        <item x="16"/>
        <item x="95"/>
        <item x="49"/>
        <item x="108"/>
        <item x="5"/>
        <item x="105"/>
        <item x="81"/>
        <item x="94"/>
        <item x="79"/>
        <item x="34"/>
        <item x="22"/>
        <item x="76"/>
        <item x="110"/>
        <item x="112"/>
        <item x="122"/>
        <item x="63"/>
        <item x="36"/>
        <item x="80"/>
        <item x="68"/>
        <item x="118"/>
        <item x="124"/>
        <item x="26"/>
        <item x="58"/>
        <item x="1"/>
        <item x="111"/>
        <item x="125"/>
        <item x="51"/>
        <item x="48"/>
        <item x="35"/>
        <item x="78"/>
        <item x="54"/>
        <item x="47"/>
        <item x="46"/>
        <item x="88"/>
        <item x="55"/>
        <item x="23"/>
        <item x="50"/>
        <item x="45"/>
        <item x="123"/>
        <item x="117"/>
        <item x="96"/>
        <item x="15"/>
        <item x="17"/>
        <item x="73"/>
        <item x="61"/>
        <item x="60"/>
        <item h="1" x="127"/>
      </items>
    </pivotField>
    <pivotField axis="axisRow" compact="0" outline="0" subtotalTop="0" showAll="0" includeNewItemsInFilter="1" sortType="ascending" defaultSubtotal="0">
      <items count="2">
        <item x="0"/>
        <item x="1"/>
      </items>
    </pivotField>
    <pivotField axis="axisRow" compact="0" outline="0" subtotalTop="0" showAll="0" includeNewItemsInFilter="1" sortType="ascending" defaultSubtotal="0">
      <items count="2">
        <item x="0"/>
        <item h="1" x="1"/>
      </items>
    </pivotField>
    <pivotField axis="axisRow" compact="0" outline="0" subtotalTop="0" showAll="0" includeNewItemsInFilter="1" defaultSubtotal="0">
      <items count="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h="1" x="85"/>
      </items>
    </pivotField>
    <pivotField axis="axisRow" compact="0" outline="0" subtotalTop="0" showAll="0" includeNewItemsInFilter="1" defaultSubtotal="0">
      <items count="3">
        <item x="0"/>
        <item x="1"/>
        <item h="1" x="2"/>
      </items>
    </pivotField>
    <pivotField axis="axisRow" compact="0" outline="0" subtotalTop="0" showAll="0" includeNewItemsInFilter="1" defaultSubtotal="0">
      <items count="3">
        <item x="0"/>
        <item x="1"/>
        <item h="1" x="2"/>
      </items>
    </pivotField>
  </pivotFields>
  <rowFields count="8">
    <field x="2"/>
    <field x="3"/>
    <field x="4"/>
    <field x="5"/>
    <field x="6"/>
    <field x="7"/>
    <field x="8"/>
    <field x="9"/>
  </rowFields>
  <rowItems count="270">
    <i>
      <x/>
      <x/>
      <x v="74"/>
      <x/>
      <x/>
      <x v="20"/>
      <x/>
      <x/>
    </i>
    <i r="6">
      <x v="1"/>
      <x v="1"/>
    </i>
    <i>
      <x v="1"/>
      <x/>
      <x v="75"/>
      <x/>
      <x/>
      <x v="20"/>
      <x/>
      <x/>
    </i>
    <i r="6">
      <x v="1"/>
      <x v="1"/>
    </i>
    <i>
      <x v="2"/>
      <x/>
      <x v="86"/>
      <x/>
      <x/>
      <x v="64"/>
      <x/>
      <x/>
    </i>
    <i r="6">
      <x v="1"/>
      <x v="1"/>
    </i>
    <i>
      <x v="3"/>
      <x/>
      <x v="54"/>
      <x/>
      <x/>
      <x v="14"/>
      <x/>
      <x/>
    </i>
    <i r="6">
      <x v="1"/>
      <x v="1"/>
    </i>
    <i>
      <x v="4"/>
      <x/>
      <x v="53"/>
      <x/>
      <x/>
      <x v="14"/>
      <x/>
      <x/>
    </i>
    <i r="6">
      <x v="1"/>
      <x v="1"/>
    </i>
    <i>
      <x v="5"/>
      <x/>
      <x v="56"/>
      <x/>
      <x/>
      <x v="78"/>
      <x/>
      <x/>
    </i>
    <i>
      <x v="6"/>
      <x/>
      <x v="55"/>
      <x/>
      <x/>
      <x v="67"/>
      <x/>
      <x/>
    </i>
    <i r="6">
      <x v="1"/>
      <x v="1"/>
    </i>
    <i>
      <x v="7"/>
      <x/>
      <x v="105"/>
      <x/>
      <x/>
      <x v="69"/>
      <x/>
      <x/>
    </i>
    <i r="6">
      <x v="1"/>
      <x v="1"/>
    </i>
    <i>
      <x v="8"/>
      <x/>
      <x v="96"/>
      <x/>
      <x/>
      <x v="34"/>
      <x/>
      <x/>
    </i>
    <i r="6">
      <x v="1"/>
      <x v="1"/>
    </i>
    <i>
      <x v="9"/>
      <x/>
      <x v="69"/>
      <x/>
      <x/>
      <x v="36"/>
      <x/>
      <x/>
    </i>
    <i r="6">
      <x v="1"/>
      <x v="1"/>
    </i>
    <i>
      <x v="10"/>
      <x/>
      <x v="90"/>
      <x/>
      <x/>
      <x v="24"/>
      <x/>
      <x/>
    </i>
    <i r="6">
      <x v="1"/>
      <x v="1"/>
    </i>
    <i>
      <x v="11"/>
      <x/>
      <x v="106"/>
      <x/>
      <x/>
      <x v="83"/>
      <x/>
      <x/>
    </i>
    <i r="6">
      <x v="1"/>
      <x v="1"/>
    </i>
    <i>
      <x v="12"/>
      <x/>
      <x v="5"/>
      <x/>
      <x/>
      <x v="2"/>
      <x/>
      <x/>
    </i>
    <i r="6">
      <x v="1"/>
      <x v="1"/>
    </i>
    <i>
      <x v="13"/>
      <x/>
      <x v="93"/>
      <x/>
      <x/>
      <x v="68"/>
      <x/>
      <x/>
    </i>
    <i r="6">
      <x v="1"/>
      <x v="1"/>
    </i>
    <i>
      <x v="14"/>
      <x/>
      <x v="57"/>
      <x/>
      <x/>
      <x v="78"/>
      <x/>
      <x/>
    </i>
    <i r="6">
      <x v="1"/>
      <x v="1"/>
    </i>
    <i>
      <x v="15"/>
      <x/>
      <x v="109"/>
      <x/>
      <x/>
      <x v="24"/>
      <x/>
      <x/>
    </i>
    <i r="6">
      <x v="1"/>
      <x v="1"/>
    </i>
    <i>
      <x v="16"/>
      <x/>
      <x v="102"/>
      <x/>
      <x/>
      <x v="17"/>
      <x/>
      <x/>
    </i>
    <i r="6">
      <x v="1"/>
      <x v="1"/>
    </i>
    <i>
      <x v="17"/>
      <x/>
      <x v="7"/>
      <x/>
      <x/>
      <x v="6"/>
      <x/>
      <x/>
    </i>
    <i r="6">
      <x v="1"/>
      <x v="1"/>
    </i>
    <i>
      <x v="18"/>
      <x/>
      <x v="97"/>
      <x/>
      <x/>
      <x v="24"/>
      <x/>
      <x/>
    </i>
    <i r="6">
      <x v="1"/>
      <x v="1"/>
    </i>
    <i>
      <x v="19"/>
      <x/>
      <x v="58"/>
      <x/>
      <x/>
      <x v="14"/>
      <x/>
      <x/>
    </i>
    <i r="6">
      <x v="1"/>
      <x v="1"/>
    </i>
    <i>
      <x v="20"/>
      <x/>
      <x v="88"/>
      <x/>
      <x/>
      <x v="54"/>
      <x/>
      <x/>
    </i>
    <i r="6">
      <x v="1"/>
      <x v="1"/>
    </i>
    <i>
      <x v="21"/>
      <x/>
      <x v="59"/>
      <x/>
      <x/>
      <x v="14"/>
      <x/>
      <x/>
    </i>
    <i r="6">
      <x v="1"/>
      <x v="1"/>
    </i>
    <i>
      <x v="22"/>
      <x/>
      <x v="92"/>
      <x/>
      <x/>
      <x v="43"/>
      <x/>
      <x/>
    </i>
    <i r="6">
      <x v="1"/>
      <x v="1"/>
    </i>
    <i>
      <x v="23"/>
      <x/>
      <x v="91"/>
      <x/>
      <x/>
      <x v="14"/>
      <x/>
      <x/>
    </i>
    <i r="6">
      <x v="1"/>
      <x v="1"/>
    </i>
    <i>
      <x v="24"/>
      <x/>
      <x v="32"/>
      <x/>
      <x/>
      <x v="39"/>
      <x/>
      <x/>
    </i>
    <i r="6">
      <x v="1"/>
      <x v="1"/>
    </i>
    <i>
      <x v="25"/>
      <x/>
      <x v="34"/>
      <x/>
      <x/>
      <x v="84"/>
      <x/>
      <x/>
    </i>
    <i r="6">
      <x v="1"/>
      <x v="1"/>
    </i>
    <i>
      <x v="26"/>
      <x/>
      <x v="11"/>
      <x/>
      <x/>
      <x v="36"/>
      <x/>
      <x/>
    </i>
    <i r="6">
      <x v="1"/>
      <x v="1"/>
    </i>
    <i>
      <x v="27"/>
      <x/>
      <x v="98"/>
      <x/>
      <x/>
      <x v="47"/>
      <x/>
      <x/>
    </i>
    <i r="6">
      <x v="1"/>
      <x v="1"/>
    </i>
    <i>
      <x v="28"/>
      <x/>
      <x v="3"/>
      <x/>
      <x/>
      <x v="62"/>
      <x/>
      <x/>
    </i>
    <i r="6">
      <x v="1"/>
      <x v="1"/>
    </i>
    <i>
      <x v="29"/>
      <x/>
      <x v="76"/>
      <x/>
      <x/>
      <x v="38"/>
      <x/>
      <x/>
    </i>
    <i r="6">
      <x v="1"/>
      <x v="1"/>
    </i>
    <i>
      <x v="30"/>
      <x/>
      <x v="46"/>
      <x/>
      <x/>
      <x v="75"/>
      <x/>
      <x/>
    </i>
    <i r="6">
      <x v="1"/>
      <x v="1"/>
    </i>
    <i>
      <x v="31"/>
      <x/>
      <x v="65"/>
      <x/>
      <x/>
      <x v="57"/>
      <x/>
      <x/>
    </i>
    <i r="6">
      <x v="1"/>
      <x v="1"/>
    </i>
    <i>
      <x v="32"/>
      <x/>
      <x v="95"/>
      <x/>
      <x/>
      <x v="79"/>
      <x/>
      <x/>
    </i>
    <i r="6">
      <x v="1"/>
      <x v="1"/>
    </i>
    <i>
      <x v="33"/>
      <x/>
      <x v="126"/>
      <x/>
      <x/>
      <x v="32"/>
      <x/>
      <x/>
    </i>
    <i r="6">
      <x v="1"/>
      <x v="1"/>
    </i>
    <i>
      <x v="34"/>
      <x/>
      <x v="110"/>
      <x/>
      <x/>
      <x v="44"/>
      <x/>
      <x/>
    </i>
    <i r="6">
      <x v="1"/>
      <x v="1"/>
    </i>
    <i>
      <x v="35"/>
      <x/>
      <x v="63"/>
      <x/>
      <x/>
      <x v="41"/>
      <x/>
      <x/>
    </i>
    <i r="6">
      <x v="1"/>
      <x v="1"/>
    </i>
    <i>
      <x v="36"/>
      <x/>
      <x v="13"/>
      <x/>
      <x/>
      <x v="60"/>
      <x/>
      <x/>
    </i>
    <i r="6">
      <x v="1"/>
      <x v="1"/>
    </i>
    <i>
      <x v="37"/>
      <x/>
      <x v="24"/>
      <x/>
      <x/>
      <x v="77"/>
      <x/>
      <x/>
    </i>
    <i r="6">
      <x v="1"/>
      <x v="1"/>
    </i>
    <i>
      <x v="38"/>
      <x/>
      <x v="77"/>
      <x/>
      <x/>
      <x v="22"/>
      <x/>
      <x/>
    </i>
    <i r="6">
      <x v="1"/>
      <x v="1"/>
    </i>
    <i>
      <x v="39"/>
      <x/>
      <x v="41"/>
      <x/>
      <x/>
      <x v="61"/>
      <x/>
      <x/>
    </i>
    <i r="6">
      <x v="1"/>
      <x v="1"/>
    </i>
    <i>
      <x v="40"/>
      <x/>
      <x v="87"/>
      <x/>
      <x/>
      <x v="48"/>
      <x/>
      <x/>
    </i>
    <i r="6">
      <x v="1"/>
      <x v="1"/>
    </i>
    <i>
      <x v="41"/>
      <x/>
      <x v="53"/>
      <x/>
      <x/>
      <x v="14"/>
      <x/>
      <x/>
    </i>
    <i r="6">
      <x v="1"/>
      <x v="1"/>
    </i>
    <i>
      <x v="42"/>
      <x/>
      <x v="94"/>
      <x/>
      <x/>
      <x v="70"/>
      <x/>
      <x/>
    </i>
    <i r="6">
      <x v="1"/>
      <x v="1"/>
    </i>
    <i>
      <x v="43"/>
      <x/>
      <x v="34"/>
      <x/>
      <x/>
      <x v="84"/>
      <x/>
      <x/>
    </i>
    <i r="6">
      <x v="1"/>
      <x v="1"/>
    </i>
    <i>
      <x v="44"/>
      <x/>
      <x v="35"/>
      <x/>
      <x/>
      <x v="29"/>
      <x/>
      <x/>
    </i>
    <i r="6">
      <x v="1"/>
      <x v="1"/>
    </i>
    <i>
      <x v="45"/>
      <x/>
      <x v="85"/>
      <x/>
      <x/>
      <x v="5"/>
      <x/>
      <x/>
    </i>
    <i r="6">
      <x v="1"/>
      <x v="1"/>
    </i>
    <i>
      <x v="46"/>
      <x/>
      <x v="22"/>
      <x/>
      <x/>
      <x v="26"/>
      <x/>
      <x/>
    </i>
    <i r="6">
      <x v="1"/>
      <x v="1"/>
    </i>
    <i>
      <x v="47"/>
      <x/>
      <x v="33"/>
      <x/>
      <x/>
      <x v="19"/>
      <x/>
      <x/>
    </i>
    <i r="6">
      <x v="1"/>
      <x v="1"/>
    </i>
    <i>
      <x v="48"/>
      <x/>
      <x v="18"/>
      <x/>
      <x/>
      <x v="24"/>
      <x/>
      <x/>
    </i>
    <i r="6">
      <x v="1"/>
      <x v="1"/>
    </i>
    <i>
      <x v="49"/>
      <x/>
      <x v="94"/>
      <x/>
      <x/>
      <x v="70"/>
      <x/>
      <x/>
    </i>
    <i r="6">
      <x v="1"/>
      <x v="1"/>
    </i>
    <i>
      <x v="50"/>
      <x/>
      <x v="24"/>
      <x/>
      <x/>
      <x v="77"/>
      <x/>
      <x/>
    </i>
    <i r="6">
      <x v="1"/>
      <x v="1"/>
    </i>
    <i>
      <x v="51"/>
      <x/>
      <x v="25"/>
      <x/>
      <x/>
      <x v="35"/>
      <x/>
      <x/>
    </i>
    <i r="6">
      <x v="1"/>
      <x v="1"/>
    </i>
    <i>
      <x v="52"/>
      <x/>
      <x v="26"/>
      <x/>
      <x/>
      <x v="3"/>
      <x/>
      <x/>
    </i>
    <i r="6">
      <x v="1"/>
      <x v="1"/>
    </i>
    <i>
      <x v="53"/>
      <x/>
      <x v="14"/>
      <x/>
      <x/>
      <x v="24"/>
      <x/>
      <x/>
    </i>
    <i r="6">
      <x v="1"/>
      <x v="1"/>
    </i>
    <i>
      <x v="54"/>
      <x/>
      <x v="16"/>
      <x/>
      <x/>
      <x v="24"/>
      <x/>
      <x/>
    </i>
    <i r="6">
      <x v="1"/>
      <x v="1"/>
    </i>
    <i>
      <x v="55"/>
      <x/>
      <x v="19"/>
      <x/>
      <x/>
      <x v="24"/>
      <x/>
      <x/>
    </i>
    <i r="6">
      <x v="1"/>
      <x v="1"/>
    </i>
    <i>
      <x v="56"/>
      <x/>
      <x v="20"/>
      <x/>
      <x/>
      <x v="24"/>
      <x/>
      <x/>
    </i>
    <i r="6">
      <x v="1"/>
      <x v="1"/>
    </i>
    <i>
      <x v="57"/>
      <x/>
      <x v="21"/>
      <x/>
      <x/>
      <x v="24"/>
      <x/>
      <x/>
    </i>
    <i r="6">
      <x v="1"/>
      <x v="1"/>
    </i>
    <i>
      <x v="58"/>
      <x/>
      <x v="22"/>
      <x/>
      <x/>
      <x v="24"/>
      <x/>
      <x/>
    </i>
    <i r="6">
      <x v="1"/>
      <x v="1"/>
    </i>
    <i>
      <x v="59"/>
      <x/>
      <x v="100"/>
      <x/>
      <x/>
      <x v="76"/>
      <x/>
      <x/>
    </i>
    <i r="6">
      <x v="1"/>
      <x v="1"/>
    </i>
    <i>
      <x v="60"/>
      <x/>
      <x v="114"/>
      <x/>
      <x/>
      <x v="52"/>
      <x/>
      <x/>
    </i>
    <i r="6">
      <x v="1"/>
      <x v="1"/>
    </i>
    <i>
      <x v="61"/>
      <x/>
      <x v="101"/>
      <x/>
      <x/>
      <x v="81"/>
      <x/>
      <x/>
    </i>
    <i>
      <x v="62"/>
      <x/>
      <x v="50"/>
      <x/>
      <x/>
      <x v="15"/>
      <x/>
      <x/>
    </i>
    <i r="6">
      <x v="1"/>
      <x v="1"/>
    </i>
    <i>
      <x v="63"/>
      <x/>
      <x v="27"/>
      <x/>
      <x/>
      <x v="18"/>
      <x/>
      <x/>
    </i>
    <i r="6">
      <x v="1"/>
      <x v="1"/>
    </i>
    <i>
      <x v="64"/>
      <x/>
      <x v="37"/>
      <x/>
      <x/>
      <x v="72"/>
      <x/>
      <x/>
    </i>
    <i r="6">
      <x v="1"/>
      <x v="1"/>
    </i>
    <i>
      <x v="65"/>
      <x/>
      <x v="61"/>
      <x/>
      <x/>
      <x v="11"/>
      <x/>
      <x/>
    </i>
    <i>
      <x v="66"/>
      <x/>
      <x v="64"/>
      <x/>
      <x/>
      <x v="53"/>
      <x/>
      <x/>
    </i>
    <i r="6">
      <x v="1"/>
      <x v="1"/>
    </i>
    <i>
      <x v="67"/>
      <x/>
      <x v="123"/>
      <x/>
      <x/>
      <x v="13"/>
      <x/>
      <x/>
    </i>
    <i r="6">
      <x v="1"/>
      <x v="1"/>
    </i>
    <i>
      <x v="68"/>
      <x/>
      <x v="119"/>
      <x/>
      <x/>
      <x v="80"/>
      <x/>
      <x/>
    </i>
    <i r="6">
      <x v="1"/>
      <x v="1"/>
    </i>
    <i>
      <x v="69"/>
      <x/>
      <x v="116"/>
      <x/>
      <x/>
      <x v="14"/>
      <x/>
      <x/>
    </i>
    <i r="6">
      <x v="1"/>
      <x v="1"/>
    </i>
    <i>
      <x v="70"/>
      <x/>
      <x v="45"/>
      <x/>
      <x/>
      <x v="52"/>
      <x/>
      <x/>
    </i>
    <i r="6">
      <x v="1"/>
      <x v="1"/>
    </i>
    <i>
      <x v="71"/>
      <x/>
      <x v="28"/>
      <x/>
      <x/>
      <x v="38"/>
      <x/>
      <x/>
    </i>
    <i r="6">
      <x v="1"/>
      <x v="1"/>
    </i>
    <i>
      <x v="72"/>
      <x/>
      <x v="23"/>
      <x/>
      <x/>
      <x v="24"/>
      <x/>
      <x/>
    </i>
    <i r="6">
      <x v="1"/>
      <x v="1"/>
    </i>
    <i>
      <x v="73"/>
      <x/>
      <x v="38"/>
      <x/>
      <x/>
      <x v="16"/>
      <x/>
      <x/>
    </i>
    <i r="6">
      <x v="1"/>
      <x v="1"/>
    </i>
    <i>
      <x v="74"/>
      <x/>
      <x v="46"/>
      <x/>
      <x/>
      <x v="28"/>
      <x/>
      <x/>
    </i>
    <i r="6">
      <x v="1"/>
      <x v="1"/>
    </i>
    <i>
      <x v="75"/>
      <x/>
      <x v="49"/>
      <x/>
      <x/>
      <x v="82"/>
      <x/>
      <x/>
    </i>
    <i r="6">
      <x v="1"/>
      <x v="1"/>
    </i>
    <i>
      <x v="76"/>
      <x/>
      <x v="62"/>
      <x/>
      <x/>
      <x v="11"/>
      <x/>
      <x/>
    </i>
    <i>
      <x v="77"/>
      <x/>
      <x v="2"/>
      <x/>
      <x/>
      <x v="62"/>
      <x/>
      <x/>
    </i>
    <i r="6">
      <x v="1"/>
      <x v="1"/>
    </i>
    <i>
      <x v="78"/>
      <x/>
      <x v="10"/>
      <x/>
      <x/>
      <x v="33"/>
      <x/>
      <x/>
    </i>
    <i r="6">
      <x v="1"/>
      <x v="1"/>
    </i>
    <i>
      <x v="79"/>
      <x/>
      <x v="29"/>
      <x/>
      <x/>
      <x v="42"/>
      <x/>
      <x/>
    </i>
    <i r="6">
      <x v="1"/>
      <x v="1"/>
    </i>
    <i>
      <x v="80"/>
      <x/>
      <x v="39"/>
      <x/>
      <x/>
      <x v="72"/>
      <x/>
      <x/>
    </i>
    <i r="6">
      <x v="1"/>
      <x v="1"/>
    </i>
    <i>
      <x v="81"/>
      <x/>
      <x v="47"/>
      <x/>
      <x/>
      <x v="50"/>
      <x/>
      <x/>
    </i>
    <i r="6">
      <x v="1"/>
      <x v="1"/>
    </i>
    <i>
      <x v="82"/>
      <x/>
      <x v="118"/>
      <x/>
      <x/>
      <x v="24"/>
      <x/>
      <x/>
    </i>
    <i r="6">
      <x v="1"/>
      <x v="1"/>
    </i>
    <i>
      <x v="83"/>
      <x/>
      <x v="1"/>
      <x/>
      <x/>
      <x v="71"/>
      <x/>
      <x/>
    </i>
    <i r="6">
      <x v="1"/>
      <x v="1"/>
    </i>
    <i>
      <x v="84"/>
      <x/>
      <x v="6"/>
      <x/>
      <x/>
      <x v="65"/>
      <x/>
      <x/>
    </i>
    <i r="6">
      <x v="1"/>
      <x v="1"/>
    </i>
    <i>
      <x v="85"/>
      <x/>
      <x v="84"/>
      <x/>
      <x/>
      <x v="66"/>
      <x/>
      <x/>
    </i>
    <i r="6">
      <x v="1"/>
      <x v="1"/>
    </i>
    <i>
      <x v="86"/>
      <x/>
      <x v="9"/>
      <x/>
      <x/>
      <x v="48"/>
      <x/>
      <x/>
    </i>
    <i>
      <x v="87"/>
      <x/>
      <x v="36"/>
      <x/>
      <x/>
      <x v="9"/>
      <x/>
      <x/>
    </i>
    <i r="6">
      <x v="1"/>
      <x v="1"/>
    </i>
    <i>
      <x v="88"/>
      <x/>
      <x v="44"/>
      <x/>
      <x/>
      <x v="52"/>
      <x/>
      <x/>
    </i>
    <i r="6">
      <x v="1"/>
      <x v="1"/>
    </i>
    <i>
      <x v="89"/>
      <x/>
      <x v="115"/>
      <x/>
      <x/>
      <x v="27"/>
      <x/>
      <x/>
    </i>
    <i r="6">
      <x v="1"/>
      <x v="1"/>
    </i>
    <i>
      <x v="90"/>
      <x/>
      <x v="46"/>
      <x/>
      <x/>
      <x v="28"/>
      <x/>
      <x/>
    </i>
    <i>
      <x v="91"/>
      <x/>
      <x v="60"/>
      <x/>
      <x/>
      <x v="11"/>
      <x/>
      <x/>
    </i>
    <i r="6">
      <x v="1"/>
      <x v="1"/>
    </i>
    <i>
      <x v="92"/>
      <x/>
      <x v="113"/>
      <x/>
      <x/>
      <x v="24"/>
      <x/>
      <x/>
    </i>
    <i r="6">
      <x v="1"/>
      <x v="1"/>
    </i>
    <i>
      <x v="93"/>
      <x/>
      <x v="112"/>
      <x/>
      <x/>
      <x v="24"/>
      <x/>
      <x/>
    </i>
    <i r="6">
      <x v="1"/>
      <x v="1"/>
    </i>
    <i>
      <x v="94"/>
      <x/>
      <x v="67"/>
      <x/>
      <x/>
      <x v="31"/>
      <x/>
      <x/>
    </i>
    <i r="6">
      <x v="1"/>
      <x v="1"/>
    </i>
    <i>
      <x v="95"/>
      <x/>
      <x/>
      <x/>
      <x/>
      <x v="58"/>
      <x/>
      <x/>
    </i>
    <i r="6">
      <x v="1"/>
      <x v="1"/>
    </i>
    <i>
      <x v="96"/>
      <x/>
      <x v="108"/>
      <x/>
      <x/>
      <x v="24"/>
      <x/>
      <x/>
    </i>
    <i r="6">
      <x v="1"/>
      <x v="1"/>
    </i>
    <i>
      <x v="97"/>
      <x/>
      <x v="40"/>
      <x/>
      <x/>
      <x v="23"/>
      <x/>
      <x/>
    </i>
    <i r="6">
      <x v="1"/>
      <x v="1"/>
    </i>
    <i>
      <x v="98"/>
      <x/>
      <x v="48"/>
      <x/>
      <x/>
      <x v="63"/>
      <x/>
      <x/>
    </i>
    <i>
      <x v="99"/>
      <x/>
      <x v="51"/>
      <x/>
      <x/>
      <x v="7"/>
      <x/>
      <x/>
    </i>
    <i r="6">
      <x v="1"/>
      <x v="1"/>
    </i>
    <i>
      <x v="100"/>
      <x/>
      <x v="66"/>
      <x/>
      <x/>
      <x v="21"/>
      <x/>
      <x/>
    </i>
    <i r="6">
      <x v="1"/>
      <x v="1"/>
    </i>
    <i>
      <x v="101"/>
      <x/>
      <x v="70"/>
      <x/>
      <x/>
      <x v="4"/>
      <x/>
      <x/>
    </i>
    <i r="6">
      <x v="1"/>
      <x v="1"/>
    </i>
    <i>
      <x v="102"/>
      <x/>
      <x v="71"/>
      <x/>
      <x/>
      <x v="43"/>
      <x/>
      <x/>
    </i>
    <i r="6">
      <x v="1"/>
      <x v="1"/>
    </i>
    <i>
      <x v="103"/>
      <x/>
      <x v="83"/>
      <x/>
      <x/>
      <x v="24"/>
      <x/>
      <x/>
    </i>
    <i r="6">
      <x v="1"/>
      <x v="1"/>
    </i>
    <i>
      <x v="104"/>
      <x/>
      <x v="122"/>
      <x/>
      <x/>
      <x v="12"/>
      <x/>
      <x/>
    </i>
    <i r="6">
      <x v="1"/>
      <x v="1"/>
    </i>
    <i>
      <x v="105"/>
      <x/>
      <x v="117"/>
      <x/>
      <x/>
      <x v="24"/>
      <x/>
      <x/>
    </i>
    <i r="6">
      <x v="1"/>
      <x v="1"/>
    </i>
    <i>
      <x v="106"/>
      <x/>
      <x v="4"/>
      <x/>
      <x/>
      <x v="64"/>
      <x/>
      <x/>
    </i>
    <i r="6">
      <x v="1"/>
      <x v="1"/>
    </i>
    <i>
      <x v="107"/>
      <x/>
      <x v="8"/>
      <x/>
      <x/>
      <x v="48"/>
      <x/>
      <x/>
    </i>
    <i r="6">
      <x v="1"/>
      <x v="1"/>
    </i>
    <i>
      <x v="108"/>
      <x/>
      <x v="42"/>
      <x/>
      <x/>
      <x v="52"/>
      <x/>
      <x/>
    </i>
    <i r="6">
      <x v="1"/>
      <x v="1"/>
    </i>
    <i>
      <x v="109"/>
      <x/>
      <x v="43"/>
      <x/>
      <x/>
      <x v="52"/>
      <x/>
      <x/>
    </i>
    <i r="6">
      <x v="1"/>
      <x v="1"/>
    </i>
    <i>
      <x v="110"/>
      <x/>
      <x v="46"/>
      <x/>
      <x/>
      <x v="28"/>
      <x/>
      <x/>
    </i>
    <i r="6">
      <x v="1"/>
      <x v="1"/>
    </i>
    <i>
      <x v="111"/>
      <x/>
      <x v="68"/>
      <x/>
      <x/>
      <x v="36"/>
      <x/>
      <x/>
    </i>
    <i>
      <x v="112"/>
      <x/>
      <x v="73"/>
      <x/>
      <x/>
      <x v="49"/>
      <x/>
      <x/>
    </i>
    <i>
      <x v="113"/>
      <x/>
      <x v="87"/>
      <x/>
      <x/>
      <x v="48"/>
      <x/>
      <x/>
    </i>
    <i r="6">
      <x v="1"/>
      <x v="1"/>
    </i>
    <i>
      <x v="114"/>
      <x/>
      <x v="89"/>
      <x/>
      <x/>
      <x v="45"/>
      <x/>
      <x/>
    </i>
    <i r="6">
      <x v="1"/>
      <x v="1"/>
    </i>
    <i>
      <x v="115"/>
      <x/>
      <x v="98"/>
      <x/>
      <x/>
      <x v="46"/>
      <x/>
      <x/>
    </i>
    <i r="6">
      <x v="1"/>
      <x v="1"/>
    </i>
    <i>
      <x v="116"/>
      <x/>
      <x v="99"/>
      <x/>
      <x/>
      <x v="37"/>
      <x/>
      <x/>
    </i>
    <i>
      <x v="117"/>
      <x/>
      <x v="103"/>
      <x/>
      <x/>
      <x v="30"/>
      <x/>
      <x/>
    </i>
    <i>
      <x v="118"/>
      <x/>
      <x v="107"/>
      <x/>
      <x/>
      <x v="24"/>
      <x/>
      <x/>
    </i>
    <i r="6">
      <x v="1"/>
      <x v="1"/>
    </i>
    <i>
      <x v="119"/>
      <x/>
      <x v="78"/>
      <x/>
      <x/>
      <x v="49"/>
      <x/>
      <x/>
    </i>
    <i r="6">
      <x v="1"/>
      <x v="1"/>
    </i>
    <i>
      <x v="120"/>
      <x/>
      <x v="79"/>
      <x/>
      <x/>
      <x/>
      <x/>
      <x/>
    </i>
    <i r="6">
      <x v="1"/>
      <x v="1"/>
    </i>
    <i>
      <x v="121"/>
      <x/>
      <x v="81"/>
      <x/>
      <x/>
      <x v="12"/>
      <x/>
      <x/>
    </i>
    <i r="6">
      <x v="1"/>
      <x v="1"/>
    </i>
    <i>
      <x v="122"/>
      <x/>
      <x v="82"/>
      <x/>
      <x/>
      <x v="55"/>
      <x/>
      <x/>
    </i>
    <i r="6">
      <x v="1"/>
      <x v="1"/>
    </i>
    <i>
      <x v="123"/>
      <x/>
      <x v="120"/>
      <x/>
      <x/>
      <x v="74"/>
      <x/>
      <x/>
    </i>
    <i r="6">
      <x v="1"/>
      <x v="1"/>
    </i>
    <i>
      <x v="124"/>
      <x/>
      <x v="121"/>
      <x/>
      <x/>
      <x v="56"/>
      <x/>
      <x/>
    </i>
    <i r="6">
      <x v="1"/>
      <x v="1"/>
    </i>
    <i>
      <x v="125"/>
      <x/>
      <x v="124"/>
      <x/>
      <x/>
      <x v="40"/>
      <x/>
      <x/>
    </i>
    <i r="6">
      <x v="1"/>
      <x v="1"/>
    </i>
    <i>
      <x v="126"/>
      <x/>
      <x v="111"/>
      <x/>
      <x/>
      <x v="25"/>
      <x/>
      <x/>
    </i>
    <i r="6">
      <x v="1"/>
      <x v="1"/>
    </i>
    <i>
      <x v="127"/>
      <x/>
      <x v="125"/>
      <x/>
      <x/>
      <x v="32"/>
      <x/>
      <x/>
    </i>
    <i r="6">
      <x v="1"/>
      <x v="1"/>
    </i>
    <i>
      <x v="128"/>
      <x/>
      <x v="80"/>
      <x/>
      <x/>
      <x v="73"/>
      <x/>
      <x/>
    </i>
    <i r="6">
      <x v="1"/>
      <x v="1"/>
    </i>
    <i>
      <x v="129"/>
      <x/>
      <x v="72"/>
      <x/>
      <x/>
      <x v="8"/>
      <x/>
      <x/>
    </i>
    <i r="6">
      <x v="1"/>
      <x v="1"/>
    </i>
    <i>
      <x v="130"/>
      <x/>
      <x v="49"/>
      <x/>
      <x/>
      <x v="59"/>
      <x/>
      <x/>
    </i>
    <i r="6">
      <x v="1"/>
      <x v="1"/>
    </i>
    <i>
      <x v="131"/>
      <x/>
      <x v="12"/>
      <x/>
      <x/>
      <x v="51"/>
      <x/>
      <x/>
    </i>
    <i>
      <x v="132"/>
      <x/>
      <x v="31"/>
      <x/>
      <x/>
      <x v="10"/>
      <x/>
      <x/>
    </i>
    <i r="6">
      <x v="1"/>
      <x v="1"/>
    </i>
    <i>
      <x v="133"/>
      <x/>
      <x v="30"/>
      <x/>
      <x/>
      <x v="38"/>
      <x/>
      <x/>
    </i>
    <i r="6">
      <x v="1"/>
      <x v="1"/>
    </i>
    <i>
      <x v="134"/>
      <x/>
      <x v="17"/>
      <x/>
      <x/>
      <x v="24"/>
      <x/>
      <x/>
    </i>
    <i r="6">
      <x v="1"/>
      <x v="1"/>
    </i>
    <i>
      <x v="135"/>
      <x/>
      <x v="104"/>
      <x/>
      <x/>
      <x v="1"/>
      <x/>
      <x/>
    </i>
    <i r="6">
      <x v="1"/>
      <x v="1"/>
    </i>
    <i>
      <x v="136"/>
      <x/>
      <x v="89"/>
      <x/>
      <x/>
      <x v="45"/>
      <x/>
      <x/>
    </i>
    <i r="6">
      <x v="1"/>
      <x v="1"/>
    </i>
    <i>
      <x v="137"/>
      <x/>
      <x v="107"/>
      <x/>
      <x/>
      <x v="24"/>
      <x/>
      <x/>
    </i>
    <i r="6">
      <x v="1"/>
      <x v="1"/>
    </i>
    <i>
      <x v="138"/>
      <x/>
      <x v="90"/>
      <x/>
      <x/>
      <x v="24"/>
      <x/>
      <x/>
    </i>
    <i r="6">
      <x v="1"/>
      <x v="1"/>
    </i>
    <i>
      <x v="139"/>
      <x/>
      <x v="52"/>
      <x/>
      <x/>
      <x v="7"/>
      <x/>
      <x/>
    </i>
    <i r="6">
      <x v="1"/>
      <x v="1"/>
    </i>
    <i>
      <x v="140"/>
      <x/>
      <x v="15"/>
      <x/>
      <x/>
      <x v="24"/>
      <x/>
      <x/>
    </i>
    <i r="6">
      <x v="1"/>
      <x v="1"/>
    </i>
  </rowItems>
  <colFields count="1">
    <field x="0"/>
  </colFields>
  <colItems count="1">
    <i>
      <x/>
    </i>
  </colItems>
  <dataFields count="1">
    <dataField name="Sum of Amount" fld="1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faribooksonlin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89"/>
  <sheetViews>
    <sheetView workbookViewId="0">
      <selection activeCell="A286" sqref="A286"/>
    </sheetView>
  </sheetViews>
  <sheetFormatPr defaultColWidth="9.140625" defaultRowHeight="12.75"/>
  <cols>
    <col min="1" max="16384" width="9.140625" style="1"/>
  </cols>
  <sheetData>
    <row r="3" spans="1:10">
      <c r="A3" s="11" t="s">
        <v>25</v>
      </c>
      <c r="B3" s="12"/>
      <c r="C3" s="12"/>
      <c r="D3" s="12"/>
      <c r="E3" s="12"/>
      <c r="F3" s="12"/>
      <c r="G3" s="12"/>
      <c r="H3" s="12"/>
      <c r="I3" s="14" t="s">
        <v>27</v>
      </c>
      <c r="J3"/>
    </row>
    <row r="4" spans="1:10">
      <c r="A4" s="11" t="s">
        <v>16</v>
      </c>
      <c r="B4" s="11" t="s">
        <v>34</v>
      </c>
      <c r="C4" s="11" t="s">
        <v>17</v>
      </c>
      <c r="D4" s="11" t="s">
        <v>26</v>
      </c>
      <c r="E4" s="11" t="s">
        <v>18</v>
      </c>
      <c r="F4" s="11" t="s">
        <v>19</v>
      </c>
      <c r="G4" s="11" t="s">
        <v>20</v>
      </c>
      <c r="H4" s="11" t="s">
        <v>24</v>
      </c>
      <c r="I4" s="13" t="s">
        <v>21</v>
      </c>
      <c r="J4"/>
    </row>
    <row r="5" spans="1:10">
      <c r="A5" s="8" t="s">
        <v>35</v>
      </c>
      <c r="B5" s="8" t="s">
        <v>0</v>
      </c>
      <c r="C5" s="8" t="s">
        <v>36</v>
      </c>
      <c r="D5" s="8">
        <v>9999</v>
      </c>
      <c r="E5" s="8" t="s">
        <v>37</v>
      </c>
      <c r="F5" s="8" t="s">
        <v>38</v>
      </c>
      <c r="G5" s="8" t="s">
        <v>39</v>
      </c>
      <c r="H5" s="8">
        <v>0.3</v>
      </c>
      <c r="I5" s="15">
        <v>64.61</v>
      </c>
      <c r="J5"/>
    </row>
    <row r="6" spans="1:10">
      <c r="A6" s="10"/>
      <c r="B6" s="10"/>
      <c r="C6" s="10"/>
      <c r="D6" s="10"/>
      <c r="E6" s="10"/>
      <c r="F6" s="10"/>
      <c r="G6" s="8" t="s">
        <v>40</v>
      </c>
      <c r="H6" s="8">
        <v>0.35</v>
      </c>
      <c r="I6" s="15">
        <v>22.2</v>
      </c>
      <c r="J6"/>
    </row>
    <row r="7" spans="1:10">
      <c r="A7" s="8" t="s">
        <v>41</v>
      </c>
      <c r="B7" s="8" t="s">
        <v>0</v>
      </c>
      <c r="C7" s="8" t="s">
        <v>42</v>
      </c>
      <c r="D7" s="8">
        <v>9999</v>
      </c>
      <c r="E7" s="8" t="s">
        <v>37</v>
      </c>
      <c r="F7" s="8" t="s">
        <v>38</v>
      </c>
      <c r="G7" s="8" t="s">
        <v>39</v>
      </c>
      <c r="H7" s="8">
        <v>0.3</v>
      </c>
      <c r="I7" s="15">
        <v>72.75</v>
      </c>
      <c r="J7"/>
    </row>
    <row r="8" spans="1:10">
      <c r="A8" s="10"/>
      <c r="B8" s="10"/>
      <c r="C8" s="10"/>
      <c r="D8" s="10"/>
      <c r="E8" s="10"/>
      <c r="F8" s="10"/>
      <c r="G8" s="8" t="s">
        <v>40</v>
      </c>
      <c r="H8" s="8">
        <v>0.35</v>
      </c>
      <c r="I8" s="15">
        <v>25.61</v>
      </c>
      <c r="J8"/>
    </row>
    <row r="9" spans="1:10">
      <c r="A9" s="8" t="s">
        <v>43</v>
      </c>
      <c r="B9" s="8" t="s">
        <v>0</v>
      </c>
      <c r="C9" s="8" t="s">
        <v>44</v>
      </c>
      <c r="D9" s="8">
        <v>9999</v>
      </c>
      <c r="E9" s="8" t="s">
        <v>37</v>
      </c>
      <c r="F9" s="8" t="s">
        <v>45</v>
      </c>
      <c r="G9" s="8" t="s">
        <v>39</v>
      </c>
      <c r="H9" s="8">
        <v>0.3</v>
      </c>
      <c r="I9" s="15">
        <v>7.5</v>
      </c>
      <c r="J9"/>
    </row>
    <row r="10" spans="1:10">
      <c r="A10" s="10"/>
      <c r="B10" s="10"/>
      <c r="C10" s="10"/>
      <c r="D10" s="10"/>
      <c r="E10" s="10"/>
      <c r="F10" s="10"/>
      <c r="G10" s="8" t="s">
        <v>40</v>
      </c>
      <c r="H10" s="8">
        <v>0.35</v>
      </c>
      <c r="I10" s="15">
        <v>6.82</v>
      </c>
      <c r="J10"/>
    </row>
    <row r="11" spans="1:10">
      <c r="A11" s="8" t="s">
        <v>46</v>
      </c>
      <c r="B11" s="8" t="s">
        <v>0</v>
      </c>
      <c r="C11" s="8" t="s">
        <v>47</v>
      </c>
      <c r="D11" s="8">
        <v>9999</v>
      </c>
      <c r="E11" s="8" t="s">
        <v>37</v>
      </c>
      <c r="F11" s="8" t="s">
        <v>48</v>
      </c>
      <c r="G11" s="8" t="s">
        <v>39</v>
      </c>
      <c r="H11" s="8">
        <v>0.3</v>
      </c>
      <c r="I11" s="15">
        <v>13.33</v>
      </c>
      <c r="J11"/>
    </row>
    <row r="12" spans="1:10">
      <c r="A12" s="10"/>
      <c r="B12" s="10"/>
      <c r="C12" s="10"/>
      <c r="D12" s="10"/>
      <c r="E12" s="10"/>
      <c r="F12" s="10"/>
      <c r="G12" s="8" t="s">
        <v>40</v>
      </c>
      <c r="H12" s="8">
        <v>0.35</v>
      </c>
      <c r="I12" s="15">
        <v>23.15</v>
      </c>
      <c r="J12"/>
    </row>
    <row r="13" spans="1:10">
      <c r="A13" s="8" t="s">
        <v>49</v>
      </c>
      <c r="B13" s="8" t="s">
        <v>0</v>
      </c>
      <c r="C13" s="8" t="s">
        <v>50</v>
      </c>
      <c r="D13" s="8">
        <v>9999</v>
      </c>
      <c r="E13" s="8" t="s">
        <v>37</v>
      </c>
      <c r="F13" s="8" t="s">
        <v>48</v>
      </c>
      <c r="G13" s="8" t="s">
        <v>39</v>
      </c>
      <c r="H13" s="8">
        <v>0.3</v>
      </c>
      <c r="I13" s="15">
        <v>8.4499999999999993</v>
      </c>
      <c r="J13"/>
    </row>
    <row r="14" spans="1:10">
      <c r="A14" s="10"/>
      <c r="B14" s="10"/>
      <c r="C14" s="10"/>
      <c r="D14" s="10"/>
      <c r="E14" s="10"/>
      <c r="F14" s="10"/>
      <c r="G14" s="8" t="s">
        <v>40</v>
      </c>
      <c r="H14" s="8">
        <v>0.35</v>
      </c>
      <c r="I14" s="15">
        <v>5.4</v>
      </c>
      <c r="J14"/>
    </row>
    <row r="15" spans="1:10">
      <c r="A15" s="8" t="s">
        <v>51</v>
      </c>
      <c r="B15" s="8" t="s">
        <v>0</v>
      </c>
      <c r="C15" s="8" t="s">
        <v>52</v>
      </c>
      <c r="D15" s="8">
        <v>9999</v>
      </c>
      <c r="E15" s="8" t="s">
        <v>37</v>
      </c>
      <c r="F15" s="8" t="s">
        <v>53</v>
      </c>
      <c r="G15" s="8" t="s">
        <v>39</v>
      </c>
      <c r="H15" s="8">
        <v>0.3</v>
      </c>
      <c r="I15" s="15">
        <v>5.36</v>
      </c>
      <c r="J15"/>
    </row>
    <row r="16" spans="1:10">
      <c r="A16" s="8" t="s">
        <v>54</v>
      </c>
      <c r="B16" s="8" t="s">
        <v>0</v>
      </c>
      <c r="C16" s="8" t="s">
        <v>55</v>
      </c>
      <c r="D16" s="8">
        <v>9999</v>
      </c>
      <c r="E16" s="8" t="s">
        <v>37</v>
      </c>
      <c r="F16" s="8" t="s">
        <v>56</v>
      </c>
      <c r="G16" s="8" t="s">
        <v>39</v>
      </c>
      <c r="H16" s="8">
        <v>0.3</v>
      </c>
      <c r="I16" s="15">
        <v>7.54</v>
      </c>
      <c r="J16"/>
    </row>
    <row r="17" spans="1:10">
      <c r="A17" s="10"/>
      <c r="B17" s="10"/>
      <c r="C17" s="10"/>
      <c r="D17" s="10"/>
      <c r="E17" s="10"/>
      <c r="F17" s="10"/>
      <c r="G17" s="8" t="s">
        <v>40</v>
      </c>
      <c r="H17" s="8">
        <v>0.35</v>
      </c>
      <c r="I17" s="15">
        <v>2.5299999999999998</v>
      </c>
      <c r="J17"/>
    </row>
    <row r="18" spans="1:10">
      <c r="A18" s="8" t="s">
        <v>57</v>
      </c>
      <c r="B18" s="8" t="s">
        <v>0</v>
      </c>
      <c r="C18" s="8" t="s">
        <v>58</v>
      </c>
      <c r="D18" s="8">
        <v>9999</v>
      </c>
      <c r="E18" s="8" t="s">
        <v>37</v>
      </c>
      <c r="F18" s="8" t="s">
        <v>59</v>
      </c>
      <c r="G18" s="8" t="s">
        <v>39</v>
      </c>
      <c r="H18" s="8">
        <v>0.3</v>
      </c>
      <c r="I18" s="15">
        <v>31.69</v>
      </c>
      <c r="J18"/>
    </row>
    <row r="19" spans="1:10">
      <c r="A19" s="10"/>
      <c r="B19" s="10"/>
      <c r="C19" s="10"/>
      <c r="D19" s="10"/>
      <c r="E19" s="10"/>
      <c r="F19" s="10"/>
      <c r="G19" s="8" t="s">
        <v>40</v>
      </c>
      <c r="H19" s="8">
        <v>0.35</v>
      </c>
      <c r="I19" s="15">
        <v>0</v>
      </c>
      <c r="J19"/>
    </row>
    <row r="20" spans="1:10">
      <c r="A20" s="8" t="s">
        <v>60</v>
      </c>
      <c r="B20" s="8" t="s">
        <v>0</v>
      </c>
      <c r="C20" s="8" t="s">
        <v>61</v>
      </c>
      <c r="D20" s="8">
        <v>9999</v>
      </c>
      <c r="E20" s="8" t="s">
        <v>37</v>
      </c>
      <c r="F20" s="8" t="s">
        <v>62</v>
      </c>
      <c r="G20" s="8" t="s">
        <v>39</v>
      </c>
      <c r="H20" s="8">
        <v>0.3</v>
      </c>
      <c r="I20" s="15">
        <v>40.880000000000003</v>
      </c>
      <c r="J20"/>
    </row>
    <row r="21" spans="1:10">
      <c r="A21" s="10"/>
      <c r="B21" s="10"/>
      <c r="C21" s="10"/>
      <c r="D21" s="10"/>
      <c r="E21" s="10"/>
      <c r="F21" s="10"/>
      <c r="G21" s="8" t="s">
        <v>40</v>
      </c>
      <c r="H21" s="8">
        <v>0.35</v>
      </c>
      <c r="I21" s="15">
        <v>7.64</v>
      </c>
      <c r="J21"/>
    </row>
    <row r="22" spans="1:10">
      <c r="A22" s="8" t="s">
        <v>63</v>
      </c>
      <c r="B22" s="8" t="s">
        <v>0</v>
      </c>
      <c r="C22" s="8" t="s">
        <v>64</v>
      </c>
      <c r="D22" s="8">
        <v>9999</v>
      </c>
      <c r="E22" s="8" t="s">
        <v>37</v>
      </c>
      <c r="F22" s="8" t="s">
        <v>65</v>
      </c>
      <c r="G22" s="8" t="s">
        <v>39</v>
      </c>
      <c r="H22" s="8">
        <v>0.3</v>
      </c>
      <c r="I22" s="15">
        <v>9.07</v>
      </c>
      <c r="J22"/>
    </row>
    <row r="23" spans="1:10">
      <c r="A23" s="10"/>
      <c r="B23" s="10"/>
      <c r="C23" s="10"/>
      <c r="D23" s="10"/>
      <c r="E23" s="10"/>
      <c r="F23" s="10"/>
      <c r="G23" s="8" t="s">
        <v>40</v>
      </c>
      <c r="H23" s="8">
        <v>0.35</v>
      </c>
      <c r="I23" s="15">
        <v>0</v>
      </c>
      <c r="J23"/>
    </row>
    <row r="24" spans="1:10">
      <c r="A24" s="8" t="s">
        <v>66</v>
      </c>
      <c r="B24" s="8" t="s">
        <v>0</v>
      </c>
      <c r="C24" s="8" t="s">
        <v>67</v>
      </c>
      <c r="D24" s="8">
        <v>9999</v>
      </c>
      <c r="E24" s="8" t="s">
        <v>37</v>
      </c>
      <c r="F24" s="8" t="s">
        <v>68</v>
      </c>
      <c r="G24" s="8" t="s">
        <v>39</v>
      </c>
      <c r="H24" s="8">
        <v>0.3</v>
      </c>
      <c r="I24" s="15">
        <v>6.34</v>
      </c>
      <c r="J24"/>
    </row>
    <row r="25" spans="1:10">
      <c r="A25" s="10"/>
      <c r="B25" s="10"/>
      <c r="C25" s="10"/>
      <c r="D25" s="10"/>
      <c r="E25" s="10"/>
      <c r="F25" s="10"/>
      <c r="G25" s="8" t="s">
        <v>40</v>
      </c>
      <c r="H25" s="8">
        <v>0.35</v>
      </c>
      <c r="I25" s="15">
        <v>0.52</v>
      </c>
      <c r="J25"/>
    </row>
    <row r="26" spans="1:10">
      <c r="A26" s="8" t="s">
        <v>69</v>
      </c>
      <c r="B26" s="8" t="s">
        <v>0</v>
      </c>
      <c r="C26" s="8" t="s">
        <v>70</v>
      </c>
      <c r="D26" s="8">
        <v>9999</v>
      </c>
      <c r="E26" s="8" t="s">
        <v>37</v>
      </c>
      <c r="F26" s="8" t="s">
        <v>71</v>
      </c>
      <c r="G26" s="8" t="s">
        <v>39</v>
      </c>
      <c r="H26" s="8">
        <v>0.3</v>
      </c>
      <c r="I26" s="15">
        <v>7.94</v>
      </c>
      <c r="J26"/>
    </row>
    <row r="27" spans="1:10">
      <c r="A27" s="10"/>
      <c r="B27" s="10"/>
      <c r="C27" s="10"/>
      <c r="D27" s="10"/>
      <c r="E27" s="10"/>
      <c r="F27" s="10"/>
      <c r="G27" s="8" t="s">
        <v>40</v>
      </c>
      <c r="H27" s="8">
        <v>0.35</v>
      </c>
      <c r="I27" s="15">
        <v>15.91</v>
      </c>
      <c r="J27"/>
    </row>
    <row r="28" spans="1:10">
      <c r="A28" s="8" t="s">
        <v>72</v>
      </c>
      <c r="B28" s="8" t="s">
        <v>0</v>
      </c>
      <c r="C28" s="8" t="s">
        <v>73</v>
      </c>
      <c r="D28" s="8">
        <v>9999</v>
      </c>
      <c r="E28" s="8" t="s">
        <v>37</v>
      </c>
      <c r="F28" s="8" t="s">
        <v>74</v>
      </c>
      <c r="G28" s="8" t="s">
        <v>39</v>
      </c>
      <c r="H28" s="8">
        <v>0.3</v>
      </c>
      <c r="I28" s="15">
        <v>31.01</v>
      </c>
      <c r="J28"/>
    </row>
    <row r="29" spans="1:10">
      <c r="A29" s="10"/>
      <c r="B29" s="10"/>
      <c r="C29" s="10"/>
      <c r="D29" s="10"/>
      <c r="E29" s="10"/>
      <c r="F29" s="10"/>
      <c r="G29" s="8" t="s">
        <v>40</v>
      </c>
      <c r="H29" s="8">
        <v>0.35</v>
      </c>
      <c r="I29" s="15">
        <v>1.0900000000000001</v>
      </c>
      <c r="J29"/>
    </row>
    <row r="30" spans="1:10">
      <c r="A30" s="8" t="s">
        <v>75</v>
      </c>
      <c r="B30" s="8" t="s">
        <v>0</v>
      </c>
      <c r="C30" s="8" t="s">
        <v>76</v>
      </c>
      <c r="D30" s="8">
        <v>9999</v>
      </c>
      <c r="E30" s="8" t="s">
        <v>37</v>
      </c>
      <c r="F30" s="8" t="s">
        <v>77</v>
      </c>
      <c r="G30" s="8" t="s">
        <v>39</v>
      </c>
      <c r="H30" s="8">
        <v>0.3</v>
      </c>
      <c r="I30" s="15">
        <v>26.05</v>
      </c>
      <c r="J30"/>
    </row>
    <row r="31" spans="1:10">
      <c r="A31" s="10"/>
      <c r="B31" s="10"/>
      <c r="C31" s="10"/>
      <c r="D31" s="10"/>
      <c r="E31" s="10"/>
      <c r="F31" s="10"/>
      <c r="G31" s="8" t="s">
        <v>40</v>
      </c>
      <c r="H31" s="8">
        <v>0.35</v>
      </c>
      <c r="I31" s="15">
        <v>4.6500000000000004</v>
      </c>
      <c r="J31"/>
    </row>
    <row r="32" spans="1:10">
      <c r="A32" s="8" t="s">
        <v>78</v>
      </c>
      <c r="B32" s="8" t="s">
        <v>0</v>
      </c>
      <c r="C32" s="8" t="s">
        <v>79</v>
      </c>
      <c r="D32" s="8">
        <v>9999</v>
      </c>
      <c r="E32" s="8" t="s">
        <v>37</v>
      </c>
      <c r="F32" s="8" t="s">
        <v>53</v>
      </c>
      <c r="G32" s="8" t="s">
        <v>39</v>
      </c>
      <c r="H32" s="8">
        <v>0.3</v>
      </c>
      <c r="I32" s="15">
        <v>5.75</v>
      </c>
      <c r="J32"/>
    </row>
    <row r="33" spans="1:10">
      <c r="A33" s="10"/>
      <c r="B33" s="10"/>
      <c r="C33" s="10"/>
      <c r="D33" s="10"/>
      <c r="E33" s="10"/>
      <c r="F33" s="10"/>
      <c r="G33" s="8" t="s">
        <v>40</v>
      </c>
      <c r="H33" s="8">
        <v>0.35</v>
      </c>
      <c r="I33" s="15">
        <v>0</v>
      </c>
      <c r="J33"/>
    </row>
    <row r="34" spans="1:10">
      <c r="A34" s="8" t="s">
        <v>80</v>
      </c>
      <c r="B34" s="8" t="s">
        <v>0</v>
      </c>
      <c r="C34" s="8" t="s">
        <v>81</v>
      </c>
      <c r="D34" s="8">
        <v>9999</v>
      </c>
      <c r="E34" s="8" t="s">
        <v>37</v>
      </c>
      <c r="F34" s="8" t="s">
        <v>68</v>
      </c>
      <c r="G34" s="8" t="s">
        <v>39</v>
      </c>
      <c r="H34" s="8">
        <v>0.3</v>
      </c>
      <c r="I34" s="15">
        <v>21.42</v>
      </c>
      <c r="J34"/>
    </row>
    <row r="35" spans="1:10">
      <c r="A35" s="10"/>
      <c r="B35" s="10"/>
      <c r="C35" s="10"/>
      <c r="D35" s="10"/>
      <c r="E35" s="10"/>
      <c r="F35" s="10"/>
      <c r="G35" s="8" t="s">
        <v>40</v>
      </c>
      <c r="H35" s="8">
        <v>0.35</v>
      </c>
      <c r="I35" s="15">
        <v>18.98</v>
      </c>
      <c r="J35"/>
    </row>
    <row r="36" spans="1:10">
      <c r="A36" s="8" t="s">
        <v>82</v>
      </c>
      <c r="B36" s="8" t="s">
        <v>0</v>
      </c>
      <c r="C36" s="8" t="s">
        <v>83</v>
      </c>
      <c r="D36" s="8">
        <v>9999</v>
      </c>
      <c r="E36" s="8" t="s">
        <v>37</v>
      </c>
      <c r="F36" s="8" t="s">
        <v>84</v>
      </c>
      <c r="G36" s="8" t="s">
        <v>39</v>
      </c>
      <c r="H36" s="8">
        <v>0.3</v>
      </c>
      <c r="I36" s="15">
        <v>73.03</v>
      </c>
      <c r="J36"/>
    </row>
    <row r="37" spans="1:10">
      <c r="A37" s="10"/>
      <c r="B37" s="10"/>
      <c r="C37" s="10"/>
      <c r="D37" s="10"/>
      <c r="E37" s="10"/>
      <c r="F37" s="10"/>
      <c r="G37" s="8" t="s">
        <v>40</v>
      </c>
      <c r="H37" s="8">
        <v>0.35</v>
      </c>
      <c r="I37" s="15">
        <v>10.01</v>
      </c>
      <c r="J37"/>
    </row>
    <row r="38" spans="1:10">
      <c r="A38" s="8" t="s">
        <v>85</v>
      </c>
      <c r="B38" s="8" t="s">
        <v>0</v>
      </c>
      <c r="C38" s="8" t="s">
        <v>86</v>
      </c>
      <c r="D38" s="8">
        <v>9999</v>
      </c>
      <c r="E38" s="8" t="s">
        <v>37</v>
      </c>
      <c r="F38" s="8" t="s">
        <v>87</v>
      </c>
      <c r="G38" s="8" t="s">
        <v>39</v>
      </c>
      <c r="H38" s="8">
        <v>0.3</v>
      </c>
      <c r="I38" s="15">
        <v>26.26</v>
      </c>
      <c r="J38"/>
    </row>
    <row r="39" spans="1:10">
      <c r="A39" s="10"/>
      <c r="B39" s="10"/>
      <c r="C39" s="10"/>
      <c r="D39" s="10"/>
      <c r="E39" s="10"/>
      <c r="F39" s="10"/>
      <c r="G39" s="8" t="s">
        <v>40</v>
      </c>
      <c r="H39" s="8">
        <v>0.35</v>
      </c>
      <c r="I39" s="15">
        <v>18.12</v>
      </c>
      <c r="J39"/>
    </row>
    <row r="40" spans="1:10">
      <c r="A40" s="8" t="s">
        <v>88</v>
      </c>
      <c r="B40" s="8" t="s">
        <v>0</v>
      </c>
      <c r="C40" s="8" t="s">
        <v>89</v>
      </c>
      <c r="D40" s="8">
        <v>9999</v>
      </c>
      <c r="E40" s="8" t="s">
        <v>37</v>
      </c>
      <c r="F40" s="8" t="s">
        <v>68</v>
      </c>
      <c r="G40" s="8" t="s">
        <v>39</v>
      </c>
      <c r="H40" s="8">
        <v>0.3</v>
      </c>
      <c r="I40" s="15">
        <v>87.6</v>
      </c>
      <c r="J40"/>
    </row>
    <row r="41" spans="1:10">
      <c r="A41" s="10"/>
      <c r="B41" s="10"/>
      <c r="C41" s="10"/>
      <c r="D41" s="10"/>
      <c r="E41" s="10"/>
      <c r="F41" s="10"/>
      <c r="G41" s="8" t="s">
        <v>40</v>
      </c>
      <c r="H41" s="8">
        <v>0.35</v>
      </c>
      <c r="I41" s="15">
        <v>92.78</v>
      </c>
      <c r="J41"/>
    </row>
    <row r="42" spans="1:10">
      <c r="A42" s="8" t="s">
        <v>90</v>
      </c>
      <c r="B42" s="8" t="s">
        <v>0</v>
      </c>
      <c r="C42" s="8" t="s">
        <v>91</v>
      </c>
      <c r="D42" s="8">
        <v>9999</v>
      </c>
      <c r="E42" s="8" t="s">
        <v>37</v>
      </c>
      <c r="F42" s="8" t="s">
        <v>48</v>
      </c>
      <c r="G42" s="8" t="s">
        <v>39</v>
      </c>
      <c r="H42" s="8">
        <v>0.3</v>
      </c>
      <c r="I42" s="15">
        <v>6.48</v>
      </c>
      <c r="J42"/>
    </row>
    <row r="43" spans="1:10">
      <c r="A43" s="10"/>
      <c r="B43" s="10"/>
      <c r="C43" s="10"/>
      <c r="D43" s="10"/>
      <c r="E43" s="10"/>
      <c r="F43" s="10"/>
      <c r="G43" s="8" t="s">
        <v>40</v>
      </c>
      <c r="H43" s="8">
        <v>0.35</v>
      </c>
      <c r="I43" s="15">
        <v>9.1199999999999992</v>
      </c>
      <c r="J43"/>
    </row>
    <row r="44" spans="1:10">
      <c r="A44" s="8" t="s">
        <v>92</v>
      </c>
      <c r="B44" s="8" t="s">
        <v>0</v>
      </c>
      <c r="C44" s="8" t="s">
        <v>93</v>
      </c>
      <c r="D44" s="8">
        <v>9999</v>
      </c>
      <c r="E44" s="8" t="s">
        <v>37</v>
      </c>
      <c r="F44" s="8" t="s">
        <v>94</v>
      </c>
      <c r="G44" s="8" t="s">
        <v>39</v>
      </c>
      <c r="H44" s="8">
        <v>0.3</v>
      </c>
      <c r="I44" s="15">
        <v>67.989999999999995</v>
      </c>
      <c r="J44"/>
    </row>
    <row r="45" spans="1:10">
      <c r="A45" s="10"/>
      <c r="B45" s="10"/>
      <c r="C45" s="10"/>
      <c r="D45" s="10"/>
      <c r="E45" s="10"/>
      <c r="F45" s="10"/>
      <c r="G45" s="8" t="s">
        <v>40</v>
      </c>
      <c r="H45" s="8">
        <v>0.35</v>
      </c>
      <c r="I45" s="15">
        <v>10.01</v>
      </c>
      <c r="J45"/>
    </row>
    <row r="46" spans="1:10">
      <c r="A46" s="8" t="s">
        <v>95</v>
      </c>
      <c r="B46" s="8" t="s">
        <v>0</v>
      </c>
      <c r="C46" s="8" t="s">
        <v>96</v>
      </c>
      <c r="D46" s="8">
        <v>9999</v>
      </c>
      <c r="E46" s="8" t="s">
        <v>37</v>
      </c>
      <c r="F46" s="8" t="s">
        <v>48</v>
      </c>
      <c r="G46" s="8" t="s">
        <v>39</v>
      </c>
      <c r="H46" s="8">
        <v>0.3</v>
      </c>
      <c r="I46" s="15">
        <v>7.34</v>
      </c>
      <c r="J46"/>
    </row>
    <row r="47" spans="1:10">
      <c r="A47" s="10"/>
      <c r="B47" s="10"/>
      <c r="C47" s="10"/>
      <c r="D47" s="10"/>
      <c r="E47" s="10"/>
      <c r="F47" s="10"/>
      <c r="G47" s="8" t="s">
        <v>40</v>
      </c>
      <c r="H47" s="8">
        <v>0.35</v>
      </c>
      <c r="I47" s="15">
        <v>30.43</v>
      </c>
      <c r="J47"/>
    </row>
    <row r="48" spans="1:10">
      <c r="A48" s="8" t="s">
        <v>97</v>
      </c>
      <c r="B48" s="8" t="s">
        <v>0</v>
      </c>
      <c r="C48" s="8" t="s">
        <v>98</v>
      </c>
      <c r="D48" s="8">
        <v>9999</v>
      </c>
      <c r="E48" s="8" t="s">
        <v>37</v>
      </c>
      <c r="F48" s="8" t="s">
        <v>99</v>
      </c>
      <c r="G48" s="8" t="s">
        <v>39</v>
      </c>
      <c r="H48" s="8">
        <v>0.3</v>
      </c>
      <c r="I48" s="15">
        <v>24.89</v>
      </c>
      <c r="J48"/>
    </row>
    <row r="49" spans="1:10">
      <c r="A49" s="10"/>
      <c r="B49" s="10"/>
      <c r="C49" s="10"/>
      <c r="D49" s="10"/>
      <c r="E49" s="10"/>
      <c r="F49" s="10"/>
      <c r="G49" s="8" t="s">
        <v>40</v>
      </c>
      <c r="H49" s="8">
        <v>0.35</v>
      </c>
      <c r="I49" s="15">
        <v>5</v>
      </c>
      <c r="J49"/>
    </row>
    <row r="50" spans="1:10">
      <c r="A50" s="8" t="s">
        <v>100</v>
      </c>
      <c r="B50" s="8" t="s">
        <v>0</v>
      </c>
      <c r="C50" s="8" t="s">
        <v>101</v>
      </c>
      <c r="D50" s="8">
        <v>9999</v>
      </c>
      <c r="E50" s="8" t="s">
        <v>37</v>
      </c>
      <c r="F50" s="8" t="s">
        <v>48</v>
      </c>
      <c r="G50" s="8" t="s">
        <v>39</v>
      </c>
      <c r="H50" s="8">
        <v>0.3</v>
      </c>
      <c r="I50" s="15">
        <v>11.43</v>
      </c>
      <c r="J50"/>
    </row>
    <row r="51" spans="1:10">
      <c r="A51" s="10"/>
      <c r="B51" s="10"/>
      <c r="C51" s="10"/>
      <c r="D51" s="10"/>
      <c r="E51" s="10"/>
      <c r="F51" s="10"/>
      <c r="G51" s="8" t="s">
        <v>40</v>
      </c>
      <c r="H51" s="8">
        <v>0.35</v>
      </c>
      <c r="I51" s="15">
        <v>5.17</v>
      </c>
      <c r="J51"/>
    </row>
    <row r="52" spans="1:10">
      <c r="A52" s="8" t="s">
        <v>102</v>
      </c>
      <c r="B52" s="8" t="s">
        <v>0</v>
      </c>
      <c r="C52" s="8" t="s">
        <v>103</v>
      </c>
      <c r="D52" s="8">
        <v>9999</v>
      </c>
      <c r="E52" s="8" t="s">
        <v>37</v>
      </c>
      <c r="F52" s="8" t="s">
        <v>104</v>
      </c>
      <c r="G52" s="8" t="s">
        <v>39</v>
      </c>
      <c r="H52" s="8">
        <v>0.3</v>
      </c>
      <c r="I52" s="15">
        <v>59.99</v>
      </c>
      <c r="J52"/>
    </row>
    <row r="53" spans="1:10">
      <c r="A53" s="10"/>
      <c r="B53" s="10"/>
      <c r="C53" s="10"/>
      <c r="D53" s="10"/>
      <c r="E53" s="10"/>
      <c r="F53" s="10"/>
      <c r="G53" s="8" t="s">
        <v>40</v>
      </c>
      <c r="H53" s="8">
        <v>0.35</v>
      </c>
      <c r="I53" s="15">
        <v>6.49</v>
      </c>
      <c r="J53"/>
    </row>
    <row r="54" spans="1:10">
      <c r="A54" s="8" t="s">
        <v>105</v>
      </c>
      <c r="B54" s="8" t="s">
        <v>0</v>
      </c>
      <c r="C54" s="8" t="s">
        <v>106</v>
      </c>
      <c r="D54" s="8">
        <v>9999</v>
      </c>
      <c r="E54" s="8" t="s">
        <v>37</v>
      </c>
      <c r="F54" s="8" t="s">
        <v>107</v>
      </c>
      <c r="G54" s="8" t="s">
        <v>39</v>
      </c>
      <c r="H54" s="8">
        <v>0.3</v>
      </c>
      <c r="I54" s="15">
        <v>42.5</v>
      </c>
      <c r="J54"/>
    </row>
    <row r="55" spans="1:10">
      <c r="A55" s="10"/>
      <c r="B55" s="10"/>
      <c r="C55" s="10"/>
      <c r="D55" s="10"/>
      <c r="E55" s="10"/>
      <c r="F55" s="10"/>
      <c r="G55" s="8" t="s">
        <v>40</v>
      </c>
      <c r="H55" s="8">
        <v>0.35</v>
      </c>
      <c r="I55" s="15">
        <v>24.75</v>
      </c>
      <c r="J55"/>
    </row>
    <row r="56" spans="1:10">
      <c r="A56" s="8" t="s">
        <v>108</v>
      </c>
      <c r="B56" s="8" t="s">
        <v>0</v>
      </c>
      <c r="C56" s="8" t="s">
        <v>109</v>
      </c>
      <c r="D56" s="8">
        <v>9999</v>
      </c>
      <c r="E56" s="8" t="s">
        <v>37</v>
      </c>
      <c r="F56" s="8" t="s">
        <v>65</v>
      </c>
      <c r="G56" s="8" t="s">
        <v>39</v>
      </c>
      <c r="H56" s="8">
        <v>0.3</v>
      </c>
      <c r="I56" s="15">
        <v>46.15</v>
      </c>
      <c r="J56"/>
    </row>
    <row r="57" spans="1:10">
      <c r="A57" s="10"/>
      <c r="B57" s="10"/>
      <c r="C57" s="10"/>
      <c r="D57" s="10"/>
      <c r="E57" s="10"/>
      <c r="F57" s="10"/>
      <c r="G57" s="8" t="s">
        <v>40</v>
      </c>
      <c r="H57" s="8">
        <v>0.35</v>
      </c>
      <c r="I57" s="15">
        <v>10.64</v>
      </c>
      <c r="J57"/>
    </row>
    <row r="58" spans="1:10">
      <c r="A58" s="8" t="s">
        <v>110</v>
      </c>
      <c r="B58" s="8" t="s">
        <v>0</v>
      </c>
      <c r="C58" s="8" t="s">
        <v>111</v>
      </c>
      <c r="D58" s="8">
        <v>9999</v>
      </c>
      <c r="E58" s="8" t="s">
        <v>37</v>
      </c>
      <c r="F58" s="8" t="s">
        <v>112</v>
      </c>
      <c r="G58" s="8" t="s">
        <v>39</v>
      </c>
      <c r="H58" s="8">
        <v>0.3</v>
      </c>
      <c r="I58" s="15">
        <v>75.03</v>
      </c>
      <c r="J58"/>
    </row>
    <row r="59" spans="1:10">
      <c r="A59" s="10"/>
      <c r="B59" s="10"/>
      <c r="C59" s="10"/>
      <c r="D59" s="10"/>
      <c r="E59" s="10"/>
      <c r="F59" s="10"/>
      <c r="G59" s="8" t="s">
        <v>40</v>
      </c>
      <c r="H59" s="8">
        <v>0.35</v>
      </c>
      <c r="I59" s="15">
        <v>43.41</v>
      </c>
      <c r="J59"/>
    </row>
    <row r="60" spans="1:10">
      <c r="A60" s="8" t="s">
        <v>113</v>
      </c>
      <c r="B60" s="8" t="s">
        <v>0</v>
      </c>
      <c r="C60" s="8" t="s">
        <v>114</v>
      </c>
      <c r="D60" s="8">
        <v>9999</v>
      </c>
      <c r="E60" s="8" t="s">
        <v>37</v>
      </c>
      <c r="F60" s="8" t="s">
        <v>115</v>
      </c>
      <c r="G60" s="8" t="s">
        <v>39</v>
      </c>
      <c r="H60" s="8">
        <v>0.3</v>
      </c>
      <c r="I60" s="15">
        <v>849.86</v>
      </c>
      <c r="J60"/>
    </row>
    <row r="61" spans="1:10">
      <c r="A61" s="10"/>
      <c r="B61" s="10"/>
      <c r="C61" s="10"/>
      <c r="D61" s="10"/>
      <c r="E61" s="10"/>
      <c r="F61" s="10"/>
      <c r="G61" s="8" t="s">
        <v>40</v>
      </c>
      <c r="H61" s="8">
        <v>0.35</v>
      </c>
      <c r="I61" s="15">
        <v>12.15</v>
      </c>
      <c r="J61"/>
    </row>
    <row r="62" spans="1:10">
      <c r="A62" s="8" t="s">
        <v>116</v>
      </c>
      <c r="B62" s="8" t="s">
        <v>0</v>
      </c>
      <c r="C62" s="8" t="s">
        <v>117</v>
      </c>
      <c r="D62" s="8">
        <v>9999</v>
      </c>
      <c r="E62" s="8" t="s">
        <v>37</v>
      </c>
      <c r="F62" s="8" t="s">
        <v>118</v>
      </c>
      <c r="G62" s="8" t="s">
        <v>39</v>
      </c>
      <c r="H62" s="8">
        <v>0.3</v>
      </c>
      <c r="I62" s="15">
        <v>81.8</v>
      </c>
      <c r="J62"/>
    </row>
    <row r="63" spans="1:10">
      <c r="A63" s="10"/>
      <c r="B63" s="10"/>
      <c r="C63" s="10"/>
      <c r="D63" s="10"/>
      <c r="E63" s="10"/>
      <c r="F63" s="10"/>
      <c r="G63" s="8" t="s">
        <v>40</v>
      </c>
      <c r="H63" s="8">
        <v>0.35</v>
      </c>
      <c r="I63" s="15">
        <v>47.78</v>
      </c>
      <c r="J63"/>
    </row>
    <row r="64" spans="1:10">
      <c r="A64" s="8" t="s">
        <v>119</v>
      </c>
      <c r="B64" s="8" t="s">
        <v>0</v>
      </c>
      <c r="C64" s="8" t="s">
        <v>120</v>
      </c>
      <c r="D64" s="8">
        <v>9999</v>
      </c>
      <c r="E64" s="8" t="s">
        <v>37</v>
      </c>
      <c r="F64" s="8" t="s">
        <v>121</v>
      </c>
      <c r="G64" s="8" t="s">
        <v>39</v>
      </c>
      <c r="H64" s="8">
        <v>0.3</v>
      </c>
      <c r="I64" s="15">
        <v>27.8</v>
      </c>
      <c r="J64"/>
    </row>
    <row r="65" spans="1:10">
      <c r="A65" s="10"/>
      <c r="B65" s="10"/>
      <c r="C65" s="10"/>
      <c r="D65" s="10"/>
      <c r="E65" s="10"/>
      <c r="F65" s="10"/>
      <c r="G65" s="8" t="s">
        <v>40</v>
      </c>
      <c r="H65" s="8">
        <v>0.35</v>
      </c>
      <c r="I65" s="15">
        <v>5.98</v>
      </c>
      <c r="J65"/>
    </row>
    <row r="66" spans="1:10">
      <c r="A66" s="8" t="s">
        <v>122</v>
      </c>
      <c r="B66" s="8" t="s">
        <v>0</v>
      </c>
      <c r="C66" s="8" t="s">
        <v>123</v>
      </c>
      <c r="D66" s="8">
        <v>9999</v>
      </c>
      <c r="E66" s="8" t="s">
        <v>37</v>
      </c>
      <c r="F66" s="8" t="s">
        <v>124</v>
      </c>
      <c r="G66" s="8" t="s">
        <v>39</v>
      </c>
      <c r="H66" s="8">
        <v>0.3</v>
      </c>
      <c r="I66" s="15">
        <v>210.58</v>
      </c>
      <c r="J66"/>
    </row>
    <row r="67" spans="1:10">
      <c r="A67" s="10"/>
      <c r="B67" s="10"/>
      <c r="C67" s="10"/>
      <c r="D67" s="10"/>
      <c r="E67" s="10"/>
      <c r="F67" s="10"/>
      <c r="G67" s="8" t="s">
        <v>40</v>
      </c>
      <c r="H67" s="8">
        <v>0.35</v>
      </c>
      <c r="I67" s="15">
        <v>38.270000000000003</v>
      </c>
      <c r="J67"/>
    </row>
    <row r="68" spans="1:10">
      <c r="A68" s="8" t="s">
        <v>125</v>
      </c>
      <c r="B68" s="8" t="s">
        <v>0</v>
      </c>
      <c r="C68" s="8" t="s">
        <v>126</v>
      </c>
      <c r="D68" s="8">
        <v>9999</v>
      </c>
      <c r="E68" s="8" t="s">
        <v>37</v>
      </c>
      <c r="F68" s="8" t="s">
        <v>127</v>
      </c>
      <c r="G68" s="8" t="s">
        <v>39</v>
      </c>
      <c r="H68" s="8">
        <v>0.3</v>
      </c>
      <c r="I68" s="15">
        <v>89.78</v>
      </c>
      <c r="J68"/>
    </row>
    <row r="69" spans="1:10">
      <c r="A69" s="10"/>
      <c r="B69" s="10"/>
      <c r="C69" s="10"/>
      <c r="D69" s="10"/>
      <c r="E69" s="10"/>
      <c r="F69" s="10"/>
      <c r="G69" s="8" t="s">
        <v>40</v>
      </c>
      <c r="H69" s="8">
        <v>0.35</v>
      </c>
      <c r="I69" s="15">
        <v>42.81</v>
      </c>
      <c r="J69"/>
    </row>
    <row r="70" spans="1:10">
      <c r="A70" s="8" t="s">
        <v>128</v>
      </c>
      <c r="B70" s="8" t="s">
        <v>0</v>
      </c>
      <c r="C70" s="8" t="s">
        <v>129</v>
      </c>
      <c r="D70" s="8">
        <v>9999</v>
      </c>
      <c r="E70" s="8" t="s">
        <v>37</v>
      </c>
      <c r="F70" s="8" t="s">
        <v>130</v>
      </c>
      <c r="G70" s="8" t="s">
        <v>39</v>
      </c>
      <c r="H70" s="8">
        <v>0.3</v>
      </c>
      <c r="I70" s="15">
        <v>30.34</v>
      </c>
      <c r="J70"/>
    </row>
    <row r="71" spans="1:10">
      <c r="A71" s="10"/>
      <c r="B71" s="10"/>
      <c r="C71" s="10"/>
      <c r="D71" s="10"/>
      <c r="E71" s="10"/>
      <c r="F71" s="10"/>
      <c r="G71" s="8" t="s">
        <v>40</v>
      </c>
      <c r="H71" s="8">
        <v>0.35</v>
      </c>
      <c r="I71" s="15">
        <v>16.13</v>
      </c>
      <c r="J71"/>
    </row>
    <row r="72" spans="1:10">
      <c r="A72" s="8" t="s">
        <v>131</v>
      </c>
      <c r="B72" s="8" t="s">
        <v>0</v>
      </c>
      <c r="C72" s="8" t="s">
        <v>132</v>
      </c>
      <c r="D72" s="8">
        <v>9999</v>
      </c>
      <c r="E72" s="8" t="s">
        <v>37</v>
      </c>
      <c r="F72" s="8" t="s">
        <v>133</v>
      </c>
      <c r="G72" s="8" t="s">
        <v>39</v>
      </c>
      <c r="H72" s="8">
        <v>0.3</v>
      </c>
      <c r="I72" s="15">
        <v>208.49</v>
      </c>
      <c r="J72"/>
    </row>
    <row r="73" spans="1:10">
      <c r="A73" s="10"/>
      <c r="B73" s="10"/>
      <c r="C73" s="10"/>
      <c r="D73" s="10"/>
      <c r="E73" s="10"/>
      <c r="F73" s="10"/>
      <c r="G73" s="8" t="s">
        <v>40</v>
      </c>
      <c r="H73" s="8">
        <v>0.35</v>
      </c>
      <c r="I73" s="15">
        <v>17.7</v>
      </c>
      <c r="J73"/>
    </row>
    <row r="74" spans="1:10">
      <c r="A74" s="8" t="s">
        <v>134</v>
      </c>
      <c r="B74" s="8" t="s">
        <v>0</v>
      </c>
      <c r="C74" s="8" t="s">
        <v>135</v>
      </c>
      <c r="D74" s="8">
        <v>9999</v>
      </c>
      <c r="E74" s="8" t="s">
        <v>37</v>
      </c>
      <c r="F74" s="8" t="s">
        <v>136</v>
      </c>
      <c r="G74" s="8" t="s">
        <v>39</v>
      </c>
      <c r="H74" s="8">
        <v>0.3</v>
      </c>
      <c r="I74" s="15">
        <v>65.819999999999993</v>
      </c>
      <c r="J74"/>
    </row>
    <row r="75" spans="1:10">
      <c r="A75" s="10"/>
      <c r="B75" s="10"/>
      <c r="C75" s="10"/>
      <c r="D75" s="10"/>
      <c r="E75" s="10"/>
      <c r="F75" s="10"/>
      <c r="G75" s="8" t="s">
        <v>40</v>
      </c>
      <c r="H75" s="8">
        <v>0.35</v>
      </c>
      <c r="I75" s="15">
        <v>11.09</v>
      </c>
      <c r="J75"/>
    </row>
    <row r="76" spans="1:10">
      <c r="A76" s="8" t="s">
        <v>137</v>
      </c>
      <c r="B76" s="8" t="s">
        <v>0</v>
      </c>
      <c r="C76" s="8" t="s">
        <v>138</v>
      </c>
      <c r="D76" s="8">
        <v>9999</v>
      </c>
      <c r="E76" s="8" t="s">
        <v>37</v>
      </c>
      <c r="F76" s="8" t="s">
        <v>139</v>
      </c>
      <c r="G76" s="8" t="s">
        <v>39</v>
      </c>
      <c r="H76" s="8">
        <v>0.3</v>
      </c>
      <c r="I76" s="15">
        <v>19.670000000000002</v>
      </c>
      <c r="J76"/>
    </row>
    <row r="77" spans="1:10">
      <c r="A77" s="10"/>
      <c r="B77" s="10"/>
      <c r="C77" s="10"/>
      <c r="D77" s="10"/>
      <c r="E77" s="10"/>
      <c r="F77" s="10"/>
      <c r="G77" s="8" t="s">
        <v>40</v>
      </c>
      <c r="H77" s="8">
        <v>0.35</v>
      </c>
      <c r="I77" s="15">
        <v>22.79</v>
      </c>
      <c r="J77"/>
    </row>
    <row r="78" spans="1:10">
      <c r="A78" s="8" t="s">
        <v>140</v>
      </c>
      <c r="B78" s="8" t="s">
        <v>0</v>
      </c>
      <c r="C78" s="8" t="s">
        <v>141</v>
      </c>
      <c r="D78" s="8">
        <v>9999</v>
      </c>
      <c r="E78" s="8" t="s">
        <v>37</v>
      </c>
      <c r="F78" s="8" t="s">
        <v>142</v>
      </c>
      <c r="G78" s="8" t="s">
        <v>39</v>
      </c>
      <c r="H78" s="8">
        <v>0.3</v>
      </c>
      <c r="I78" s="15">
        <v>23.22</v>
      </c>
      <c r="J78"/>
    </row>
    <row r="79" spans="1:10">
      <c r="A79" s="10"/>
      <c r="B79" s="10"/>
      <c r="C79" s="10"/>
      <c r="D79" s="10"/>
      <c r="E79" s="10"/>
      <c r="F79" s="10"/>
      <c r="G79" s="8" t="s">
        <v>40</v>
      </c>
      <c r="H79" s="8">
        <v>0.35</v>
      </c>
      <c r="I79" s="15">
        <v>0.56000000000000005</v>
      </c>
      <c r="J79"/>
    </row>
    <row r="80" spans="1:10">
      <c r="A80" s="8" t="s">
        <v>143</v>
      </c>
      <c r="B80" s="8" t="s">
        <v>0</v>
      </c>
      <c r="C80" s="8" t="s">
        <v>144</v>
      </c>
      <c r="D80" s="8">
        <v>9999</v>
      </c>
      <c r="E80" s="8" t="s">
        <v>37</v>
      </c>
      <c r="F80" s="8" t="s">
        <v>145</v>
      </c>
      <c r="G80" s="8" t="s">
        <v>39</v>
      </c>
      <c r="H80" s="8">
        <v>0.3</v>
      </c>
      <c r="I80" s="15">
        <v>337.21</v>
      </c>
      <c r="J80"/>
    </row>
    <row r="81" spans="1:10">
      <c r="A81" s="10"/>
      <c r="B81" s="10"/>
      <c r="C81" s="10"/>
      <c r="D81" s="10"/>
      <c r="E81" s="10"/>
      <c r="F81" s="10"/>
      <c r="G81" s="8" t="s">
        <v>40</v>
      </c>
      <c r="H81" s="8">
        <v>0.35</v>
      </c>
      <c r="I81" s="15">
        <v>17.36</v>
      </c>
      <c r="J81"/>
    </row>
    <row r="82" spans="1:10">
      <c r="A82" s="8" t="s">
        <v>146</v>
      </c>
      <c r="B82" s="8" t="s">
        <v>0</v>
      </c>
      <c r="C82" s="8" t="s">
        <v>147</v>
      </c>
      <c r="D82" s="8">
        <v>9999</v>
      </c>
      <c r="E82" s="8" t="s">
        <v>37</v>
      </c>
      <c r="F82" s="8" t="s">
        <v>148</v>
      </c>
      <c r="G82" s="8" t="s">
        <v>39</v>
      </c>
      <c r="H82" s="8">
        <v>0.3</v>
      </c>
      <c r="I82" s="15">
        <v>126.22</v>
      </c>
      <c r="J82"/>
    </row>
    <row r="83" spans="1:10">
      <c r="A83" s="10"/>
      <c r="B83" s="10"/>
      <c r="C83" s="10"/>
      <c r="D83" s="10"/>
      <c r="E83" s="10"/>
      <c r="F83" s="10"/>
      <c r="G83" s="8" t="s">
        <v>40</v>
      </c>
      <c r="H83" s="8">
        <v>0.35</v>
      </c>
      <c r="I83" s="15">
        <v>17.95</v>
      </c>
      <c r="J83"/>
    </row>
    <row r="84" spans="1:10">
      <c r="A84" s="8" t="s">
        <v>149</v>
      </c>
      <c r="B84" s="8" t="s">
        <v>0</v>
      </c>
      <c r="C84" s="8" t="s">
        <v>150</v>
      </c>
      <c r="D84" s="8">
        <v>9999</v>
      </c>
      <c r="E84" s="8" t="s">
        <v>37</v>
      </c>
      <c r="F84" s="8" t="s">
        <v>151</v>
      </c>
      <c r="G84" s="8" t="s">
        <v>39</v>
      </c>
      <c r="H84" s="8">
        <v>0.3</v>
      </c>
      <c r="I84" s="15">
        <v>825.08</v>
      </c>
      <c r="J84"/>
    </row>
    <row r="85" spans="1:10">
      <c r="A85" s="10"/>
      <c r="B85" s="10"/>
      <c r="C85" s="10"/>
      <c r="D85" s="10"/>
      <c r="E85" s="10"/>
      <c r="F85" s="10"/>
      <c r="G85" s="8" t="s">
        <v>40</v>
      </c>
      <c r="H85" s="8">
        <v>0.35</v>
      </c>
      <c r="I85" s="15">
        <v>3.23</v>
      </c>
      <c r="J85"/>
    </row>
    <row r="86" spans="1:10">
      <c r="A86" s="8" t="s">
        <v>152</v>
      </c>
      <c r="B86" s="8" t="s">
        <v>0</v>
      </c>
      <c r="C86" s="8" t="s">
        <v>50</v>
      </c>
      <c r="D86" s="8">
        <v>9999</v>
      </c>
      <c r="E86" s="8" t="s">
        <v>37</v>
      </c>
      <c r="F86" s="8" t="s">
        <v>48</v>
      </c>
      <c r="G86" s="8" t="s">
        <v>39</v>
      </c>
      <c r="H86" s="8">
        <v>0.3</v>
      </c>
      <c r="I86" s="15">
        <v>43.21</v>
      </c>
      <c r="J86"/>
    </row>
    <row r="87" spans="1:10">
      <c r="A87" s="10"/>
      <c r="B87" s="10"/>
      <c r="C87" s="10"/>
      <c r="D87" s="10"/>
      <c r="E87" s="10"/>
      <c r="F87" s="10"/>
      <c r="G87" s="8" t="s">
        <v>40</v>
      </c>
      <c r="H87" s="8">
        <v>0.35</v>
      </c>
      <c r="I87" s="15">
        <v>55.66</v>
      </c>
      <c r="J87"/>
    </row>
    <row r="88" spans="1:10">
      <c r="A88" s="8" t="s">
        <v>153</v>
      </c>
      <c r="B88" s="8" t="s">
        <v>0</v>
      </c>
      <c r="C88" s="8" t="s">
        <v>154</v>
      </c>
      <c r="D88" s="8">
        <v>9999</v>
      </c>
      <c r="E88" s="8" t="s">
        <v>37</v>
      </c>
      <c r="F88" s="8" t="s">
        <v>155</v>
      </c>
      <c r="G88" s="8" t="s">
        <v>39</v>
      </c>
      <c r="H88" s="8">
        <v>0.3</v>
      </c>
      <c r="I88" s="15">
        <v>51.93</v>
      </c>
      <c r="J88"/>
    </row>
    <row r="89" spans="1:10">
      <c r="A89" s="10"/>
      <c r="B89" s="10"/>
      <c r="C89" s="10"/>
      <c r="D89" s="10"/>
      <c r="E89" s="10"/>
      <c r="F89" s="10"/>
      <c r="G89" s="8" t="s">
        <v>40</v>
      </c>
      <c r="H89" s="8">
        <v>0.35</v>
      </c>
      <c r="I89" s="15">
        <v>21.39</v>
      </c>
      <c r="J89"/>
    </row>
    <row r="90" spans="1:10">
      <c r="A90" s="8" t="s">
        <v>156</v>
      </c>
      <c r="B90" s="8" t="s">
        <v>0</v>
      </c>
      <c r="C90" s="8" t="s">
        <v>106</v>
      </c>
      <c r="D90" s="8">
        <v>9999</v>
      </c>
      <c r="E90" s="8" t="s">
        <v>37</v>
      </c>
      <c r="F90" s="8" t="s">
        <v>107</v>
      </c>
      <c r="G90" s="8" t="s">
        <v>39</v>
      </c>
      <c r="H90" s="8">
        <v>0.3</v>
      </c>
      <c r="I90" s="15">
        <v>28.31</v>
      </c>
      <c r="J90"/>
    </row>
    <row r="91" spans="1:10">
      <c r="A91" s="10"/>
      <c r="B91" s="10"/>
      <c r="C91" s="10"/>
      <c r="D91" s="10"/>
      <c r="E91" s="10"/>
      <c r="F91" s="10"/>
      <c r="G91" s="8" t="s">
        <v>40</v>
      </c>
      <c r="H91" s="8">
        <v>0.35</v>
      </c>
      <c r="I91" s="15">
        <v>4.74</v>
      </c>
      <c r="J91"/>
    </row>
    <row r="92" spans="1:10">
      <c r="A92" s="8" t="s">
        <v>157</v>
      </c>
      <c r="B92" s="8" t="s">
        <v>0</v>
      </c>
      <c r="C92" s="8" t="s">
        <v>158</v>
      </c>
      <c r="D92" s="8">
        <v>9999</v>
      </c>
      <c r="E92" s="8" t="s">
        <v>37</v>
      </c>
      <c r="F92" s="8" t="s">
        <v>159</v>
      </c>
      <c r="G92" s="8" t="s">
        <v>39</v>
      </c>
      <c r="H92" s="8">
        <v>0.3</v>
      </c>
      <c r="I92" s="15">
        <v>16.86</v>
      </c>
      <c r="J92"/>
    </row>
    <row r="93" spans="1:10">
      <c r="A93" s="10"/>
      <c r="B93" s="10"/>
      <c r="C93" s="10"/>
      <c r="D93" s="10"/>
      <c r="E93" s="10"/>
      <c r="F93" s="10"/>
      <c r="G93" s="8" t="s">
        <v>40</v>
      </c>
      <c r="H93" s="8">
        <v>0.35</v>
      </c>
      <c r="I93" s="15">
        <v>2.13</v>
      </c>
      <c r="J93"/>
    </row>
    <row r="94" spans="1:10">
      <c r="A94" s="8" t="s">
        <v>160</v>
      </c>
      <c r="B94" s="8" t="s">
        <v>0</v>
      </c>
      <c r="C94" s="8" t="s">
        <v>161</v>
      </c>
      <c r="D94" s="8">
        <v>9999</v>
      </c>
      <c r="E94" s="8" t="s">
        <v>37</v>
      </c>
      <c r="F94" s="8" t="s">
        <v>162</v>
      </c>
      <c r="G94" s="8" t="s">
        <v>39</v>
      </c>
      <c r="H94" s="8">
        <v>0.3</v>
      </c>
      <c r="I94" s="15">
        <v>21.79</v>
      </c>
      <c r="J94"/>
    </row>
    <row r="95" spans="1:10">
      <c r="A95" s="10"/>
      <c r="B95" s="10"/>
      <c r="C95" s="10"/>
      <c r="D95" s="10"/>
      <c r="E95" s="10"/>
      <c r="F95" s="10"/>
      <c r="G95" s="8" t="s">
        <v>40</v>
      </c>
      <c r="H95" s="8">
        <v>0.35</v>
      </c>
      <c r="I95" s="15">
        <v>20.32</v>
      </c>
      <c r="J95"/>
    </row>
    <row r="96" spans="1:10">
      <c r="A96" s="8" t="s">
        <v>163</v>
      </c>
      <c r="B96" s="8" t="s">
        <v>0</v>
      </c>
      <c r="C96" s="8" t="s">
        <v>164</v>
      </c>
      <c r="D96" s="8">
        <v>9999</v>
      </c>
      <c r="E96" s="8" t="s">
        <v>37</v>
      </c>
      <c r="F96" s="8" t="s">
        <v>165</v>
      </c>
      <c r="G96" s="8" t="s">
        <v>39</v>
      </c>
      <c r="H96" s="8">
        <v>0.3</v>
      </c>
      <c r="I96" s="15">
        <v>303.43</v>
      </c>
      <c r="J96"/>
    </row>
    <row r="97" spans="1:10">
      <c r="A97" s="10"/>
      <c r="B97" s="10"/>
      <c r="C97" s="10"/>
      <c r="D97" s="10"/>
      <c r="E97" s="10"/>
      <c r="F97" s="10"/>
      <c r="G97" s="8" t="s">
        <v>40</v>
      </c>
      <c r="H97" s="8">
        <v>0.35</v>
      </c>
      <c r="I97" s="15">
        <v>34.08</v>
      </c>
      <c r="J97"/>
    </row>
    <row r="98" spans="1:10">
      <c r="A98" s="8" t="s">
        <v>166</v>
      </c>
      <c r="B98" s="8" t="s">
        <v>0</v>
      </c>
      <c r="C98" s="8" t="s">
        <v>167</v>
      </c>
      <c r="D98" s="8">
        <v>9999</v>
      </c>
      <c r="E98" s="8" t="s">
        <v>37</v>
      </c>
      <c r="F98" s="8" t="s">
        <v>168</v>
      </c>
      <c r="G98" s="8" t="s">
        <v>39</v>
      </c>
      <c r="H98" s="8">
        <v>0.3</v>
      </c>
      <c r="I98" s="15">
        <v>119.4</v>
      </c>
      <c r="J98"/>
    </row>
    <row r="99" spans="1:10">
      <c r="A99" s="10"/>
      <c r="B99" s="10"/>
      <c r="C99" s="10"/>
      <c r="D99" s="10"/>
      <c r="E99" s="10"/>
      <c r="F99" s="10"/>
      <c r="G99" s="8" t="s">
        <v>40</v>
      </c>
      <c r="H99" s="8">
        <v>0.35</v>
      </c>
      <c r="I99" s="15">
        <v>8.9600000000000009</v>
      </c>
      <c r="J99"/>
    </row>
    <row r="100" spans="1:10">
      <c r="A100" s="8" t="s">
        <v>169</v>
      </c>
      <c r="B100" s="8" t="s">
        <v>0</v>
      </c>
      <c r="C100" s="8" t="s">
        <v>170</v>
      </c>
      <c r="D100" s="8">
        <v>9999</v>
      </c>
      <c r="E100" s="8" t="s">
        <v>37</v>
      </c>
      <c r="F100" s="8" t="s">
        <v>68</v>
      </c>
      <c r="G100" s="8" t="s">
        <v>39</v>
      </c>
      <c r="H100" s="8">
        <v>0.3</v>
      </c>
      <c r="I100" s="15">
        <v>159.43</v>
      </c>
      <c r="J100"/>
    </row>
    <row r="101" spans="1:10">
      <c r="A101" s="10"/>
      <c r="B101" s="10"/>
      <c r="C101" s="10"/>
      <c r="D101" s="10"/>
      <c r="E101" s="10"/>
      <c r="F101" s="10"/>
      <c r="G101" s="8" t="s">
        <v>40</v>
      </c>
      <c r="H101" s="8">
        <v>0.35</v>
      </c>
      <c r="I101" s="15">
        <v>11.92</v>
      </c>
      <c r="J101"/>
    </row>
    <row r="102" spans="1:10">
      <c r="A102" s="8" t="s">
        <v>171</v>
      </c>
      <c r="B102" s="8" t="s">
        <v>0</v>
      </c>
      <c r="C102" s="8" t="s">
        <v>154</v>
      </c>
      <c r="D102" s="8">
        <v>9999</v>
      </c>
      <c r="E102" s="8" t="s">
        <v>37</v>
      </c>
      <c r="F102" s="8" t="s">
        <v>155</v>
      </c>
      <c r="G102" s="8" t="s">
        <v>39</v>
      </c>
      <c r="H102" s="8">
        <v>0.3</v>
      </c>
      <c r="I102" s="15">
        <v>6.87</v>
      </c>
      <c r="J102"/>
    </row>
    <row r="103" spans="1:10">
      <c r="A103" s="10"/>
      <c r="B103" s="10"/>
      <c r="C103" s="10"/>
      <c r="D103" s="10"/>
      <c r="E103" s="10"/>
      <c r="F103" s="10"/>
      <c r="G103" s="8" t="s">
        <v>40</v>
      </c>
      <c r="H103" s="8">
        <v>0.35</v>
      </c>
      <c r="I103" s="15">
        <v>0.18</v>
      </c>
      <c r="J103"/>
    </row>
    <row r="104" spans="1:10">
      <c r="A104" s="8" t="s">
        <v>172</v>
      </c>
      <c r="B104" s="8" t="s">
        <v>0</v>
      </c>
      <c r="C104" s="8" t="s">
        <v>141</v>
      </c>
      <c r="D104" s="8">
        <v>9999</v>
      </c>
      <c r="E104" s="8" t="s">
        <v>37</v>
      </c>
      <c r="F104" s="8" t="s">
        <v>142</v>
      </c>
      <c r="G104" s="8" t="s">
        <v>39</v>
      </c>
      <c r="H104" s="8">
        <v>0.3</v>
      </c>
      <c r="I104" s="15">
        <v>101.86</v>
      </c>
      <c r="J104"/>
    </row>
    <row r="105" spans="1:10">
      <c r="A105" s="10"/>
      <c r="B105" s="10"/>
      <c r="C105" s="10"/>
      <c r="D105" s="10"/>
      <c r="E105" s="10"/>
      <c r="F105" s="10"/>
      <c r="G105" s="8" t="s">
        <v>40</v>
      </c>
      <c r="H105" s="8">
        <v>0.35</v>
      </c>
      <c r="I105" s="15">
        <v>77.540000000000006</v>
      </c>
      <c r="J105"/>
    </row>
    <row r="106" spans="1:10">
      <c r="A106" s="8" t="s">
        <v>173</v>
      </c>
      <c r="B106" s="8" t="s">
        <v>0</v>
      </c>
      <c r="C106" s="8" t="s">
        <v>174</v>
      </c>
      <c r="D106" s="8">
        <v>9999</v>
      </c>
      <c r="E106" s="8" t="s">
        <v>37</v>
      </c>
      <c r="F106" s="8" t="s">
        <v>175</v>
      </c>
      <c r="G106" s="8" t="s">
        <v>39</v>
      </c>
      <c r="H106" s="8">
        <v>0.3</v>
      </c>
      <c r="I106" s="15">
        <v>18.95</v>
      </c>
      <c r="J106"/>
    </row>
    <row r="107" spans="1:10">
      <c r="A107" s="10"/>
      <c r="B107" s="10"/>
      <c r="C107" s="10"/>
      <c r="D107" s="10"/>
      <c r="E107" s="10"/>
      <c r="F107" s="10"/>
      <c r="G107" s="8" t="s">
        <v>40</v>
      </c>
      <c r="H107" s="8">
        <v>0.35</v>
      </c>
      <c r="I107" s="15">
        <v>25.21</v>
      </c>
      <c r="J107"/>
    </row>
    <row r="108" spans="1:10">
      <c r="A108" s="8" t="s">
        <v>176</v>
      </c>
      <c r="B108" s="8" t="s">
        <v>0</v>
      </c>
      <c r="C108" s="8" t="s">
        <v>177</v>
      </c>
      <c r="D108" s="8">
        <v>9999</v>
      </c>
      <c r="E108" s="8" t="s">
        <v>37</v>
      </c>
      <c r="F108" s="8" t="s">
        <v>178</v>
      </c>
      <c r="G108" s="8" t="s">
        <v>39</v>
      </c>
      <c r="H108" s="8">
        <v>0.3</v>
      </c>
      <c r="I108" s="15">
        <v>185.27</v>
      </c>
      <c r="J108"/>
    </row>
    <row r="109" spans="1:10">
      <c r="A109" s="10"/>
      <c r="B109" s="10"/>
      <c r="C109" s="10"/>
      <c r="D109" s="10"/>
      <c r="E109" s="10"/>
      <c r="F109" s="10"/>
      <c r="G109" s="8" t="s">
        <v>40</v>
      </c>
      <c r="H109" s="8">
        <v>0.35</v>
      </c>
      <c r="I109" s="15">
        <v>17.739999999999998</v>
      </c>
      <c r="J109"/>
    </row>
    <row r="110" spans="1:10">
      <c r="A110" s="8" t="s">
        <v>179</v>
      </c>
      <c r="B110" s="8" t="s">
        <v>0</v>
      </c>
      <c r="C110" s="8" t="s">
        <v>180</v>
      </c>
      <c r="D110" s="8">
        <v>9999</v>
      </c>
      <c r="E110" s="8" t="s">
        <v>37</v>
      </c>
      <c r="F110" s="8" t="s">
        <v>68</v>
      </c>
      <c r="G110" s="8" t="s">
        <v>39</v>
      </c>
      <c r="H110" s="8">
        <v>0.3</v>
      </c>
      <c r="I110" s="15">
        <v>6.55</v>
      </c>
      <c r="J110"/>
    </row>
    <row r="111" spans="1:10">
      <c r="A111" s="10"/>
      <c r="B111" s="10"/>
      <c r="C111" s="10"/>
      <c r="D111" s="10"/>
      <c r="E111" s="10"/>
      <c r="F111" s="10"/>
      <c r="G111" s="8" t="s">
        <v>40</v>
      </c>
      <c r="H111" s="8">
        <v>0.35</v>
      </c>
      <c r="I111" s="15">
        <v>0.56999999999999995</v>
      </c>
      <c r="J111"/>
    </row>
    <row r="112" spans="1:10">
      <c r="A112" s="8" t="s">
        <v>181</v>
      </c>
      <c r="B112" s="8" t="s">
        <v>0</v>
      </c>
      <c r="C112" s="8" t="s">
        <v>182</v>
      </c>
      <c r="D112" s="8">
        <v>9999</v>
      </c>
      <c r="E112" s="8" t="s">
        <v>37</v>
      </c>
      <c r="F112" s="8" t="s">
        <v>68</v>
      </c>
      <c r="G112" s="8" t="s">
        <v>39</v>
      </c>
      <c r="H112" s="8">
        <v>0.3</v>
      </c>
      <c r="I112" s="15">
        <v>23.88</v>
      </c>
      <c r="J112"/>
    </row>
    <row r="113" spans="1:10">
      <c r="A113" s="10"/>
      <c r="B113" s="10"/>
      <c r="C113" s="10"/>
      <c r="D113" s="10"/>
      <c r="E113" s="10"/>
      <c r="F113" s="10"/>
      <c r="G113" s="8" t="s">
        <v>40</v>
      </c>
      <c r="H113" s="8">
        <v>0.35</v>
      </c>
      <c r="I113" s="15">
        <v>12.82</v>
      </c>
      <c r="J113"/>
    </row>
    <row r="114" spans="1:10">
      <c r="A114" s="8" t="s">
        <v>183</v>
      </c>
      <c r="B114" s="8" t="s">
        <v>0</v>
      </c>
      <c r="C114" s="8" t="s">
        <v>184</v>
      </c>
      <c r="D114" s="8">
        <v>9999</v>
      </c>
      <c r="E114" s="8" t="s">
        <v>37</v>
      </c>
      <c r="F114" s="8" t="s">
        <v>68</v>
      </c>
      <c r="G114" s="8" t="s">
        <v>39</v>
      </c>
      <c r="H114" s="8">
        <v>0.3</v>
      </c>
      <c r="I114" s="15">
        <v>6.84</v>
      </c>
      <c r="J114"/>
    </row>
    <row r="115" spans="1:10">
      <c r="A115" s="10"/>
      <c r="B115" s="10"/>
      <c r="C115" s="10"/>
      <c r="D115" s="10"/>
      <c r="E115" s="10"/>
      <c r="F115" s="10"/>
      <c r="G115" s="8" t="s">
        <v>40</v>
      </c>
      <c r="H115" s="8">
        <v>0.35</v>
      </c>
      <c r="I115" s="15">
        <v>8.11</v>
      </c>
      <c r="J115"/>
    </row>
    <row r="116" spans="1:10">
      <c r="A116" s="8" t="s">
        <v>185</v>
      </c>
      <c r="B116" s="8" t="s">
        <v>0</v>
      </c>
      <c r="C116" s="8" t="s">
        <v>186</v>
      </c>
      <c r="D116" s="8">
        <v>9999</v>
      </c>
      <c r="E116" s="8" t="s">
        <v>37</v>
      </c>
      <c r="F116" s="8" t="s">
        <v>68</v>
      </c>
      <c r="G116" s="8" t="s">
        <v>39</v>
      </c>
      <c r="H116" s="8">
        <v>0.3</v>
      </c>
      <c r="I116" s="15">
        <v>125.78</v>
      </c>
      <c r="J116"/>
    </row>
    <row r="117" spans="1:10">
      <c r="A117" s="10"/>
      <c r="B117" s="10"/>
      <c r="C117" s="10"/>
      <c r="D117" s="10"/>
      <c r="E117" s="10"/>
      <c r="F117" s="10"/>
      <c r="G117" s="8" t="s">
        <v>40</v>
      </c>
      <c r="H117" s="8">
        <v>0.35</v>
      </c>
      <c r="I117" s="15">
        <v>6.33</v>
      </c>
      <c r="J117"/>
    </row>
    <row r="118" spans="1:10">
      <c r="A118" s="8" t="s">
        <v>187</v>
      </c>
      <c r="B118" s="8" t="s">
        <v>0</v>
      </c>
      <c r="C118" s="8" t="s">
        <v>188</v>
      </c>
      <c r="D118" s="8">
        <v>9999</v>
      </c>
      <c r="E118" s="8" t="s">
        <v>37</v>
      </c>
      <c r="F118" s="8" t="s">
        <v>68</v>
      </c>
      <c r="G118" s="8" t="s">
        <v>39</v>
      </c>
      <c r="H118" s="8">
        <v>0.3</v>
      </c>
      <c r="I118" s="15">
        <v>4.9000000000000004</v>
      </c>
      <c r="J118"/>
    </row>
    <row r="119" spans="1:10">
      <c r="A119" s="10"/>
      <c r="B119" s="10"/>
      <c r="C119" s="10"/>
      <c r="D119" s="10"/>
      <c r="E119" s="10"/>
      <c r="F119" s="10"/>
      <c r="G119" s="8" t="s">
        <v>40</v>
      </c>
      <c r="H119" s="8">
        <v>0.35</v>
      </c>
      <c r="I119" s="15">
        <v>5.52</v>
      </c>
      <c r="J119"/>
    </row>
    <row r="120" spans="1:10">
      <c r="A120" s="8" t="s">
        <v>189</v>
      </c>
      <c r="B120" s="8" t="s">
        <v>0</v>
      </c>
      <c r="C120" s="8" t="s">
        <v>164</v>
      </c>
      <c r="D120" s="8">
        <v>9999</v>
      </c>
      <c r="E120" s="8" t="s">
        <v>37</v>
      </c>
      <c r="F120" s="8" t="s">
        <v>68</v>
      </c>
      <c r="G120" s="8" t="s">
        <v>39</v>
      </c>
      <c r="H120" s="8">
        <v>0.3</v>
      </c>
      <c r="I120" s="15">
        <v>14.2</v>
      </c>
      <c r="J120"/>
    </row>
    <row r="121" spans="1:10">
      <c r="A121" s="10"/>
      <c r="B121" s="10"/>
      <c r="C121" s="10"/>
      <c r="D121" s="10"/>
      <c r="E121" s="10"/>
      <c r="F121" s="10"/>
      <c r="G121" s="8" t="s">
        <v>40</v>
      </c>
      <c r="H121" s="8">
        <v>0.35</v>
      </c>
      <c r="I121" s="15">
        <v>8.08</v>
      </c>
      <c r="J121"/>
    </row>
    <row r="122" spans="1:10">
      <c r="A122" s="8" t="s">
        <v>190</v>
      </c>
      <c r="B122" s="8" t="s">
        <v>0</v>
      </c>
      <c r="C122" s="8" t="s">
        <v>191</v>
      </c>
      <c r="D122" s="8">
        <v>9999</v>
      </c>
      <c r="E122" s="8" t="s">
        <v>37</v>
      </c>
      <c r="F122" s="8" t="s">
        <v>192</v>
      </c>
      <c r="G122" s="8" t="s">
        <v>39</v>
      </c>
      <c r="H122" s="8">
        <v>0.3</v>
      </c>
      <c r="I122" s="15">
        <v>99.18</v>
      </c>
      <c r="J122"/>
    </row>
    <row r="123" spans="1:10">
      <c r="A123" s="10"/>
      <c r="B123" s="10"/>
      <c r="C123" s="10"/>
      <c r="D123" s="10"/>
      <c r="E123" s="10"/>
      <c r="F123" s="10"/>
      <c r="G123" s="8" t="s">
        <v>40</v>
      </c>
      <c r="H123" s="8">
        <v>0.35</v>
      </c>
      <c r="I123" s="15">
        <v>42.31</v>
      </c>
      <c r="J123"/>
    </row>
    <row r="124" spans="1:10">
      <c r="A124" s="8" t="s">
        <v>193</v>
      </c>
      <c r="B124" s="8" t="s">
        <v>0</v>
      </c>
      <c r="C124" s="8" t="s">
        <v>194</v>
      </c>
      <c r="D124" s="8">
        <v>9999</v>
      </c>
      <c r="E124" s="8" t="s">
        <v>37</v>
      </c>
      <c r="F124" s="8" t="s">
        <v>195</v>
      </c>
      <c r="G124" s="8" t="s">
        <v>39</v>
      </c>
      <c r="H124" s="8">
        <v>0.3</v>
      </c>
      <c r="I124" s="15">
        <v>64.53</v>
      </c>
      <c r="J124"/>
    </row>
    <row r="125" spans="1:10">
      <c r="A125" s="10"/>
      <c r="B125" s="10"/>
      <c r="C125" s="10"/>
      <c r="D125" s="10"/>
      <c r="E125" s="10"/>
      <c r="F125" s="10"/>
      <c r="G125" s="8" t="s">
        <v>40</v>
      </c>
      <c r="H125" s="8">
        <v>0.35</v>
      </c>
      <c r="I125" s="15">
        <v>34.06</v>
      </c>
      <c r="J125"/>
    </row>
    <row r="126" spans="1:10">
      <c r="A126" s="8" t="s">
        <v>196</v>
      </c>
      <c r="B126" s="8" t="s">
        <v>0</v>
      </c>
      <c r="C126" s="8" t="s">
        <v>197</v>
      </c>
      <c r="D126" s="8">
        <v>9999</v>
      </c>
      <c r="E126" s="8" t="s">
        <v>37</v>
      </c>
      <c r="F126" s="8" t="s">
        <v>198</v>
      </c>
      <c r="G126" s="8" t="s">
        <v>39</v>
      </c>
      <c r="H126" s="8">
        <v>0.3</v>
      </c>
      <c r="I126" s="15">
        <v>40.65</v>
      </c>
      <c r="J126"/>
    </row>
    <row r="127" spans="1:10">
      <c r="A127" s="8" t="s">
        <v>199</v>
      </c>
      <c r="B127" s="8" t="s">
        <v>0</v>
      </c>
      <c r="C127" s="8" t="s">
        <v>200</v>
      </c>
      <c r="D127" s="8">
        <v>9999</v>
      </c>
      <c r="E127" s="8" t="s">
        <v>37</v>
      </c>
      <c r="F127" s="8" t="s">
        <v>201</v>
      </c>
      <c r="G127" s="8" t="s">
        <v>39</v>
      </c>
      <c r="H127" s="8">
        <v>0.3</v>
      </c>
      <c r="I127" s="15">
        <v>138.68</v>
      </c>
      <c r="J127"/>
    </row>
    <row r="128" spans="1:10">
      <c r="A128" s="10"/>
      <c r="B128" s="10"/>
      <c r="C128" s="10"/>
      <c r="D128" s="10"/>
      <c r="E128" s="10"/>
      <c r="F128" s="10"/>
      <c r="G128" s="8" t="s">
        <v>40</v>
      </c>
      <c r="H128" s="8">
        <v>0.35</v>
      </c>
      <c r="I128" s="15">
        <v>0.72</v>
      </c>
      <c r="J128"/>
    </row>
    <row r="129" spans="1:10">
      <c r="A129" s="8" t="s">
        <v>202</v>
      </c>
      <c r="B129" s="8" t="s">
        <v>0</v>
      </c>
      <c r="C129" s="8" t="s">
        <v>203</v>
      </c>
      <c r="D129" s="8">
        <v>9999</v>
      </c>
      <c r="E129" s="8" t="s">
        <v>37</v>
      </c>
      <c r="F129" s="8" t="s">
        <v>204</v>
      </c>
      <c r="G129" s="8" t="s">
        <v>39</v>
      </c>
      <c r="H129" s="8">
        <v>0.3</v>
      </c>
      <c r="I129" s="15">
        <v>14.2</v>
      </c>
      <c r="J129"/>
    </row>
    <row r="130" spans="1:10">
      <c r="A130" s="10"/>
      <c r="B130" s="10"/>
      <c r="C130" s="10"/>
      <c r="D130" s="10"/>
      <c r="E130" s="10"/>
      <c r="F130" s="10"/>
      <c r="G130" s="8" t="s">
        <v>40</v>
      </c>
      <c r="H130" s="8">
        <v>0.35</v>
      </c>
      <c r="I130" s="15">
        <v>17.97</v>
      </c>
      <c r="J130"/>
    </row>
    <row r="131" spans="1:10">
      <c r="A131" s="8" t="s">
        <v>205</v>
      </c>
      <c r="B131" s="8" t="s">
        <v>0</v>
      </c>
      <c r="C131" s="8" t="s">
        <v>206</v>
      </c>
      <c r="D131" s="8">
        <v>9999</v>
      </c>
      <c r="E131" s="8" t="s">
        <v>37</v>
      </c>
      <c r="F131" s="8" t="s">
        <v>207</v>
      </c>
      <c r="G131" s="8" t="s">
        <v>39</v>
      </c>
      <c r="H131" s="8">
        <v>0.3</v>
      </c>
      <c r="I131" s="15">
        <v>46.04</v>
      </c>
      <c r="J131"/>
    </row>
    <row r="132" spans="1:10">
      <c r="A132" s="10"/>
      <c r="B132" s="10"/>
      <c r="C132" s="10"/>
      <c r="D132" s="10"/>
      <c r="E132" s="10"/>
      <c r="F132" s="10"/>
      <c r="G132" s="8" t="s">
        <v>40</v>
      </c>
      <c r="H132" s="8">
        <v>0.35</v>
      </c>
      <c r="I132" s="15">
        <v>9.99</v>
      </c>
      <c r="J132"/>
    </row>
    <row r="133" spans="1:10">
      <c r="A133" s="8" t="s">
        <v>208</v>
      </c>
      <c r="B133" s="8" t="s">
        <v>0</v>
      </c>
      <c r="C133" s="8" t="s">
        <v>209</v>
      </c>
      <c r="D133" s="8">
        <v>9999</v>
      </c>
      <c r="E133" s="8" t="s">
        <v>37</v>
      </c>
      <c r="F133" s="8" t="s">
        <v>210</v>
      </c>
      <c r="G133" s="8" t="s">
        <v>39</v>
      </c>
      <c r="H133" s="8">
        <v>0.3</v>
      </c>
      <c r="I133" s="15">
        <v>17.71</v>
      </c>
      <c r="J133"/>
    </row>
    <row r="134" spans="1:10">
      <c r="A134" s="8" t="s">
        <v>211</v>
      </c>
      <c r="B134" s="8" t="s">
        <v>0</v>
      </c>
      <c r="C134" s="8" t="s">
        <v>212</v>
      </c>
      <c r="D134" s="8">
        <v>9999</v>
      </c>
      <c r="E134" s="8" t="s">
        <v>37</v>
      </c>
      <c r="F134" s="8" t="s">
        <v>213</v>
      </c>
      <c r="G134" s="8" t="s">
        <v>39</v>
      </c>
      <c r="H134" s="8">
        <v>0.3</v>
      </c>
      <c r="I134" s="15">
        <v>19.23</v>
      </c>
      <c r="J134"/>
    </row>
    <row r="135" spans="1:10">
      <c r="A135" s="10"/>
      <c r="B135" s="10"/>
      <c r="C135" s="10"/>
      <c r="D135" s="10"/>
      <c r="E135" s="10"/>
      <c r="F135" s="10"/>
      <c r="G135" s="8" t="s">
        <v>40</v>
      </c>
      <c r="H135" s="8">
        <v>0.35</v>
      </c>
      <c r="I135" s="15">
        <v>47.67</v>
      </c>
      <c r="J135"/>
    </row>
    <row r="136" spans="1:10">
      <c r="A136" s="8" t="s">
        <v>214</v>
      </c>
      <c r="B136" s="8" t="s">
        <v>0</v>
      </c>
      <c r="C136" s="8" t="s">
        <v>215</v>
      </c>
      <c r="D136" s="8">
        <v>9999</v>
      </c>
      <c r="E136" s="8" t="s">
        <v>37</v>
      </c>
      <c r="F136" s="8" t="s">
        <v>216</v>
      </c>
      <c r="G136" s="8" t="s">
        <v>39</v>
      </c>
      <c r="H136" s="8">
        <v>0.3</v>
      </c>
      <c r="I136" s="15">
        <v>18.88</v>
      </c>
      <c r="J136"/>
    </row>
    <row r="137" spans="1:10">
      <c r="A137" s="10"/>
      <c r="B137" s="10"/>
      <c r="C137" s="10"/>
      <c r="D137" s="10"/>
      <c r="E137" s="10"/>
      <c r="F137" s="10"/>
      <c r="G137" s="8" t="s">
        <v>40</v>
      </c>
      <c r="H137" s="8">
        <v>0.35</v>
      </c>
      <c r="I137" s="15">
        <v>10</v>
      </c>
      <c r="J137"/>
    </row>
    <row r="138" spans="1:10">
      <c r="A138" s="8" t="s">
        <v>217</v>
      </c>
      <c r="B138" s="8" t="s">
        <v>0</v>
      </c>
      <c r="C138" s="8" t="s">
        <v>218</v>
      </c>
      <c r="D138" s="8">
        <v>9999</v>
      </c>
      <c r="E138" s="8" t="s">
        <v>37</v>
      </c>
      <c r="F138" s="8" t="s">
        <v>219</v>
      </c>
      <c r="G138" s="8" t="s">
        <v>39</v>
      </c>
      <c r="H138" s="8">
        <v>0.3</v>
      </c>
      <c r="I138" s="15">
        <v>28.4</v>
      </c>
      <c r="J138"/>
    </row>
    <row r="139" spans="1:10">
      <c r="A139" s="10"/>
      <c r="B139" s="10"/>
      <c r="C139" s="10"/>
      <c r="D139" s="10"/>
      <c r="E139" s="10"/>
      <c r="F139" s="10"/>
      <c r="G139" s="8" t="s">
        <v>40</v>
      </c>
      <c r="H139" s="8">
        <v>0.35</v>
      </c>
      <c r="I139" s="15">
        <v>2.78</v>
      </c>
      <c r="J139"/>
    </row>
    <row r="140" spans="1:10">
      <c r="A140" s="8" t="s">
        <v>220</v>
      </c>
      <c r="B140" s="8" t="s">
        <v>0</v>
      </c>
      <c r="C140" s="8" t="s">
        <v>221</v>
      </c>
      <c r="D140" s="8">
        <v>9999</v>
      </c>
      <c r="E140" s="8" t="s">
        <v>37</v>
      </c>
      <c r="F140" s="8" t="s">
        <v>48</v>
      </c>
      <c r="G140" s="8" t="s">
        <v>39</v>
      </c>
      <c r="H140" s="8">
        <v>0.3</v>
      </c>
      <c r="I140" s="15">
        <v>8.1999999999999993</v>
      </c>
      <c r="J140"/>
    </row>
    <row r="141" spans="1:10">
      <c r="A141" s="10"/>
      <c r="B141" s="10"/>
      <c r="C141" s="10"/>
      <c r="D141" s="10"/>
      <c r="E141" s="10"/>
      <c r="F141" s="10"/>
      <c r="G141" s="8" t="s">
        <v>40</v>
      </c>
      <c r="H141" s="8">
        <v>0.35</v>
      </c>
      <c r="I141" s="15">
        <v>12.16</v>
      </c>
      <c r="J141"/>
    </row>
    <row r="142" spans="1:10">
      <c r="A142" s="8" t="s">
        <v>222</v>
      </c>
      <c r="B142" s="8" t="s">
        <v>0</v>
      </c>
      <c r="C142" s="8" t="s">
        <v>223</v>
      </c>
      <c r="D142" s="8">
        <v>9999</v>
      </c>
      <c r="E142" s="8" t="s">
        <v>37</v>
      </c>
      <c r="F142" s="8" t="s">
        <v>195</v>
      </c>
      <c r="G142" s="8" t="s">
        <v>39</v>
      </c>
      <c r="H142" s="8">
        <v>0.3</v>
      </c>
      <c r="I142" s="15">
        <v>4.4000000000000004</v>
      </c>
      <c r="J142"/>
    </row>
    <row r="143" spans="1:10">
      <c r="A143" s="10"/>
      <c r="B143" s="10"/>
      <c r="C143" s="10"/>
      <c r="D143" s="10"/>
      <c r="E143" s="10"/>
      <c r="F143" s="10"/>
      <c r="G143" s="8" t="s">
        <v>40</v>
      </c>
      <c r="H143" s="8">
        <v>0.35</v>
      </c>
      <c r="I143" s="15">
        <v>2.93</v>
      </c>
      <c r="J143"/>
    </row>
    <row r="144" spans="1:10">
      <c r="A144" s="8" t="s">
        <v>224</v>
      </c>
      <c r="B144" s="8" t="s">
        <v>0</v>
      </c>
      <c r="C144" s="8" t="s">
        <v>225</v>
      </c>
      <c r="D144" s="8">
        <v>9999</v>
      </c>
      <c r="E144" s="8" t="s">
        <v>37</v>
      </c>
      <c r="F144" s="8" t="s">
        <v>118</v>
      </c>
      <c r="G144" s="8" t="s">
        <v>39</v>
      </c>
      <c r="H144" s="8">
        <v>0.3</v>
      </c>
      <c r="I144" s="15">
        <v>41.04</v>
      </c>
      <c r="J144"/>
    </row>
    <row r="145" spans="1:10">
      <c r="A145" s="10"/>
      <c r="B145" s="10"/>
      <c r="C145" s="10"/>
      <c r="D145" s="10"/>
      <c r="E145" s="10"/>
      <c r="F145" s="10"/>
      <c r="G145" s="8" t="s">
        <v>40</v>
      </c>
      <c r="H145" s="8">
        <v>0.35</v>
      </c>
      <c r="I145" s="15">
        <v>16.809999999999999</v>
      </c>
      <c r="J145"/>
    </row>
    <row r="146" spans="1:10">
      <c r="A146" s="8" t="s">
        <v>226</v>
      </c>
      <c r="B146" s="8" t="s">
        <v>0</v>
      </c>
      <c r="C146" s="8" t="s">
        <v>227</v>
      </c>
      <c r="D146" s="8">
        <v>9999</v>
      </c>
      <c r="E146" s="8" t="s">
        <v>37</v>
      </c>
      <c r="F146" s="8" t="s">
        <v>68</v>
      </c>
      <c r="G146" s="8" t="s">
        <v>39</v>
      </c>
      <c r="H146" s="8">
        <v>0.3</v>
      </c>
      <c r="I146" s="15">
        <v>1455.57</v>
      </c>
      <c r="J146"/>
    </row>
    <row r="147" spans="1:10">
      <c r="A147" s="10"/>
      <c r="B147" s="10"/>
      <c r="C147" s="10"/>
      <c r="D147" s="10"/>
      <c r="E147" s="10"/>
      <c r="F147" s="10"/>
      <c r="G147" s="8" t="s">
        <v>40</v>
      </c>
      <c r="H147" s="8">
        <v>0.35</v>
      </c>
      <c r="I147" s="15">
        <v>34.799999999999997</v>
      </c>
      <c r="J147"/>
    </row>
    <row r="148" spans="1:10">
      <c r="A148" s="8" t="s">
        <v>228</v>
      </c>
      <c r="B148" s="8" t="s">
        <v>0</v>
      </c>
      <c r="C148" s="8" t="s">
        <v>229</v>
      </c>
      <c r="D148" s="8">
        <v>9999</v>
      </c>
      <c r="E148" s="8" t="s">
        <v>37</v>
      </c>
      <c r="F148" s="8" t="s">
        <v>230</v>
      </c>
      <c r="G148" s="8" t="s">
        <v>39</v>
      </c>
      <c r="H148" s="8">
        <v>0.3</v>
      </c>
      <c r="I148" s="15">
        <v>26.16</v>
      </c>
      <c r="J148"/>
    </row>
    <row r="149" spans="1:10">
      <c r="A149" s="10"/>
      <c r="B149" s="10"/>
      <c r="C149" s="10"/>
      <c r="D149" s="10"/>
      <c r="E149" s="10"/>
      <c r="F149" s="10"/>
      <c r="G149" s="8" t="s">
        <v>40</v>
      </c>
      <c r="H149" s="8">
        <v>0.35</v>
      </c>
      <c r="I149" s="15">
        <v>5.48</v>
      </c>
      <c r="J149"/>
    </row>
    <row r="150" spans="1:10">
      <c r="A150" s="8" t="s">
        <v>231</v>
      </c>
      <c r="B150" s="8" t="s">
        <v>0</v>
      </c>
      <c r="C150" s="8" t="s">
        <v>120</v>
      </c>
      <c r="D150" s="8">
        <v>9999</v>
      </c>
      <c r="E150" s="8" t="s">
        <v>37</v>
      </c>
      <c r="F150" s="8" t="s">
        <v>232</v>
      </c>
      <c r="G150" s="8" t="s">
        <v>39</v>
      </c>
      <c r="H150" s="8">
        <v>0.3</v>
      </c>
      <c r="I150" s="15">
        <v>4.08</v>
      </c>
      <c r="J150"/>
    </row>
    <row r="151" spans="1:10">
      <c r="A151" s="10"/>
      <c r="B151" s="10"/>
      <c r="C151" s="10"/>
      <c r="D151" s="10"/>
      <c r="E151" s="10"/>
      <c r="F151" s="10"/>
      <c r="G151" s="8" t="s">
        <v>40</v>
      </c>
      <c r="H151" s="8">
        <v>0.35</v>
      </c>
      <c r="I151" s="15">
        <v>4.41</v>
      </c>
      <c r="J151"/>
    </row>
    <row r="152" spans="1:10">
      <c r="A152" s="8" t="s">
        <v>233</v>
      </c>
      <c r="B152" s="8" t="s">
        <v>0</v>
      </c>
      <c r="C152" s="8" t="s">
        <v>234</v>
      </c>
      <c r="D152" s="8">
        <v>9999</v>
      </c>
      <c r="E152" s="8" t="s">
        <v>37</v>
      </c>
      <c r="F152" s="8" t="s">
        <v>235</v>
      </c>
      <c r="G152" s="8" t="s">
        <v>39</v>
      </c>
      <c r="H152" s="8">
        <v>0.3</v>
      </c>
      <c r="I152" s="15">
        <v>4.66</v>
      </c>
      <c r="J152"/>
    </row>
    <row r="153" spans="1:10">
      <c r="A153" s="10"/>
      <c r="B153" s="10"/>
      <c r="C153" s="10"/>
      <c r="D153" s="10"/>
      <c r="E153" s="10"/>
      <c r="F153" s="10"/>
      <c r="G153" s="8" t="s">
        <v>40</v>
      </c>
      <c r="H153" s="8">
        <v>0.35</v>
      </c>
      <c r="I153" s="15">
        <v>0.94</v>
      </c>
      <c r="J153"/>
    </row>
    <row r="154" spans="1:10">
      <c r="A154" s="8" t="s">
        <v>236</v>
      </c>
      <c r="B154" s="8" t="s">
        <v>0</v>
      </c>
      <c r="C154" s="8" t="s">
        <v>237</v>
      </c>
      <c r="D154" s="8">
        <v>9999</v>
      </c>
      <c r="E154" s="8" t="s">
        <v>37</v>
      </c>
      <c r="F154" s="8" t="s">
        <v>210</v>
      </c>
      <c r="G154" s="8" t="s">
        <v>39</v>
      </c>
      <c r="H154" s="8">
        <v>0.3</v>
      </c>
      <c r="I154" s="15">
        <v>5.98</v>
      </c>
      <c r="J154"/>
    </row>
    <row r="155" spans="1:10">
      <c r="A155" s="8" t="s">
        <v>238</v>
      </c>
      <c r="B155" s="8" t="s">
        <v>0</v>
      </c>
      <c r="C155" s="8" t="s">
        <v>239</v>
      </c>
      <c r="D155" s="8">
        <v>9999</v>
      </c>
      <c r="E155" s="8" t="s">
        <v>37</v>
      </c>
      <c r="F155" s="8" t="s">
        <v>115</v>
      </c>
      <c r="G155" s="8" t="s">
        <v>39</v>
      </c>
      <c r="H155" s="8">
        <v>0.3</v>
      </c>
      <c r="I155" s="15">
        <v>19.649999999999999</v>
      </c>
      <c r="J155"/>
    </row>
    <row r="156" spans="1:10">
      <c r="A156" s="10"/>
      <c r="B156" s="10"/>
      <c r="C156" s="10"/>
      <c r="D156" s="10"/>
      <c r="E156" s="10"/>
      <c r="F156" s="10"/>
      <c r="G156" s="8" t="s">
        <v>40</v>
      </c>
      <c r="H156" s="8">
        <v>0.35</v>
      </c>
      <c r="I156" s="15">
        <v>16.59</v>
      </c>
      <c r="J156"/>
    </row>
    <row r="157" spans="1:10">
      <c r="A157" s="8" t="s">
        <v>240</v>
      </c>
      <c r="B157" s="8" t="s">
        <v>0</v>
      </c>
      <c r="C157" s="8" t="s">
        <v>241</v>
      </c>
      <c r="D157" s="8">
        <v>9999</v>
      </c>
      <c r="E157" s="8" t="s">
        <v>37</v>
      </c>
      <c r="F157" s="8" t="s">
        <v>242</v>
      </c>
      <c r="G157" s="8" t="s">
        <v>39</v>
      </c>
      <c r="H157" s="8">
        <v>0.3</v>
      </c>
      <c r="I157" s="15">
        <v>17.87</v>
      </c>
      <c r="J157"/>
    </row>
    <row r="158" spans="1:10">
      <c r="A158" s="10"/>
      <c r="B158" s="10"/>
      <c r="C158" s="10"/>
      <c r="D158" s="10"/>
      <c r="E158" s="10"/>
      <c r="F158" s="10"/>
      <c r="G158" s="8" t="s">
        <v>40</v>
      </c>
      <c r="H158" s="8">
        <v>0.35</v>
      </c>
      <c r="I158" s="15">
        <v>0.1</v>
      </c>
      <c r="J158"/>
    </row>
    <row r="159" spans="1:10">
      <c r="A159" s="8" t="s">
        <v>243</v>
      </c>
      <c r="B159" s="8" t="s">
        <v>0</v>
      </c>
      <c r="C159" s="8" t="s">
        <v>244</v>
      </c>
      <c r="D159" s="8">
        <v>9999</v>
      </c>
      <c r="E159" s="8" t="s">
        <v>37</v>
      </c>
      <c r="F159" s="8" t="s">
        <v>245</v>
      </c>
      <c r="G159" s="8" t="s">
        <v>39</v>
      </c>
      <c r="H159" s="8">
        <v>0.3</v>
      </c>
      <c r="I159" s="15">
        <v>9.3000000000000007</v>
      </c>
      <c r="J159"/>
    </row>
    <row r="160" spans="1:10">
      <c r="A160" s="10"/>
      <c r="B160" s="10"/>
      <c r="C160" s="10"/>
      <c r="D160" s="10"/>
      <c r="E160" s="10"/>
      <c r="F160" s="10"/>
      <c r="G160" s="8" t="s">
        <v>40</v>
      </c>
      <c r="H160" s="8">
        <v>0.35</v>
      </c>
      <c r="I160" s="15">
        <v>2.66</v>
      </c>
      <c r="J160"/>
    </row>
    <row r="161" spans="1:10">
      <c r="A161" s="8" t="s">
        <v>246</v>
      </c>
      <c r="B161" s="8" t="s">
        <v>0</v>
      </c>
      <c r="C161" s="8" t="s">
        <v>247</v>
      </c>
      <c r="D161" s="8">
        <v>9999</v>
      </c>
      <c r="E161" s="8" t="s">
        <v>37</v>
      </c>
      <c r="F161" s="8" t="s">
        <v>207</v>
      </c>
      <c r="G161" s="8" t="s">
        <v>39</v>
      </c>
      <c r="H161" s="8">
        <v>0.3</v>
      </c>
      <c r="I161" s="15">
        <v>2649.85</v>
      </c>
      <c r="J161"/>
    </row>
    <row r="162" spans="1:10">
      <c r="A162" s="10"/>
      <c r="B162" s="10"/>
      <c r="C162" s="10"/>
      <c r="D162" s="10"/>
      <c r="E162" s="10"/>
      <c r="F162" s="10"/>
      <c r="G162" s="8" t="s">
        <v>40</v>
      </c>
      <c r="H162" s="8">
        <v>0.35</v>
      </c>
      <c r="I162" s="15">
        <v>29.73</v>
      </c>
      <c r="J162"/>
    </row>
    <row r="163" spans="1:10">
      <c r="A163" s="8" t="s">
        <v>248</v>
      </c>
      <c r="B163" s="8" t="s">
        <v>0</v>
      </c>
      <c r="C163" s="8" t="s">
        <v>249</v>
      </c>
      <c r="D163" s="8">
        <v>9999</v>
      </c>
      <c r="E163" s="8" t="s">
        <v>37</v>
      </c>
      <c r="F163" s="8" t="s">
        <v>250</v>
      </c>
      <c r="G163" s="8" t="s">
        <v>39</v>
      </c>
      <c r="H163" s="8">
        <v>0.3</v>
      </c>
      <c r="I163" s="15">
        <v>147.08000000000001</v>
      </c>
      <c r="J163"/>
    </row>
    <row r="164" spans="1:10">
      <c r="A164" s="10"/>
      <c r="B164" s="10"/>
      <c r="C164" s="10"/>
      <c r="D164" s="10"/>
      <c r="E164" s="10"/>
      <c r="F164" s="10"/>
      <c r="G164" s="8" t="s">
        <v>40</v>
      </c>
      <c r="H164" s="8">
        <v>0.35</v>
      </c>
      <c r="I164" s="15">
        <v>6.85</v>
      </c>
      <c r="J164"/>
    </row>
    <row r="165" spans="1:10">
      <c r="A165" s="8" t="s">
        <v>251</v>
      </c>
      <c r="B165" s="8" t="s">
        <v>0</v>
      </c>
      <c r="C165" s="8" t="s">
        <v>252</v>
      </c>
      <c r="D165" s="8">
        <v>9999</v>
      </c>
      <c r="E165" s="8" t="s">
        <v>37</v>
      </c>
      <c r="F165" s="8" t="s">
        <v>68</v>
      </c>
      <c r="G165" s="8" t="s">
        <v>39</v>
      </c>
      <c r="H165" s="8">
        <v>0.3</v>
      </c>
      <c r="I165" s="15">
        <v>249.16</v>
      </c>
      <c r="J165"/>
    </row>
    <row r="166" spans="1:10">
      <c r="A166" s="10"/>
      <c r="B166" s="10"/>
      <c r="C166" s="10"/>
      <c r="D166" s="10"/>
      <c r="E166" s="10"/>
      <c r="F166" s="10"/>
      <c r="G166" s="8" t="s">
        <v>40</v>
      </c>
      <c r="H166" s="8">
        <v>0.35</v>
      </c>
      <c r="I166" s="15">
        <v>11.94</v>
      </c>
      <c r="J166"/>
    </row>
    <row r="167" spans="1:10">
      <c r="A167" s="8" t="s">
        <v>253</v>
      </c>
      <c r="B167" s="8" t="s">
        <v>0</v>
      </c>
      <c r="C167" s="8" t="s">
        <v>254</v>
      </c>
      <c r="D167" s="8">
        <v>9999</v>
      </c>
      <c r="E167" s="8" t="s">
        <v>37</v>
      </c>
      <c r="F167" s="8" t="s">
        <v>255</v>
      </c>
      <c r="G167" s="8" t="s">
        <v>39</v>
      </c>
      <c r="H167" s="8">
        <v>0.3</v>
      </c>
      <c r="I167" s="15">
        <v>14.61</v>
      </c>
      <c r="J167"/>
    </row>
    <row r="168" spans="1:10">
      <c r="A168" s="10"/>
      <c r="B168" s="10"/>
      <c r="C168" s="10"/>
      <c r="D168" s="10"/>
      <c r="E168" s="10"/>
      <c r="F168" s="10"/>
      <c r="G168" s="8" t="s">
        <v>40</v>
      </c>
      <c r="H168" s="8">
        <v>0.35</v>
      </c>
      <c r="I168" s="15">
        <v>4.83</v>
      </c>
      <c r="J168"/>
    </row>
    <row r="169" spans="1:10">
      <c r="A169" s="8" t="s">
        <v>256</v>
      </c>
      <c r="B169" s="8" t="s">
        <v>0</v>
      </c>
      <c r="C169" s="8" t="s">
        <v>257</v>
      </c>
      <c r="D169" s="8">
        <v>9999</v>
      </c>
      <c r="E169" s="8" t="s">
        <v>37</v>
      </c>
      <c r="F169" s="8" t="s">
        <v>258</v>
      </c>
      <c r="G169" s="8" t="s">
        <v>39</v>
      </c>
      <c r="H169" s="8">
        <v>0.3</v>
      </c>
      <c r="I169" s="15">
        <v>28.13</v>
      </c>
      <c r="J169"/>
    </row>
    <row r="170" spans="1:10">
      <c r="A170" s="10"/>
      <c r="B170" s="10"/>
      <c r="C170" s="10"/>
      <c r="D170" s="10"/>
      <c r="E170" s="10"/>
      <c r="F170" s="10"/>
      <c r="G170" s="8" t="s">
        <v>40</v>
      </c>
      <c r="H170" s="8">
        <v>0.35</v>
      </c>
      <c r="I170" s="15">
        <v>9.35</v>
      </c>
      <c r="J170"/>
    </row>
    <row r="171" spans="1:10">
      <c r="A171" s="8" t="s">
        <v>259</v>
      </c>
      <c r="B171" s="8" t="s">
        <v>0</v>
      </c>
      <c r="C171" s="8" t="s">
        <v>260</v>
      </c>
      <c r="D171" s="8">
        <v>9999</v>
      </c>
      <c r="E171" s="8" t="s">
        <v>37</v>
      </c>
      <c r="F171" s="8" t="s">
        <v>261</v>
      </c>
      <c r="G171" s="8" t="s">
        <v>39</v>
      </c>
      <c r="H171" s="8">
        <v>0.3</v>
      </c>
      <c r="I171" s="15">
        <v>31.28</v>
      </c>
      <c r="J171"/>
    </row>
    <row r="172" spans="1:10">
      <c r="A172" s="10"/>
      <c r="B172" s="10"/>
      <c r="C172" s="10"/>
      <c r="D172" s="10"/>
      <c r="E172" s="10"/>
      <c r="F172" s="10"/>
      <c r="G172" s="8" t="s">
        <v>40</v>
      </c>
      <c r="H172" s="8">
        <v>0.35</v>
      </c>
      <c r="I172" s="15">
        <v>2.52</v>
      </c>
      <c r="J172"/>
    </row>
    <row r="173" spans="1:10">
      <c r="A173" s="8" t="s">
        <v>262</v>
      </c>
      <c r="B173" s="8" t="s">
        <v>0</v>
      </c>
      <c r="C173" s="8" t="s">
        <v>263</v>
      </c>
      <c r="D173" s="8">
        <v>9999</v>
      </c>
      <c r="E173" s="8" t="s">
        <v>37</v>
      </c>
      <c r="F173" s="8" t="s">
        <v>151</v>
      </c>
      <c r="G173" s="8" t="s">
        <v>39</v>
      </c>
      <c r="H173" s="8">
        <v>0.3</v>
      </c>
      <c r="I173" s="15">
        <v>11.79</v>
      </c>
      <c r="J173"/>
    </row>
    <row r="174" spans="1:10">
      <c r="A174" s="8" t="s">
        <v>264</v>
      </c>
      <c r="B174" s="8" t="s">
        <v>0</v>
      </c>
      <c r="C174" s="8" t="s">
        <v>265</v>
      </c>
      <c r="D174" s="8">
        <v>9999</v>
      </c>
      <c r="E174" s="8" t="s">
        <v>37</v>
      </c>
      <c r="F174" s="8" t="s">
        <v>266</v>
      </c>
      <c r="G174" s="8" t="s">
        <v>39</v>
      </c>
      <c r="H174" s="8">
        <v>0.3</v>
      </c>
      <c r="I174" s="15">
        <v>37.06</v>
      </c>
      <c r="J174"/>
    </row>
    <row r="175" spans="1:10">
      <c r="A175" s="10"/>
      <c r="B175" s="10"/>
      <c r="C175" s="10"/>
      <c r="D175" s="10"/>
      <c r="E175" s="10"/>
      <c r="F175" s="10"/>
      <c r="G175" s="8" t="s">
        <v>40</v>
      </c>
      <c r="H175" s="8">
        <v>0.35</v>
      </c>
      <c r="I175" s="15">
        <v>34.28</v>
      </c>
      <c r="J175"/>
    </row>
    <row r="176" spans="1:10">
      <c r="A176" s="8" t="s">
        <v>267</v>
      </c>
      <c r="B176" s="8" t="s">
        <v>0</v>
      </c>
      <c r="C176" s="8" t="s">
        <v>268</v>
      </c>
      <c r="D176" s="8">
        <v>9999</v>
      </c>
      <c r="E176" s="8" t="s">
        <v>37</v>
      </c>
      <c r="F176" s="8" t="s">
        <v>195</v>
      </c>
      <c r="G176" s="8" t="s">
        <v>39</v>
      </c>
      <c r="H176" s="8">
        <v>0.3</v>
      </c>
      <c r="I176" s="15">
        <v>11.54</v>
      </c>
      <c r="J176"/>
    </row>
    <row r="177" spans="1:10">
      <c r="A177" s="10"/>
      <c r="B177" s="10"/>
      <c r="C177" s="10"/>
      <c r="D177" s="10"/>
      <c r="E177" s="10"/>
      <c r="F177" s="10"/>
      <c r="G177" s="8" t="s">
        <v>40</v>
      </c>
      <c r="H177" s="8">
        <v>0.35</v>
      </c>
      <c r="I177" s="15">
        <v>9.69</v>
      </c>
      <c r="J177"/>
    </row>
    <row r="178" spans="1:10">
      <c r="A178" s="8" t="s">
        <v>269</v>
      </c>
      <c r="B178" s="8" t="s">
        <v>0</v>
      </c>
      <c r="C178" s="8" t="s">
        <v>270</v>
      </c>
      <c r="D178" s="8">
        <v>9999</v>
      </c>
      <c r="E178" s="8" t="s">
        <v>37</v>
      </c>
      <c r="F178" s="8" t="s">
        <v>271</v>
      </c>
      <c r="G178" s="8" t="s">
        <v>39</v>
      </c>
      <c r="H178" s="8">
        <v>0.3</v>
      </c>
      <c r="I178" s="15">
        <v>20.2</v>
      </c>
      <c r="J178"/>
    </row>
    <row r="179" spans="1:10">
      <c r="A179" s="10"/>
      <c r="B179" s="10"/>
      <c r="C179" s="10"/>
      <c r="D179" s="10"/>
      <c r="E179" s="10"/>
      <c r="F179" s="10"/>
      <c r="G179" s="8" t="s">
        <v>40</v>
      </c>
      <c r="H179" s="8">
        <v>0.35</v>
      </c>
      <c r="I179" s="15">
        <v>0.93</v>
      </c>
      <c r="J179"/>
    </row>
    <row r="180" spans="1:10">
      <c r="A180" s="8" t="s">
        <v>272</v>
      </c>
      <c r="B180" s="8" t="s">
        <v>0</v>
      </c>
      <c r="C180" s="8" t="s">
        <v>120</v>
      </c>
      <c r="D180" s="8">
        <v>9999</v>
      </c>
      <c r="E180" s="8" t="s">
        <v>37</v>
      </c>
      <c r="F180" s="8" t="s">
        <v>232</v>
      </c>
      <c r="G180" s="8" t="s">
        <v>39</v>
      </c>
      <c r="H180" s="8">
        <v>0.3</v>
      </c>
      <c r="I180" s="15">
        <v>4.08</v>
      </c>
      <c r="J180"/>
    </row>
    <row r="181" spans="1:10">
      <c r="A181" s="8" t="s">
        <v>273</v>
      </c>
      <c r="B181" s="8" t="s">
        <v>0</v>
      </c>
      <c r="C181" s="8" t="s">
        <v>274</v>
      </c>
      <c r="D181" s="8">
        <v>9999</v>
      </c>
      <c r="E181" s="8" t="s">
        <v>37</v>
      </c>
      <c r="F181" s="8" t="s">
        <v>210</v>
      </c>
      <c r="G181" s="8" t="s">
        <v>39</v>
      </c>
      <c r="H181" s="8">
        <v>0.3</v>
      </c>
      <c r="I181" s="15">
        <v>15.14</v>
      </c>
      <c r="J181"/>
    </row>
    <row r="182" spans="1:10">
      <c r="A182" s="10"/>
      <c r="B182" s="10"/>
      <c r="C182" s="10"/>
      <c r="D182" s="10"/>
      <c r="E182" s="10"/>
      <c r="F182" s="10"/>
      <c r="G182" s="8" t="s">
        <v>40</v>
      </c>
      <c r="H182" s="8">
        <v>0.35</v>
      </c>
      <c r="I182" s="15">
        <v>5.35</v>
      </c>
      <c r="J182"/>
    </row>
    <row r="183" spans="1:10">
      <c r="A183" s="8" t="s">
        <v>275</v>
      </c>
      <c r="B183" s="8" t="s">
        <v>0</v>
      </c>
      <c r="C183" s="8" t="s">
        <v>276</v>
      </c>
      <c r="D183" s="8">
        <v>9999</v>
      </c>
      <c r="E183" s="8" t="s">
        <v>37</v>
      </c>
      <c r="F183" s="8" t="s">
        <v>68</v>
      </c>
      <c r="G183" s="8" t="s">
        <v>39</v>
      </c>
      <c r="H183" s="8">
        <v>0.3</v>
      </c>
      <c r="I183" s="15">
        <v>104.11</v>
      </c>
      <c r="J183"/>
    </row>
    <row r="184" spans="1:10">
      <c r="A184" s="10"/>
      <c r="B184" s="10"/>
      <c r="C184" s="10"/>
      <c r="D184" s="10"/>
      <c r="E184" s="10"/>
      <c r="F184" s="10"/>
      <c r="G184" s="8" t="s">
        <v>40</v>
      </c>
      <c r="H184" s="8">
        <v>0.35</v>
      </c>
      <c r="I184" s="15">
        <v>38.42</v>
      </c>
      <c r="J184"/>
    </row>
    <row r="185" spans="1:10">
      <c r="A185" s="8" t="s">
        <v>277</v>
      </c>
      <c r="B185" s="8" t="s">
        <v>0</v>
      </c>
      <c r="C185" s="8" t="s">
        <v>278</v>
      </c>
      <c r="D185" s="8">
        <v>9999</v>
      </c>
      <c r="E185" s="8" t="s">
        <v>37</v>
      </c>
      <c r="F185" s="8" t="s">
        <v>68</v>
      </c>
      <c r="G185" s="8" t="s">
        <v>39</v>
      </c>
      <c r="H185" s="8">
        <v>0.3</v>
      </c>
      <c r="I185" s="15">
        <v>7.58</v>
      </c>
      <c r="J185"/>
    </row>
    <row r="186" spans="1:10">
      <c r="A186" s="10"/>
      <c r="B186" s="10"/>
      <c r="C186" s="10"/>
      <c r="D186" s="10"/>
      <c r="E186" s="10"/>
      <c r="F186" s="10"/>
      <c r="G186" s="8" t="s">
        <v>40</v>
      </c>
      <c r="H186" s="8">
        <v>0.35</v>
      </c>
      <c r="I186" s="15">
        <v>0.38</v>
      </c>
      <c r="J186"/>
    </row>
    <row r="187" spans="1:10">
      <c r="A187" s="8" t="s">
        <v>279</v>
      </c>
      <c r="B187" s="8" t="s">
        <v>0</v>
      </c>
      <c r="C187" s="8" t="s">
        <v>280</v>
      </c>
      <c r="D187" s="8">
        <v>9999</v>
      </c>
      <c r="E187" s="8" t="s">
        <v>37</v>
      </c>
      <c r="F187" s="8" t="s">
        <v>281</v>
      </c>
      <c r="G187" s="8" t="s">
        <v>39</v>
      </c>
      <c r="H187" s="8">
        <v>0.3</v>
      </c>
      <c r="I187" s="15">
        <v>136.06</v>
      </c>
      <c r="J187"/>
    </row>
    <row r="188" spans="1:10">
      <c r="A188" s="10"/>
      <c r="B188" s="10"/>
      <c r="C188" s="10"/>
      <c r="D188" s="10"/>
      <c r="E188" s="10"/>
      <c r="F188" s="10"/>
      <c r="G188" s="8" t="s">
        <v>40</v>
      </c>
      <c r="H188" s="8">
        <v>0.35</v>
      </c>
      <c r="I188" s="15">
        <v>18.37</v>
      </c>
      <c r="J188"/>
    </row>
    <row r="189" spans="1:10">
      <c r="A189" s="8" t="s">
        <v>282</v>
      </c>
      <c r="B189" s="8" t="s">
        <v>0</v>
      </c>
      <c r="C189" s="8" t="s">
        <v>283</v>
      </c>
      <c r="D189" s="8">
        <v>9999</v>
      </c>
      <c r="E189" s="8" t="s">
        <v>37</v>
      </c>
      <c r="F189" s="8" t="s">
        <v>284</v>
      </c>
      <c r="G189" s="8" t="s">
        <v>39</v>
      </c>
      <c r="H189" s="8">
        <v>0.3</v>
      </c>
      <c r="I189" s="15">
        <v>20.93</v>
      </c>
      <c r="J189"/>
    </row>
    <row r="190" spans="1:10">
      <c r="A190" s="10"/>
      <c r="B190" s="10"/>
      <c r="C190" s="10"/>
      <c r="D190" s="10"/>
      <c r="E190" s="10"/>
      <c r="F190" s="10"/>
      <c r="G190" s="8" t="s">
        <v>40</v>
      </c>
      <c r="H190" s="8">
        <v>0.35</v>
      </c>
      <c r="I190" s="15">
        <v>2.64</v>
      </c>
      <c r="J190"/>
    </row>
    <row r="191" spans="1:10">
      <c r="A191" s="8" t="s">
        <v>285</v>
      </c>
      <c r="B191" s="8" t="s">
        <v>0</v>
      </c>
      <c r="C191" s="8" t="s">
        <v>286</v>
      </c>
      <c r="D191" s="8">
        <v>9999</v>
      </c>
      <c r="E191" s="8" t="s">
        <v>37</v>
      </c>
      <c r="F191" s="8" t="s">
        <v>68</v>
      </c>
      <c r="G191" s="8" t="s">
        <v>39</v>
      </c>
      <c r="H191" s="8">
        <v>0.3</v>
      </c>
      <c r="I191" s="15">
        <v>174.86</v>
      </c>
      <c r="J191"/>
    </row>
    <row r="192" spans="1:10">
      <c r="A192" s="10"/>
      <c r="B192" s="10"/>
      <c r="C192" s="10"/>
      <c r="D192" s="10"/>
      <c r="E192" s="10"/>
      <c r="F192" s="10"/>
      <c r="G192" s="8" t="s">
        <v>40</v>
      </c>
      <c r="H192" s="8">
        <v>0.35</v>
      </c>
      <c r="I192" s="15">
        <v>74.09</v>
      </c>
      <c r="J192"/>
    </row>
    <row r="193" spans="1:10">
      <c r="A193" s="8" t="s">
        <v>287</v>
      </c>
      <c r="B193" s="8" t="s">
        <v>0</v>
      </c>
      <c r="C193" s="8" t="s">
        <v>288</v>
      </c>
      <c r="D193" s="8">
        <v>9999</v>
      </c>
      <c r="E193" s="8" t="s">
        <v>37</v>
      </c>
      <c r="F193" s="8" t="s">
        <v>289</v>
      </c>
      <c r="G193" s="8" t="s">
        <v>39</v>
      </c>
      <c r="H193" s="8">
        <v>0.3</v>
      </c>
      <c r="I193" s="15">
        <v>349.17</v>
      </c>
      <c r="J193"/>
    </row>
    <row r="194" spans="1:10">
      <c r="A194" s="10"/>
      <c r="B194" s="10"/>
      <c r="C194" s="10"/>
      <c r="D194" s="10"/>
      <c r="E194" s="10"/>
      <c r="F194" s="10"/>
      <c r="G194" s="8" t="s">
        <v>40</v>
      </c>
      <c r="H194" s="8">
        <v>0.35</v>
      </c>
      <c r="I194" s="15">
        <v>37.67</v>
      </c>
      <c r="J194"/>
    </row>
    <row r="195" spans="1:10">
      <c r="A195" s="8" t="s">
        <v>290</v>
      </c>
      <c r="B195" s="8" t="s">
        <v>0</v>
      </c>
      <c r="C195" s="8" t="s">
        <v>291</v>
      </c>
      <c r="D195" s="8">
        <v>9999</v>
      </c>
      <c r="E195" s="8" t="s">
        <v>37</v>
      </c>
      <c r="F195" s="8" t="s">
        <v>292</v>
      </c>
      <c r="G195" s="8" t="s">
        <v>39</v>
      </c>
      <c r="H195" s="8">
        <v>0.3</v>
      </c>
      <c r="I195" s="15">
        <v>5.73</v>
      </c>
      <c r="J195"/>
    </row>
    <row r="196" spans="1:10">
      <c r="A196" s="8" t="s">
        <v>293</v>
      </c>
      <c r="B196" s="8" t="s">
        <v>0</v>
      </c>
      <c r="C196" s="8" t="s">
        <v>294</v>
      </c>
      <c r="D196" s="8">
        <v>9999</v>
      </c>
      <c r="E196" s="8" t="s">
        <v>37</v>
      </c>
      <c r="F196" s="8" t="s">
        <v>295</v>
      </c>
      <c r="G196" s="8" t="s">
        <v>39</v>
      </c>
      <c r="H196" s="8">
        <v>0.3</v>
      </c>
      <c r="I196" s="15">
        <v>37.25</v>
      </c>
      <c r="J196"/>
    </row>
    <row r="197" spans="1:10">
      <c r="A197" s="10"/>
      <c r="B197" s="10"/>
      <c r="C197" s="10"/>
      <c r="D197" s="10"/>
      <c r="E197" s="10"/>
      <c r="F197" s="10"/>
      <c r="G197" s="8" t="s">
        <v>40</v>
      </c>
      <c r="H197" s="8">
        <v>0.35</v>
      </c>
      <c r="I197" s="15">
        <v>0</v>
      </c>
      <c r="J197"/>
    </row>
    <row r="198" spans="1:10">
      <c r="A198" s="8" t="s">
        <v>296</v>
      </c>
      <c r="B198" s="8" t="s">
        <v>0</v>
      </c>
      <c r="C198" s="8" t="s">
        <v>297</v>
      </c>
      <c r="D198" s="8">
        <v>9999</v>
      </c>
      <c r="E198" s="8" t="s">
        <v>37</v>
      </c>
      <c r="F198" s="8" t="s">
        <v>298</v>
      </c>
      <c r="G198" s="8" t="s">
        <v>39</v>
      </c>
      <c r="H198" s="8">
        <v>0.3</v>
      </c>
      <c r="I198" s="15">
        <v>65.5</v>
      </c>
      <c r="J198"/>
    </row>
    <row r="199" spans="1:10">
      <c r="A199" s="10"/>
      <c r="B199" s="10"/>
      <c r="C199" s="10"/>
      <c r="D199" s="10"/>
      <c r="E199" s="10"/>
      <c r="F199" s="10"/>
      <c r="G199" s="8" t="s">
        <v>40</v>
      </c>
      <c r="H199" s="8">
        <v>0.35</v>
      </c>
      <c r="I199" s="15">
        <v>23.86</v>
      </c>
      <c r="J199"/>
    </row>
    <row r="200" spans="1:10">
      <c r="A200" s="8" t="s">
        <v>299</v>
      </c>
      <c r="B200" s="8" t="s">
        <v>0</v>
      </c>
      <c r="C200" s="8" t="s">
        <v>300</v>
      </c>
      <c r="D200" s="8">
        <v>9999</v>
      </c>
      <c r="E200" s="8" t="s">
        <v>37</v>
      </c>
      <c r="F200" s="8" t="s">
        <v>301</v>
      </c>
      <c r="G200" s="8" t="s">
        <v>39</v>
      </c>
      <c r="H200" s="8">
        <v>0.3</v>
      </c>
      <c r="I200" s="15">
        <v>18.64</v>
      </c>
      <c r="J200"/>
    </row>
    <row r="201" spans="1:10">
      <c r="A201" s="10"/>
      <c r="B201" s="10"/>
      <c r="C201" s="10"/>
      <c r="D201" s="10"/>
      <c r="E201" s="10"/>
      <c r="F201" s="10"/>
      <c r="G201" s="8" t="s">
        <v>40</v>
      </c>
      <c r="H201" s="8">
        <v>0.35</v>
      </c>
      <c r="I201" s="15">
        <v>8.9</v>
      </c>
      <c r="J201"/>
    </row>
    <row r="202" spans="1:10">
      <c r="A202" s="8" t="s">
        <v>302</v>
      </c>
      <c r="B202" s="8" t="s">
        <v>0</v>
      </c>
      <c r="C202" s="8" t="s">
        <v>303</v>
      </c>
      <c r="D202" s="8">
        <v>9999</v>
      </c>
      <c r="E202" s="8" t="s">
        <v>37</v>
      </c>
      <c r="F202" s="8" t="s">
        <v>99</v>
      </c>
      <c r="G202" s="8" t="s">
        <v>39</v>
      </c>
      <c r="H202" s="8">
        <v>0.3</v>
      </c>
      <c r="I202" s="15">
        <v>16.190000000000001</v>
      </c>
      <c r="J202"/>
    </row>
    <row r="203" spans="1:10">
      <c r="A203" s="10"/>
      <c r="B203" s="10"/>
      <c r="C203" s="10"/>
      <c r="D203" s="10"/>
      <c r="E203" s="10"/>
      <c r="F203" s="10"/>
      <c r="G203" s="8" t="s">
        <v>40</v>
      </c>
      <c r="H203" s="8">
        <v>0.35</v>
      </c>
      <c r="I203" s="15">
        <v>4.41</v>
      </c>
      <c r="J203"/>
    </row>
    <row r="204" spans="1:10">
      <c r="A204" s="8" t="s">
        <v>304</v>
      </c>
      <c r="B204" s="8" t="s">
        <v>0</v>
      </c>
      <c r="C204" s="8" t="s">
        <v>305</v>
      </c>
      <c r="D204" s="8">
        <v>9999</v>
      </c>
      <c r="E204" s="8" t="s">
        <v>37</v>
      </c>
      <c r="F204" s="8" t="s">
        <v>68</v>
      </c>
      <c r="G204" s="8" t="s">
        <v>39</v>
      </c>
      <c r="H204" s="8">
        <v>0.3</v>
      </c>
      <c r="I204" s="15">
        <v>70.739999999999995</v>
      </c>
      <c r="J204"/>
    </row>
    <row r="205" spans="1:10">
      <c r="A205" s="10"/>
      <c r="B205" s="10"/>
      <c r="C205" s="10"/>
      <c r="D205" s="10"/>
      <c r="E205" s="10"/>
      <c r="F205" s="10"/>
      <c r="G205" s="8" t="s">
        <v>40</v>
      </c>
      <c r="H205" s="8">
        <v>0.35</v>
      </c>
      <c r="I205" s="15">
        <v>14.08</v>
      </c>
      <c r="J205"/>
    </row>
    <row r="206" spans="1:10">
      <c r="A206" s="8" t="s">
        <v>306</v>
      </c>
      <c r="B206" s="8" t="s">
        <v>0</v>
      </c>
      <c r="C206" s="8" t="s">
        <v>307</v>
      </c>
      <c r="D206" s="8">
        <v>9999</v>
      </c>
      <c r="E206" s="8" t="s">
        <v>37</v>
      </c>
      <c r="F206" s="8" t="s">
        <v>308</v>
      </c>
      <c r="G206" s="8" t="s">
        <v>39</v>
      </c>
      <c r="H206" s="8">
        <v>0.3</v>
      </c>
      <c r="I206" s="15">
        <v>48.18</v>
      </c>
      <c r="J206"/>
    </row>
    <row r="207" spans="1:10">
      <c r="A207" s="10"/>
      <c r="B207" s="10"/>
      <c r="C207" s="10"/>
      <c r="D207" s="10"/>
      <c r="E207" s="10"/>
      <c r="F207" s="10"/>
      <c r="G207" s="8" t="s">
        <v>40</v>
      </c>
      <c r="H207" s="8">
        <v>0.35</v>
      </c>
      <c r="I207" s="15">
        <v>13.14</v>
      </c>
      <c r="J207"/>
    </row>
    <row r="208" spans="1:10">
      <c r="A208" s="8" t="s">
        <v>309</v>
      </c>
      <c r="B208" s="8" t="s">
        <v>0</v>
      </c>
      <c r="C208" s="8" t="s">
        <v>310</v>
      </c>
      <c r="D208" s="8">
        <v>9999</v>
      </c>
      <c r="E208" s="8" t="s">
        <v>37</v>
      </c>
      <c r="F208" s="8" t="s">
        <v>68</v>
      </c>
      <c r="G208" s="8" t="s">
        <v>39</v>
      </c>
      <c r="H208" s="8">
        <v>0.3</v>
      </c>
      <c r="I208" s="15">
        <v>26.7</v>
      </c>
      <c r="J208"/>
    </row>
    <row r="209" spans="1:10">
      <c r="A209" s="10"/>
      <c r="B209" s="10"/>
      <c r="C209" s="10"/>
      <c r="D209" s="10"/>
      <c r="E209" s="10"/>
      <c r="F209" s="10"/>
      <c r="G209" s="8" t="s">
        <v>40</v>
      </c>
      <c r="H209" s="8">
        <v>0.35</v>
      </c>
      <c r="I209" s="15">
        <v>1.98</v>
      </c>
      <c r="J209"/>
    </row>
    <row r="210" spans="1:10">
      <c r="A210" s="8" t="s">
        <v>311</v>
      </c>
      <c r="B210" s="8" t="s">
        <v>0</v>
      </c>
      <c r="C210" s="8" t="s">
        <v>312</v>
      </c>
      <c r="D210" s="8">
        <v>9999</v>
      </c>
      <c r="E210" s="8" t="s">
        <v>37</v>
      </c>
      <c r="F210" s="8" t="s">
        <v>45</v>
      </c>
      <c r="G210" s="8" t="s">
        <v>39</v>
      </c>
      <c r="H210" s="8">
        <v>0.3</v>
      </c>
      <c r="I210" s="15">
        <v>6.25</v>
      </c>
      <c r="J210"/>
    </row>
    <row r="211" spans="1:10">
      <c r="A211" s="10"/>
      <c r="B211" s="10"/>
      <c r="C211" s="10"/>
      <c r="D211" s="10"/>
      <c r="E211" s="10"/>
      <c r="F211" s="10"/>
      <c r="G211" s="8" t="s">
        <v>40</v>
      </c>
      <c r="H211" s="8">
        <v>0.35</v>
      </c>
      <c r="I211" s="15">
        <v>25.33</v>
      </c>
      <c r="J211"/>
    </row>
    <row r="212" spans="1:10">
      <c r="A212" s="8" t="s">
        <v>313</v>
      </c>
      <c r="B212" s="8" t="s">
        <v>0</v>
      </c>
      <c r="C212" s="8" t="s">
        <v>314</v>
      </c>
      <c r="D212" s="8">
        <v>9999</v>
      </c>
      <c r="E212" s="8" t="s">
        <v>37</v>
      </c>
      <c r="F212" s="8" t="s">
        <v>151</v>
      </c>
      <c r="G212" s="8" t="s">
        <v>39</v>
      </c>
      <c r="H212" s="8">
        <v>0.3</v>
      </c>
      <c r="I212" s="15">
        <v>7.48</v>
      </c>
      <c r="J212"/>
    </row>
    <row r="213" spans="1:10">
      <c r="A213" s="10"/>
      <c r="B213" s="10"/>
      <c r="C213" s="10"/>
      <c r="D213" s="10"/>
      <c r="E213" s="10"/>
      <c r="F213" s="10"/>
      <c r="G213" s="8" t="s">
        <v>40</v>
      </c>
      <c r="H213" s="8">
        <v>0.35</v>
      </c>
      <c r="I213" s="15">
        <v>18.920000000000002</v>
      </c>
      <c r="J213"/>
    </row>
    <row r="214" spans="1:10">
      <c r="A214" s="8" t="s">
        <v>315</v>
      </c>
      <c r="B214" s="8" t="s">
        <v>0</v>
      </c>
      <c r="C214" s="8" t="s">
        <v>316</v>
      </c>
      <c r="D214" s="8">
        <v>9999</v>
      </c>
      <c r="E214" s="8" t="s">
        <v>37</v>
      </c>
      <c r="F214" s="8" t="s">
        <v>195</v>
      </c>
      <c r="G214" s="8" t="s">
        <v>39</v>
      </c>
      <c r="H214" s="8">
        <v>0.3</v>
      </c>
      <c r="I214" s="15">
        <v>19.57</v>
      </c>
      <c r="J214"/>
    </row>
    <row r="215" spans="1:10">
      <c r="A215" s="10"/>
      <c r="B215" s="10"/>
      <c r="C215" s="10"/>
      <c r="D215" s="10"/>
      <c r="E215" s="10"/>
      <c r="F215" s="10"/>
      <c r="G215" s="8" t="s">
        <v>40</v>
      </c>
      <c r="H215" s="8">
        <v>0.35</v>
      </c>
      <c r="I215" s="15">
        <v>17.8</v>
      </c>
      <c r="J215"/>
    </row>
    <row r="216" spans="1:10">
      <c r="A216" s="8" t="s">
        <v>317</v>
      </c>
      <c r="B216" s="8" t="s">
        <v>0</v>
      </c>
      <c r="C216" s="8" t="s">
        <v>318</v>
      </c>
      <c r="D216" s="8">
        <v>9999</v>
      </c>
      <c r="E216" s="8" t="s">
        <v>37</v>
      </c>
      <c r="F216" s="8" t="s">
        <v>195</v>
      </c>
      <c r="G216" s="8" t="s">
        <v>39</v>
      </c>
      <c r="H216" s="8">
        <v>0.3</v>
      </c>
      <c r="I216" s="15">
        <v>22.42</v>
      </c>
      <c r="J216"/>
    </row>
    <row r="217" spans="1:10">
      <c r="A217" s="10"/>
      <c r="B217" s="10"/>
      <c r="C217" s="10"/>
      <c r="D217" s="10"/>
      <c r="E217" s="10"/>
      <c r="F217" s="10"/>
      <c r="G217" s="8" t="s">
        <v>40</v>
      </c>
      <c r="H217" s="8">
        <v>0.35</v>
      </c>
      <c r="I217" s="15">
        <v>10.59</v>
      </c>
      <c r="J217"/>
    </row>
    <row r="218" spans="1:10">
      <c r="A218" s="8" t="s">
        <v>319</v>
      </c>
      <c r="B218" s="8" t="s">
        <v>0</v>
      </c>
      <c r="C218" s="8" t="s">
        <v>120</v>
      </c>
      <c r="D218" s="8">
        <v>9999</v>
      </c>
      <c r="E218" s="8" t="s">
        <v>37</v>
      </c>
      <c r="F218" s="8" t="s">
        <v>232</v>
      </c>
      <c r="G218" s="8" t="s">
        <v>39</v>
      </c>
      <c r="H218" s="8">
        <v>0.3</v>
      </c>
      <c r="I218" s="15">
        <v>5.08</v>
      </c>
      <c r="J218"/>
    </row>
    <row r="219" spans="1:10">
      <c r="A219" s="10"/>
      <c r="B219" s="10"/>
      <c r="C219" s="10"/>
      <c r="D219" s="10"/>
      <c r="E219" s="10"/>
      <c r="F219" s="10"/>
      <c r="G219" s="8" t="s">
        <v>40</v>
      </c>
      <c r="H219" s="8">
        <v>0.35</v>
      </c>
      <c r="I219" s="15">
        <v>2.5099999999999998</v>
      </c>
      <c r="J219"/>
    </row>
    <row r="220" spans="1:10">
      <c r="A220" s="8" t="s">
        <v>320</v>
      </c>
      <c r="B220" s="8" t="s">
        <v>0</v>
      </c>
      <c r="C220" s="8" t="s">
        <v>321</v>
      </c>
      <c r="D220" s="8">
        <v>9999</v>
      </c>
      <c r="E220" s="8" t="s">
        <v>37</v>
      </c>
      <c r="F220" s="8" t="s">
        <v>65</v>
      </c>
      <c r="G220" s="8" t="s">
        <v>39</v>
      </c>
      <c r="H220" s="8">
        <v>0.3</v>
      </c>
      <c r="I220" s="15">
        <v>8.23</v>
      </c>
      <c r="J220"/>
    </row>
    <row r="221" spans="1:10">
      <c r="A221" s="8" t="s">
        <v>322</v>
      </c>
      <c r="B221" s="8" t="s">
        <v>0</v>
      </c>
      <c r="C221" s="8" t="s">
        <v>323</v>
      </c>
      <c r="D221" s="8">
        <v>9999</v>
      </c>
      <c r="E221" s="8" t="s">
        <v>37</v>
      </c>
      <c r="F221" s="8" t="s">
        <v>324</v>
      </c>
      <c r="G221" s="8" t="s">
        <v>39</v>
      </c>
      <c r="H221" s="8">
        <v>0.3</v>
      </c>
      <c r="I221" s="15">
        <v>6.25</v>
      </c>
      <c r="J221"/>
    </row>
    <row r="222" spans="1:10">
      <c r="A222" s="8" t="s">
        <v>325</v>
      </c>
      <c r="B222" s="8" t="s">
        <v>0</v>
      </c>
      <c r="C222" s="8" t="s">
        <v>150</v>
      </c>
      <c r="D222" s="8">
        <v>9999</v>
      </c>
      <c r="E222" s="8" t="s">
        <v>37</v>
      </c>
      <c r="F222" s="8" t="s">
        <v>151</v>
      </c>
      <c r="G222" s="8" t="s">
        <v>39</v>
      </c>
      <c r="H222" s="8">
        <v>0.3</v>
      </c>
      <c r="I222" s="15">
        <v>47.82</v>
      </c>
      <c r="J222"/>
    </row>
    <row r="223" spans="1:10">
      <c r="A223" s="10"/>
      <c r="B223" s="10"/>
      <c r="C223" s="10"/>
      <c r="D223" s="10"/>
      <c r="E223" s="10"/>
      <c r="F223" s="10"/>
      <c r="G223" s="8" t="s">
        <v>40</v>
      </c>
      <c r="H223" s="8">
        <v>0.35</v>
      </c>
      <c r="I223" s="15">
        <v>1.9</v>
      </c>
      <c r="J223"/>
    </row>
    <row r="224" spans="1:10">
      <c r="A224" s="8" t="s">
        <v>326</v>
      </c>
      <c r="B224" s="8" t="s">
        <v>0</v>
      </c>
      <c r="C224" s="8" t="s">
        <v>327</v>
      </c>
      <c r="D224" s="8">
        <v>9999</v>
      </c>
      <c r="E224" s="8" t="s">
        <v>37</v>
      </c>
      <c r="F224" s="8" t="s">
        <v>328</v>
      </c>
      <c r="G224" s="8" t="s">
        <v>39</v>
      </c>
      <c r="H224" s="8">
        <v>0.3</v>
      </c>
      <c r="I224" s="15">
        <v>11.95</v>
      </c>
      <c r="J224"/>
    </row>
    <row r="225" spans="1:10">
      <c r="A225" s="10"/>
      <c r="B225" s="10"/>
      <c r="C225" s="10"/>
      <c r="D225" s="10"/>
      <c r="E225" s="10"/>
      <c r="F225" s="10"/>
      <c r="G225" s="8" t="s">
        <v>40</v>
      </c>
      <c r="H225" s="8">
        <v>0.35</v>
      </c>
      <c r="I225" s="15">
        <v>14.03</v>
      </c>
      <c r="J225"/>
    </row>
    <row r="226" spans="1:10">
      <c r="A226" s="8" t="s">
        <v>329</v>
      </c>
      <c r="B226" s="8" t="s">
        <v>0</v>
      </c>
      <c r="C226" s="8" t="s">
        <v>111</v>
      </c>
      <c r="D226" s="8">
        <v>9999</v>
      </c>
      <c r="E226" s="8" t="s">
        <v>37</v>
      </c>
      <c r="F226" s="8" t="s">
        <v>330</v>
      </c>
      <c r="G226" s="8" t="s">
        <v>39</v>
      </c>
      <c r="H226" s="8">
        <v>0.3</v>
      </c>
      <c r="I226" s="15">
        <v>9.6300000000000008</v>
      </c>
      <c r="J226"/>
    </row>
    <row r="227" spans="1:10">
      <c r="A227" s="10"/>
      <c r="B227" s="10"/>
      <c r="C227" s="10"/>
      <c r="D227" s="10"/>
      <c r="E227" s="10"/>
      <c r="F227" s="10"/>
      <c r="G227" s="8" t="s">
        <v>40</v>
      </c>
      <c r="H227" s="8">
        <v>0.35</v>
      </c>
      <c r="I227" s="15">
        <v>13.07</v>
      </c>
      <c r="J227"/>
    </row>
    <row r="228" spans="1:10">
      <c r="A228" s="8" t="s">
        <v>331</v>
      </c>
      <c r="B228" s="8" t="s">
        <v>0</v>
      </c>
      <c r="C228" s="8" t="s">
        <v>332</v>
      </c>
      <c r="D228" s="8">
        <v>9999</v>
      </c>
      <c r="E228" s="8" t="s">
        <v>37</v>
      </c>
      <c r="F228" s="8" t="s">
        <v>333</v>
      </c>
      <c r="G228" s="8" t="s">
        <v>39</v>
      </c>
      <c r="H228" s="8">
        <v>0.3</v>
      </c>
      <c r="I228" s="15">
        <v>14.74</v>
      </c>
      <c r="J228"/>
    </row>
    <row r="229" spans="1:10">
      <c r="A229" s="8" t="s">
        <v>334</v>
      </c>
      <c r="B229" s="8" t="s">
        <v>0</v>
      </c>
      <c r="C229" s="8" t="s">
        <v>335</v>
      </c>
      <c r="D229" s="8">
        <v>9999</v>
      </c>
      <c r="E229" s="8" t="s">
        <v>37</v>
      </c>
      <c r="F229" s="8" t="s">
        <v>336</v>
      </c>
      <c r="G229" s="8" t="s">
        <v>39</v>
      </c>
      <c r="H229" s="8">
        <v>0.3</v>
      </c>
      <c r="I229" s="15">
        <v>6.94</v>
      </c>
      <c r="J229"/>
    </row>
    <row r="230" spans="1:10">
      <c r="A230" s="8" t="s">
        <v>337</v>
      </c>
      <c r="B230" s="8" t="s">
        <v>0</v>
      </c>
      <c r="C230" s="8" t="s">
        <v>338</v>
      </c>
      <c r="D230" s="8">
        <v>9999</v>
      </c>
      <c r="E230" s="8" t="s">
        <v>37</v>
      </c>
      <c r="F230" s="8" t="s">
        <v>68</v>
      </c>
      <c r="G230" s="8" t="s">
        <v>39</v>
      </c>
      <c r="H230" s="8">
        <v>0.3</v>
      </c>
      <c r="I230" s="15">
        <v>20.18</v>
      </c>
      <c r="J230"/>
    </row>
    <row r="231" spans="1:10">
      <c r="A231" s="10"/>
      <c r="B231" s="10"/>
      <c r="C231" s="10"/>
      <c r="D231" s="10"/>
      <c r="E231" s="10"/>
      <c r="F231" s="10"/>
      <c r="G231" s="8" t="s">
        <v>40</v>
      </c>
      <c r="H231" s="8">
        <v>0.35</v>
      </c>
      <c r="I231" s="15">
        <v>10.95</v>
      </c>
      <c r="J231"/>
    </row>
    <row r="232" spans="1:10">
      <c r="A232" s="8" t="s">
        <v>339</v>
      </c>
      <c r="B232" s="8" t="s">
        <v>0</v>
      </c>
      <c r="C232" s="8" t="s">
        <v>340</v>
      </c>
      <c r="D232" s="8">
        <v>9999</v>
      </c>
      <c r="E232" s="8" t="s">
        <v>37</v>
      </c>
      <c r="F232" s="8" t="s">
        <v>324</v>
      </c>
      <c r="G232" s="8" t="s">
        <v>39</v>
      </c>
      <c r="H232" s="8">
        <v>0.3</v>
      </c>
      <c r="I232" s="15">
        <v>16.079999999999998</v>
      </c>
      <c r="J232"/>
    </row>
    <row r="233" spans="1:10">
      <c r="A233" s="10"/>
      <c r="B233" s="10"/>
      <c r="C233" s="10"/>
      <c r="D233" s="10"/>
      <c r="E233" s="10"/>
      <c r="F233" s="10"/>
      <c r="G233" s="8" t="s">
        <v>40</v>
      </c>
      <c r="H233" s="8">
        <v>0.35</v>
      </c>
      <c r="I233" s="15">
        <v>0.19</v>
      </c>
      <c r="J233"/>
    </row>
    <row r="234" spans="1:10">
      <c r="A234" s="8" t="s">
        <v>341</v>
      </c>
      <c r="B234" s="8" t="s">
        <v>0</v>
      </c>
      <c r="C234" s="8" t="s">
        <v>342</v>
      </c>
      <c r="D234" s="8">
        <v>9999</v>
      </c>
      <c r="E234" s="8" t="s">
        <v>37</v>
      </c>
      <c r="F234" s="8" t="s">
        <v>343</v>
      </c>
      <c r="G234" s="8" t="s">
        <v>39</v>
      </c>
      <c r="H234" s="8">
        <v>0.3</v>
      </c>
      <c r="I234" s="15">
        <v>59.61</v>
      </c>
      <c r="J234"/>
    </row>
    <row r="235" spans="1:10">
      <c r="A235" s="10"/>
      <c r="B235" s="10"/>
      <c r="C235" s="10"/>
      <c r="D235" s="10"/>
      <c r="E235" s="10"/>
      <c r="F235" s="10"/>
      <c r="G235" s="8" t="s">
        <v>40</v>
      </c>
      <c r="H235" s="8">
        <v>0.35</v>
      </c>
      <c r="I235" s="15">
        <v>92.06</v>
      </c>
      <c r="J235"/>
    </row>
    <row r="236" spans="1:10">
      <c r="A236" s="8" t="s">
        <v>344</v>
      </c>
      <c r="B236" s="8" t="s">
        <v>0</v>
      </c>
      <c r="C236" s="8" t="s">
        <v>345</v>
      </c>
      <c r="D236" s="8">
        <v>9999</v>
      </c>
      <c r="E236" s="8" t="s">
        <v>37</v>
      </c>
      <c r="F236" s="8" t="s">
        <v>308</v>
      </c>
      <c r="G236" s="8" t="s">
        <v>39</v>
      </c>
      <c r="H236" s="8">
        <v>0.3</v>
      </c>
      <c r="I236" s="15">
        <v>8.76</v>
      </c>
      <c r="J236"/>
    </row>
    <row r="237" spans="1:10">
      <c r="A237" s="10"/>
      <c r="B237" s="10"/>
      <c r="C237" s="10"/>
      <c r="D237" s="10"/>
      <c r="E237" s="10"/>
      <c r="F237" s="10"/>
      <c r="G237" s="8" t="s">
        <v>40</v>
      </c>
      <c r="H237" s="8">
        <v>0.35</v>
      </c>
      <c r="I237" s="15">
        <v>2.0699999999999998</v>
      </c>
      <c r="J237"/>
    </row>
    <row r="238" spans="1:10">
      <c r="A238" s="8" t="s">
        <v>346</v>
      </c>
      <c r="B238" s="8" t="s">
        <v>0</v>
      </c>
      <c r="C238" s="8" t="s">
        <v>347</v>
      </c>
      <c r="D238" s="8">
        <v>9999</v>
      </c>
      <c r="E238" s="8" t="s">
        <v>37</v>
      </c>
      <c r="F238" s="8" t="s">
        <v>348</v>
      </c>
      <c r="G238" s="8" t="s">
        <v>39</v>
      </c>
      <c r="H238" s="8">
        <v>0.3</v>
      </c>
      <c r="I238" s="15">
        <v>31.02</v>
      </c>
      <c r="J238"/>
    </row>
    <row r="239" spans="1:10">
      <c r="A239" s="10"/>
      <c r="B239" s="10"/>
      <c r="C239" s="10"/>
      <c r="D239" s="10"/>
      <c r="E239" s="10"/>
      <c r="F239" s="10"/>
      <c r="G239" s="8" t="s">
        <v>40</v>
      </c>
      <c r="H239" s="8">
        <v>0.35</v>
      </c>
      <c r="I239" s="15">
        <v>46.71</v>
      </c>
      <c r="J239"/>
    </row>
    <row r="240" spans="1:10">
      <c r="A240" s="8" t="s">
        <v>349</v>
      </c>
      <c r="B240" s="8" t="s">
        <v>0</v>
      </c>
      <c r="C240" s="8" t="s">
        <v>350</v>
      </c>
      <c r="D240" s="8">
        <v>9999</v>
      </c>
      <c r="E240" s="8" t="s">
        <v>37</v>
      </c>
      <c r="F240" s="8" t="s">
        <v>351</v>
      </c>
      <c r="G240" s="8" t="s">
        <v>39</v>
      </c>
      <c r="H240" s="8">
        <v>0.3</v>
      </c>
      <c r="I240" s="15">
        <v>19.760000000000002</v>
      </c>
      <c r="J240"/>
    </row>
    <row r="241" spans="1:10">
      <c r="A241" s="10"/>
      <c r="B241" s="10"/>
      <c r="C241" s="10"/>
      <c r="D241" s="10"/>
      <c r="E241" s="10"/>
      <c r="F241" s="10"/>
      <c r="G241" s="8" t="s">
        <v>40</v>
      </c>
      <c r="H241" s="8">
        <v>0.35</v>
      </c>
      <c r="I241" s="15">
        <v>11.47</v>
      </c>
      <c r="J241"/>
    </row>
    <row r="242" spans="1:10">
      <c r="A242" s="8" t="s">
        <v>352</v>
      </c>
      <c r="B242" s="8" t="s">
        <v>0</v>
      </c>
      <c r="C242" s="8" t="s">
        <v>353</v>
      </c>
      <c r="D242" s="8">
        <v>9999</v>
      </c>
      <c r="E242" s="8" t="s">
        <v>37</v>
      </c>
      <c r="F242" s="8" t="s">
        <v>354</v>
      </c>
      <c r="G242" s="8" t="s">
        <v>39</v>
      </c>
      <c r="H242" s="8">
        <v>0.3</v>
      </c>
      <c r="I242" s="15">
        <v>14.52</v>
      </c>
      <c r="J242"/>
    </row>
    <row r="243" spans="1:10">
      <c r="A243" s="10"/>
      <c r="B243" s="10"/>
      <c r="C243" s="10"/>
      <c r="D243" s="10"/>
      <c r="E243" s="10"/>
      <c r="F243" s="10"/>
      <c r="G243" s="8" t="s">
        <v>40</v>
      </c>
      <c r="H243" s="8">
        <v>0.35</v>
      </c>
      <c r="I243" s="15">
        <v>5.43</v>
      </c>
      <c r="J243"/>
    </row>
    <row r="244" spans="1:10">
      <c r="A244" s="8" t="s">
        <v>355</v>
      </c>
      <c r="B244" s="8" t="s">
        <v>0</v>
      </c>
      <c r="C244" s="8" t="s">
        <v>356</v>
      </c>
      <c r="D244" s="8">
        <v>9999</v>
      </c>
      <c r="E244" s="8" t="s">
        <v>37</v>
      </c>
      <c r="F244" s="8" t="s">
        <v>357</v>
      </c>
      <c r="G244" s="8" t="s">
        <v>39</v>
      </c>
      <c r="H244" s="8">
        <v>0.3</v>
      </c>
      <c r="I244" s="15">
        <v>74.02</v>
      </c>
      <c r="J244"/>
    </row>
    <row r="245" spans="1:10">
      <c r="A245" s="10"/>
      <c r="B245" s="10"/>
      <c r="C245" s="10"/>
      <c r="D245" s="10"/>
      <c r="E245" s="10"/>
      <c r="F245" s="10"/>
      <c r="G245" s="8" t="s">
        <v>40</v>
      </c>
      <c r="H245" s="8">
        <v>0.35</v>
      </c>
      <c r="I245" s="15">
        <v>3.2</v>
      </c>
      <c r="J245"/>
    </row>
    <row r="246" spans="1:10">
      <c r="A246" s="8" t="s">
        <v>358</v>
      </c>
      <c r="B246" s="8" t="s">
        <v>0</v>
      </c>
      <c r="C246" s="8" t="s">
        <v>359</v>
      </c>
      <c r="D246" s="8">
        <v>9999</v>
      </c>
      <c r="E246" s="8" t="s">
        <v>37</v>
      </c>
      <c r="F246" s="8" t="s">
        <v>360</v>
      </c>
      <c r="G246" s="8" t="s">
        <v>39</v>
      </c>
      <c r="H246" s="8">
        <v>0.3</v>
      </c>
      <c r="I246" s="15">
        <v>29.72</v>
      </c>
      <c r="J246"/>
    </row>
    <row r="247" spans="1:10">
      <c r="A247" s="10"/>
      <c r="B247" s="10"/>
      <c r="C247" s="10"/>
      <c r="D247" s="10"/>
      <c r="E247" s="10"/>
      <c r="F247" s="10"/>
      <c r="G247" s="8" t="s">
        <v>40</v>
      </c>
      <c r="H247" s="8">
        <v>0.35</v>
      </c>
      <c r="I247" s="15">
        <v>2.31</v>
      </c>
      <c r="J247"/>
    </row>
    <row r="248" spans="1:10">
      <c r="A248" s="8" t="s">
        <v>361</v>
      </c>
      <c r="B248" s="8" t="s">
        <v>0</v>
      </c>
      <c r="C248" s="8" t="s">
        <v>362</v>
      </c>
      <c r="D248" s="8">
        <v>9999</v>
      </c>
      <c r="E248" s="8" t="s">
        <v>37</v>
      </c>
      <c r="F248" s="8" t="s">
        <v>130</v>
      </c>
      <c r="G248" s="8" t="s">
        <v>39</v>
      </c>
      <c r="H248" s="8">
        <v>0.3</v>
      </c>
      <c r="I248" s="15">
        <v>67.05</v>
      </c>
      <c r="J248"/>
    </row>
    <row r="249" spans="1:10">
      <c r="A249" s="10"/>
      <c r="B249" s="10"/>
      <c r="C249" s="10"/>
      <c r="D249" s="10"/>
      <c r="E249" s="10"/>
      <c r="F249" s="10"/>
      <c r="G249" s="8" t="s">
        <v>40</v>
      </c>
      <c r="H249" s="8">
        <v>0.35</v>
      </c>
      <c r="I249" s="15">
        <v>23.93</v>
      </c>
      <c r="J249"/>
    </row>
    <row r="250" spans="1:10">
      <c r="A250" s="8" t="s">
        <v>363</v>
      </c>
      <c r="B250" s="8" t="s">
        <v>0</v>
      </c>
      <c r="C250" s="8" t="s">
        <v>364</v>
      </c>
      <c r="D250" s="8">
        <v>9999</v>
      </c>
      <c r="E250" s="8" t="s">
        <v>37</v>
      </c>
      <c r="F250" s="8" t="s">
        <v>365</v>
      </c>
      <c r="G250" s="8" t="s">
        <v>39</v>
      </c>
      <c r="H250" s="8">
        <v>0.3</v>
      </c>
      <c r="I250" s="15">
        <v>11.67</v>
      </c>
      <c r="J250"/>
    </row>
    <row r="251" spans="1:10">
      <c r="A251" s="10"/>
      <c r="B251" s="10"/>
      <c r="C251" s="10"/>
      <c r="D251" s="10"/>
      <c r="E251" s="10"/>
      <c r="F251" s="10"/>
      <c r="G251" s="8" t="s">
        <v>40</v>
      </c>
      <c r="H251" s="8">
        <v>0.35</v>
      </c>
      <c r="I251" s="15">
        <v>3.54</v>
      </c>
      <c r="J251"/>
    </row>
    <row r="252" spans="1:10">
      <c r="A252" s="8" t="s">
        <v>366</v>
      </c>
      <c r="B252" s="8" t="s">
        <v>0</v>
      </c>
      <c r="C252" s="8" t="s">
        <v>367</v>
      </c>
      <c r="D252" s="8">
        <v>9999</v>
      </c>
      <c r="E252" s="8" t="s">
        <v>37</v>
      </c>
      <c r="F252" s="8" t="s">
        <v>368</v>
      </c>
      <c r="G252" s="8" t="s">
        <v>39</v>
      </c>
      <c r="H252" s="8">
        <v>0.3</v>
      </c>
      <c r="I252" s="15">
        <v>11.58</v>
      </c>
      <c r="J252"/>
    </row>
    <row r="253" spans="1:10">
      <c r="A253" s="10"/>
      <c r="B253" s="10"/>
      <c r="C253" s="10"/>
      <c r="D253" s="10"/>
      <c r="E253" s="10"/>
      <c r="F253" s="10"/>
      <c r="G253" s="8" t="s">
        <v>40</v>
      </c>
      <c r="H253" s="8">
        <v>0.35</v>
      </c>
      <c r="I253" s="15">
        <v>1.04</v>
      </c>
      <c r="J253"/>
    </row>
    <row r="254" spans="1:10">
      <c r="A254" s="8" t="s">
        <v>369</v>
      </c>
      <c r="B254" s="8" t="s">
        <v>0</v>
      </c>
      <c r="C254" s="8" t="s">
        <v>234</v>
      </c>
      <c r="D254" s="8">
        <v>9999</v>
      </c>
      <c r="E254" s="8" t="s">
        <v>37</v>
      </c>
      <c r="F254" s="8" t="s">
        <v>370</v>
      </c>
      <c r="G254" s="8" t="s">
        <v>39</v>
      </c>
      <c r="H254" s="8">
        <v>0.3</v>
      </c>
      <c r="I254" s="15">
        <v>141.09</v>
      </c>
      <c r="J254"/>
    </row>
    <row r="255" spans="1:10">
      <c r="A255" s="10"/>
      <c r="B255" s="10"/>
      <c r="C255" s="10"/>
      <c r="D255" s="10"/>
      <c r="E255" s="10"/>
      <c r="F255" s="10"/>
      <c r="G255" s="8" t="s">
        <v>40</v>
      </c>
      <c r="H255" s="8">
        <v>0.35</v>
      </c>
      <c r="I255" s="15">
        <v>0.09</v>
      </c>
      <c r="J255"/>
    </row>
    <row r="256" spans="1:10">
      <c r="A256" s="8" t="s">
        <v>371</v>
      </c>
      <c r="B256" s="8" t="s">
        <v>0</v>
      </c>
      <c r="C256" s="8" t="s">
        <v>372</v>
      </c>
      <c r="D256" s="8">
        <v>9999</v>
      </c>
      <c r="E256" s="8" t="s">
        <v>37</v>
      </c>
      <c r="F256" s="8" t="s">
        <v>373</v>
      </c>
      <c r="G256" s="8" t="s">
        <v>39</v>
      </c>
      <c r="H256" s="8">
        <v>0.3</v>
      </c>
      <c r="I256" s="15">
        <v>27.9</v>
      </c>
      <c r="J256"/>
    </row>
    <row r="257" spans="1:10">
      <c r="A257" s="8" t="s">
        <v>374</v>
      </c>
      <c r="B257" s="8" t="s">
        <v>0</v>
      </c>
      <c r="C257" s="8" t="s">
        <v>375</v>
      </c>
      <c r="D257" s="8">
        <v>9999</v>
      </c>
      <c r="E257" s="8" t="s">
        <v>37</v>
      </c>
      <c r="F257" s="8" t="s">
        <v>376</v>
      </c>
      <c r="G257" s="8" t="s">
        <v>39</v>
      </c>
      <c r="H257" s="8">
        <v>0.3</v>
      </c>
      <c r="I257" s="15">
        <v>15.62</v>
      </c>
      <c r="J257"/>
    </row>
    <row r="258" spans="1:10">
      <c r="A258" s="10"/>
      <c r="B258" s="10"/>
      <c r="C258" s="10"/>
      <c r="D258" s="10"/>
      <c r="E258" s="10"/>
      <c r="F258" s="10"/>
      <c r="G258" s="8" t="s">
        <v>40</v>
      </c>
      <c r="H258" s="8">
        <v>0.35</v>
      </c>
      <c r="I258" s="15">
        <v>0.03</v>
      </c>
      <c r="J258"/>
    </row>
    <row r="259" spans="1:10">
      <c r="A259" s="8" t="s">
        <v>377</v>
      </c>
      <c r="B259" s="8" t="s">
        <v>0</v>
      </c>
      <c r="C259" s="8" t="s">
        <v>378</v>
      </c>
      <c r="D259" s="8">
        <v>9999</v>
      </c>
      <c r="E259" s="8" t="s">
        <v>37</v>
      </c>
      <c r="F259" s="8" t="s">
        <v>118</v>
      </c>
      <c r="G259" s="8" t="s">
        <v>39</v>
      </c>
      <c r="H259" s="8">
        <v>0.3</v>
      </c>
      <c r="I259" s="15">
        <v>62.76</v>
      </c>
      <c r="J259"/>
    </row>
    <row r="260" spans="1:10">
      <c r="A260" s="10"/>
      <c r="B260" s="10"/>
      <c r="C260" s="10"/>
      <c r="D260" s="10"/>
      <c r="E260" s="10"/>
      <c r="F260" s="10"/>
      <c r="G260" s="8" t="s">
        <v>40</v>
      </c>
      <c r="H260" s="8">
        <v>0.35</v>
      </c>
      <c r="I260" s="15">
        <v>11.55</v>
      </c>
      <c r="J260"/>
    </row>
    <row r="261" spans="1:10">
      <c r="A261" s="8" t="s">
        <v>379</v>
      </c>
      <c r="B261" s="8" t="s">
        <v>0</v>
      </c>
      <c r="C261" s="8" t="s">
        <v>380</v>
      </c>
      <c r="D261" s="8">
        <v>9999</v>
      </c>
      <c r="E261" s="8" t="s">
        <v>37</v>
      </c>
      <c r="F261" s="8" t="s">
        <v>68</v>
      </c>
      <c r="G261" s="8" t="s">
        <v>39</v>
      </c>
      <c r="H261" s="8">
        <v>0.3</v>
      </c>
      <c r="I261" s="15">
        <v>131.59</v>
      </c>
      <c r="J261"/>
    </row>
    <row r="262" spans="1:10">
      <c r="A262" s="10"/>
      <c r="B262" s="10"/>
      <c r="C262" s="10"/>
      <c r="D262" s="10"/>
      <c r="E262" s="10"/>
      <c r="F262" s="10"/>
      <c r="G262" s="8" t="s">
        <v>40</v>
      </c>
      <c r="H262" s="8">
        <v>0.35</v>
      </c>
      <c r="I262" s="15">
        <v>31.16</v>
      </c>
      <c r="J262"/>
    </row>
    <row r="263" spans="1:10">
      <c r="A263" s="8" t="s">
        <v>381</v>
      </c>
      <c r="B263" s="8" t="s">
        <v>0</v>
      </c>
      <c r="C263" s="8" t="s">
        <v>382</v>
      </c>
      <c r="D263" s="8">
        <v>9999</v>
      </c>
      <c r="E263" s="8" t="s">
        <v>37</v>
      </c>
      <c r="F263" s="8" t="s">
        <v>383</v>
      </c>
      <c r="G263" s="8" t="s">
        <v>39</v>
      </c>
      <c r="H263" s="8">
        <v>0.3</v>
      </c>
      <c r="I263" s="15">
        <v>13.01</v>
      </c>
      <c r="J263"/>
    </row>
    <row r="264" spans="1:10">
      <c r="A264" s="10"/>
      <c r="B264" s="10"/>
      <c r="C264" s="10"/>
      <c r="D264" s="10"/>
      <c r="E264" s="10"/>
      <c r="F264" s="10"/>
      <c r="G264" s="8" t="s">
        <v>40</v>
      </c>
      <c r="H264" s="8">
        <v>0.35</v>
      </c>
      <c r="I264" s="15">
        <v>8.7200000000000006</v>
      </c>
      <c r="J264"/>
    </row>
    <row r="265" spans="1:10">
      <c r="A265" s="8" t="s">
        <v>384</v>
      </c>
      <c r="B265" s="8" t="s">
        <v>0</v>
      </c>
      <c r="C265" s="8" t="s">
        <v>327</v>
      </c>
      <c r="D265" s="8">
        <v>9999</v>
      </c>
      <c r="E265" s="8" t="s">
        <v>37</v>
      </c>
      <c r="F265" s="8" t="s">
        <v>328</v>
      </c>
      <c r="G265" s="8" t="s">
        <v>39</v>
      </c>
      <c r="H265" s="8">
        <v>0.3</v>
      </c>
      <c r="I265" s="15">
        <v>26.33</v>
      </c>
      <c r="J265"/>
    </row>
    <row r="266" spans="1:10">
      <c r="A266" s="10"/>
      <c r="B266" s="10"/>
      <c r="C266" s="10"/>
      <c r="D266" s="10"/>
      <c r="E266" s="10"/>
      <c r="F266" s="10"/>
      <c r="G266" s="8" t="s">
        <v>40</v>
      </c>
      <c r="H266" s="8">
        <v>0.35</v>
      </c>
      <c r="I266" s="15">
        <v>14.23</v>
      </c>
      <c r="J266"/>
    </row>
    <row r="267" spans="1:10">
      <c r="A267" s="8" t="s">
        <v>385</v>
      </c>
      <c r="B267" s="8" t="s">
        <v>0</v>
      </c>
      <c r="C267" s="8" t="s">
        <v>338</v>
      </c>
      <c r="D267" s="8">
        <v>9999</v>
      </c>
      <c r="E267" s="8" t="s">
        <v>37</v>
      </c>
      <c r="F267" s="8" t="s">
        <v>68</v>
      </c>
      <c r="G267" s="8" t="s">
        <v>39</v>
      </c>
      <c r="H267" s="8">
        <v>0.3</v>
      </c>
      <c r="I267" s="15">
        <v>213.82</v>
      </c>
      <c r="J267"/>
    </row>
    <row r="268" spans="1:10">
      <c r="A268" s="10"/>
      <c r="B268" s="10"/>
      <c r="C268" s="10"/>
      <c r="D268" s="10"/>
      <c r="E268" s="10"/>
      <c r="F268" s="10"/>
      <c r="G268" s="8" t="s">
        <v>40</v>
      </c>
      <c r="H268" s="8">
        <v>0.35</v>
      </c>
      <c r="I268" s="15">
        <v>63.26</v>
      </c>
      <c r="J268"/>
    </row>
    <row r="269" spans="1:10">
      <c r="A269" s="8" t="s">
        <v>386</v>
      </c>
      <c r="B269" s="8" t="s">
        <v>0</v>
      </c>
      <c r="C269" s="8" t="s">
        <v>67</v>
      </c>
      <c r="D269" s="8">
        <v>9999</v>
      </c>
      <c r="E269" s="8" t="s">
        <v>37</v>
      </c>
      <c r="F269" s="8" t="s">
        <v>68</v>
      </c>
      <c r="G269" s="8" t="s">
        <v>39</v>
      </c>
      <c r="H269" s="8">
        <v>0.3</v>
      </c>
      <c r="I269" s="15">
        <v>27.06</v>
      </c>
      <c r="J269"/>
    </row>
    <row r="270" spans="1:10">
      <c r="A270" s="10"/>
      <c r="B270" s="10"/>
      <c r="C270" s="10"/>
      <c r="D270" s="10"/>
      <c r="E270" s="10"/>
      <c r="F270" s="10"/>
      <c r="G270" s="8" t="s">
        <v>40</v>
      </c>
      <c r="H270" s="8">
        <v>0.35</v>
      </c>
      <c r="I270" s="15">
        <v>35.57</v>
      </c>
      <c r="J270"/>
    </row>
    <row r="271" spans="1:10">
      <c r="A271" s="8" t="s">
        <v>387</v>
      </c>
      <c r="B271" s="8" t="s">
        <v>0</v>
      </c>
      <c r="C271" s="8" t="s">
        <v>388</v>
      </c>
      <c r="D271" s="8">
        <v>9999</v>
      </c>
      <c r="E271" s="8" t="s">
        <v>37</v>
      </c>
      <c r="F271" s="8" t="s">
        <v>295</v>
      </c>
      <c r="G271" s="8" t="s">
        <v>39</v>
      </c>
      <c r="H271" s="8">
        <v>0.3</v>
      </c>
      <c r="I271" s="15">
        <v>63.22</v>
      </c>
      <c r="J271"/>
    </row>
    <row r="272" spans="1:10">
      <c r="A272" s="10"/>
      <c r="B272" s="10"/>
      <c r="C272" s="10"/>
      <c r="D272" s="10"/>
      <c r="E272" s="10"/>
      <c r="F272" s="10"/>
      <c r="G272" s="8" t="s">
        <v>40</v>
      </c>
      <c r="H272" s="8">
        <v>0.35</v>
      </c>
      <c r="I272" s="15">
        <v>13.91</v>
      </c>
      <c r="J272"/>
    </row>
    <row r="273" spans="1:10">
      <c r="A273" s="8" t="s">
        <v>389</v>
      </c>
      <c r="B273" s="8" t="s">
        <v>0</v>
      </c>
      <c r="C273" s="8" t="s">
        <v>390</v>
      </c>
      <c r="D273" s="8">
        <v>9999</v>
      </c>
      <c r="E273" s="8" t="s">
        <v>37</v>
      </c>
      <c r="F273" s="8" t="s">
        <v>68</v>
      </c>
      <c r="G273" s="8" t="s">
        <v>39</v>
      </c>
      <c r="H273" s="8">
        <v>0.3</v>
      </c>
      <c r="I273" s="15">
        <v>95.82</v>
      </c>
      <c r="J273"/>
    </row>
    <row r="274" spans="1:10">
      <c r="A274" s="16"/>
      <c r="B274" s="16"/>
      <c r="C274" s="16"/>
      <c r="D274" s="16"/>
      <c r="E274" s="16"/>
      <c r="F274" s="16"/>
      <c r="G274" s="9" t="s">
        <v>40</v>
      </c>
      <c r="H274" s="9">
        <v>0.35</v>
      </c>
      <c r="I274" s="17">
        <v>15.62</v>
      </c>
      <c r="J274"/>
    </row>
    <row r="275" spans="1:10">
      <c r="A275"/>
      <c r="B275"/>
      <c r="C275"/>
      <c r="D275"/>
      <c r="E275"/>
      <c r="F275"/>
      <c r="G275"/>
      <c r="H275"/>
      <c r="I275"/>
      <c r="J275"/>
    </row>
    <row r="277" spans="1:10">
      <c r="A277" s="1" t="s">
        <v>7</v>
      </c>
      <c r="B277" s="1" t="s">
        <v>8</v>
      </c>
      <c r="C277" s="1" t="s">
        <v>9</v>
      </c>
      <c r="D277" s="1" t="s">
        <v>10</v>
      </c>
      <c r="E277" s="1" t="s">
        <v>11</v>
      </c>
      <c r="F277" s="1" t="s">
        <v>12</v>
      </c>
      <c r="G277" s="1" t="s">
        <v>13</v>
      </c>
      <c r="H277" s="1" t="s">
        <v>14</v>
      </c>
      <c r="I277" s="1" t="s">
        <v>15</v>
      </c>
      <c r="J277" s="1" t="s">
        <v>31</v>
      </c>
    </row>
    <row r="278" spans="1:10">
      <c r="A278" s="1" t="s">
        <v>391</v>
      </c>
      <c r="B278" s="1" t="s">
        <v>0</v>
      </c>
      <c r="C278" s="1" t="s">
        <v>392</v>
      </c>
      <c r="D278" s="1" t="s">
        <v>393</v>
      </c>
      <c r="E278" s="1" t="s">
        <v>0</v>
      </c>
      <c r="F278" s="1" t="s">
        <v>0</v>
      </c>
      <c r="G278" s="1" t="s">
        <v>394</v>
      </c>
      <c r="H278" s="1" t="s">
        <v>0</v>
      </c>
      <c r="I278" s="1" t="s">
        <v>395</v>
      </c>
      <c r="J278" s="1">
        <v>41850</v>
      </c>
    </row>
    <row r="280" spans="1:10">
      <c r="A280" s="1" t="s">
        <v>30</v>
      </c>
    </row>
    <row r="281" spans="1:10">
      <c r="A281" s="1" t="s">
        <v>0</v>
      </c>
    </row>
    <row r="283" spans="1:10">
      <c r="A283" s="1" t="s">
        <v>1</v>
      </c>
      <c r="B283" s="1" t="s">
        <v>2</v>
      </c>
      <c r="C283" s="1" t="s">
        <v>3</v>
      </c>
    </row>
    <row r="284" spans="1:10">
      <c r="A284" s="1">
        <v>2</v>
      </c>
      <c r="B284" s="1">
        <v>2</v>
      </c>
      <c r="C284" s="1">
        <v>41820</v>
      </c>
    </row>
    <row r="286" spans="1:10">
      <c r="A286" s="11" t="s">
        <v>25</v>
      </c>
      <c r="B286" s="14" t="s">
        <v>28</v>
      </c>
      <c r="C286"/>
    </row>
    <row r="287" spans="1:10">
      <c r="A287" s="11" t="s">
        <v>29</v>
      </c>
      <c r="B287" s="13" t="s">
        <v>28</v>
      </c>
      <c r="C287"/>
    </row>
    <row r="288" spans="1:10">
      <c r="A288" s="9" t="s">
        <v>29</v>
      </c>
      <c r="B288" s="17">
        <v>4560.2299999999996</v>
      </c>
      <c r="C288"/>
    </row>
    <row r="289" spans="1:3">
      <c r="A289"/>
      <c r="B289"/>
      <c r="C289"/>
    </row>
  </sheetData>
  <sheetProtection sheet="1" objects="1" scenarios="1" formatCells="0" formatColumns="0" formatRows="0" insertHyperlink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U289"/>
  <sheetViews>
    <sheetView tabSelected="1" topLeftCell="B1" workbookViewId="0">
      <selection activeCell="B3" sqref="B3"/>
    </sheetView>
  </sheetViews>
  <sheetFormatPr defaultColWidth="9.140625" defaultRowHeight="12.75"/>
  <cols>
    <col min="1" max="1" width="9.140625" style="1" hidden="1" customWidth="1"/>
    <col min="2" max="3" width="21.28515625" style="1" customWidth="1"/>
    <col min="4" max="4" width="52.7109375" style="1" customWidth="1"/>
    <col min="5" max="6" width="13.42578125" style="1" customWidth="1"/>
    <col min="7" max="7" width="17" style="1" customWidth="1"/>
    <col min="8" max="8" width="13.85546875" style="1" hidden="1" customWidth="1"/>
    <col min="9" max="9" width="18.140625" style="1" customWidth="1"/>
    <col min="10" max="10" width="12.140625" style="1" customWidth="1"/>
    <col min="11" max="11" width="15.7109375" style="1" customWidth="1"/>
    <col min="12" max="12" width="12" style="1" customWidth="1"/>
    <col min="13" max="13" width="13.42578125" style="1" bestFit="1" customWidth="1"/>
    <col min="14" max="14" width="10.28515625" style="1" customWidth="1"/>
    <col min="15" max="15" width="13.28515625" style="1" customWidth="1"/>
    <col min="16" max="20" width="10.28515625" style="1" customWidth="1"/>
    <col min="21" max="21" width="10.28515625" style="1" hidden="1" customWidth="1"/>
    <col min="22" max="26" width="9.140625" style="1" customWidth="1"/>
    <col min="27" max="16384" width="9.140625" style="1"/>
  </cols>
  <sheetData>
    <row r="1" spans="2:21">
      <c r="U1" s="1" t="s">
        <v>16</v>
      </c>
    </row>
    <row r="2" spans="2:21" ht="78.75" customHeight="1">
      <c r="U2" s="1" t="s">
        <v>34</v>
      </c>
    </row>
    <row r="3" spans="2:21" ht="19.5" customHeight="1">
      <c r="E3" s="5" t="s">
        <v>6</v>
      </c>
      <c r="F3" s="7"/>
      <c r="U3" s="1" t="s">
        <v>17</v>
      </c>
    </row>
    <row r="4" spans="2:21">
      <c r="B4" s="3" t="s">
        <v>4</v>
      </c>
      <c r="C4" s="3"/>
      <c r="F4" s="6" t="str">
        <f xml:space="preserve"> "Statement Date: " &amp; TEXT(A_StmtDueDate, "mm" &amp; "/" &amp; "dd" &amp; "/" &amp; "yyyy")</f>
        <v>Statement Date: 07/30/2014</v>
      </c>
      <c r="U4" s="1" t="s">
        <v>18</v>
      </c>
    </row>
    <row r="5" spans="2:21">
      <c r="B5" s="3" t="s">
        <v>32</v>
      </c>
      <c r="C5" s="3"/>
      <c r="F5" s="6" t="str">
        <f xml:space="preserve"> "Statement Period: " &amp; TEXT(CCurrentPeriodEndDate - 75, "mmmm") &amp; " - " &amp; TEXT(CCurrentPeriodEndDate, "mmmm yyyy")</f>
        <v>Statement Period: April - June 2014</v>
      </c>
      <c r="U5" s="1" t="s">
        <v>19</v>
      </c>
    </row>
    <row r="6" spans="2:21">
      <c r="B6" s="3" t="s">
        <v>33</v>
      </c>
      <c r="C6" s="3"/>
      <c r="U6" s="1" t="s">
        <v>20</v>
      </c>
    </row>
    <row r="7" spans="2:21">
      <c r="B7" s="4" t="s">
        <v>5</v>
      </c>
      <c r="C7" s="4"/>
    </row>
    <row r="8" spans="2:21">
      <c r="U8" s="1" t="s">
        <v>21</v>
      </c>
    </row>
    <row r="9" spans="2:21">
      <c r="B9" s="18" t="str">
        <f xml:space="preserve"> "Publisher ID: " &amp; A_PublisherID</f>
        <v>Publisher ID: VN000956</v>
      </c>
      <c r="U9" s="1" t="s">
        <v>22</v>
      </c>
    </row>
    <row r="10" spans="2:21">
      <c r="B10" s="18" t="str">
        <f xml:space="preserve"> A_PublisherName</f>
        <v>AVA Publishing</v>
      </c>
      <c r="U10" s="1" t="s">
        <v>23</v>
      </c>
    </row>
    <row r="11" spans="2:21">
      <c r="B11" s="18" t="str">
        <f xml:space="preserve"> A_PublisherAddr1</f>
        <v>56A Chapel Rd</v>
      </c>
    </row>
    <row r="12" spans="2:21">
      <c r="B12" s="18" t="str">
        <f xml:space="preserve"> A_PublisherCity &amp; ", " &amp; A_PublisherState &amp; " " &amp; A_PublisherZip</f>
        <v>Worthing,   BN111BE</v>
      </c>
    </row>
    <row r="14" spans="2:21" ht="51" customHeight="1">
      <c r="B14" s="19" t="str">
        <f t="shared" ref="B14:K14" ca="1" si="0" xml:space="preserve"> INDIRECT( ADDRESS( COLUMN()-1, 21 ) )</f>
        <v>ISBN</v>
      </c>
      <c r="C14" s="19" t="str">
        <f t="shared" ca="1" si="0"/>
        <v>eISBN</v>
      </c>
      <c r="D14" s="19" t="str">
        <f t="shared" ca="1" si="0"/>
        <v>Title</v>
      </c>
      <c r="E14" s="19" t="str">
        <f t="shared" ca="1" si="0"/>
        <v>Publisher</v>
      </c>
      <c r="F14" s="19" t="str">
        <f t="shared" ca="1" si="0"/>
        <v>Author</v>
      </c>
      <c r="G14" s="19" t="str">
        <f t="shared" ca="1" si="0"/>
        <v>Channel</v>
      </c>
      <c r="H14" s="19">
        <f t="shared" ca="1" si="0"/>
        <v>0</v>
      </c>
      <c r="I14" s="19" t="str">
        <f t="shared" ca="1" si="0"/>
        <v>Sales</v>
      </c>
      <c r="J14" s="19" t="str">
        <f t="shared" ca="1" si="0"/>
        <v>Commission Rate</v>
      </c>
      <c r="K14" s="19" t="str">
        <f t="shared" ca="1" si="0"/>
        <v>Commission Earned</v>
      </c>
      <c r="R14" s="2"/>
    </row>
    <row r="15" spans="2:21">
      <c r="B15" s="18" t="str">
        <f xml:space="preserve"> TRIM( "9782884791083" )</f>
        <v>9782884791083</v>
      </c>
      <c r="C15" s="18" t="s">
        <v>396</v>
      </c>
      <c r="D15" s="18" t="s">
        <v>36</v>
      </c>
      <c r="E15" s="18" t="s">
        <v>37</v>
      </c>
      <c r="F15" s="18" t="s">
        <v>38</v>
      </c>
      <c r="G15" s="18" t="s">
        <v>39</v>
      </c>
      <c r="H15" s="18">
        <v>0.3</v>
      </c>
      <c r="I15" s="20">
        <v>64.61</v>
      </c>
      <c r="J15" s="21">
        <v>0.3</v>
      </c>
      <c r="K15" s="20">
        <f t="shared" ref="K15:K78" ca="1" si="1" xml:space="preserve"> ROUND( ( INDIRECT( ADDRESS( ROW(), COLUMN()- 2 ))) * ( INDIRECT( ADDRESS( ROW(), COLUMN()- 1 ))), 2 )</f>
        <v>19.38</v>
      </c>
    </row>
    <row r="16" spans="2:21">
      <c r="B16" s="18" t="str">
        <f xml:space="preserve"> TRIM( "9782884791083" )</f>
        <v>9782884791083</v>
      </c>
      <c r="C16" s="18" t="s">
        <v>396</v>
      </c>
      <c r="D16" s="18" t="s">
        <v>36</v>
      </c>
      <c r="E16" s="18" t="s">
        <v>37</v>
      </c>
      <c r="F16" s="18" t="s">
        <v>38</v>
      </c>
      <c r="G16" s="18" t="s">
        <v>40</v>
      </c>
      <c r="H16" s="18">
        <v>0.35</v>
      </c>
      <c r="I16" s="20">
        <v>22.2</v>
      </c>
      <c r="J16" s="21">
        <v>0.35</v>
      </c>
      <c r="K16" s="20">
        <f t="shared" ca="1" si="1"/>
        <v>7.77</v>
      </c>
    </row>
    <row r="17" spans="2:11">
      <c r="B17" s="18" t="str">
        <f xml:space="preserve"> TRIM( "9782884791090" )</f>
        <v>9782884791090</v>
      </c>
      <c r="C17" s="18" t="s">
        <v>397</v>
      </c>
      <c r="D17" s="18" t="s">
        <v>42</v>
      </c>
      <c r="E17" s="18" t="s">
        <v>37</v>
      </c>
      <c r="F17" s="18" t="s">
        <v>38</v>
      </c>
      <c r="G17" s="18" t="s">
        <v>39</v>
      </c>
      <c r="H17" s="18">
        <v>0.3</v>
      </c>
      <c r="I17" s="20">
        <v>72.75</v>
      </c>
      <c r="J17" s="21">
        <v>0.3</v>
      </c>
      <c r="K17" s="20">
        <f t="shared" ca="1" si="1"/>
        <v>21.83</v>
      </c>
    </row>
    <row r="18" spans="2:11">
      <c r="B18" s="18" t="str">
        <f xml:space="preserve"> TRIM( "9782884791090" )</f>
        <v>9782884791090</v>
      </c>
      <c r="C18" s="18" t="s">
        <v>397</v>
      </c>
      <c r="D18" s="18" t="s">
        <v>42</v>
      </c>
      <c r="E18" s="18" t="s">
        <v>37</v>
      </c>
      <c r="F18" s="18" t="s">
        <v>38</v>
      </c>
      <c r="G18" s="18" t="s">
        <v>40</v>
      </c>
      <c r="H18" s="18">
        <v>0.35</v>
      </c>
      <c r="I18" s="20">
        <v>25.61</v>
      </c>
      <c r="J18" s="21">
        <v>0.35</v>
      </c>
      <c r="K18" s="20">
        <f t="shared" ca="1" si="1"/>
        <v>8.9600000000000009</v>
      </c>
    </row>
    <row r="19" spans="2:11">
      <c r="B19" s="18" t="str">
        <f xml:space="preserve"> TRIM( "9782940373024" )</f>
        <v>9782940373024</v>
      </c>
      <c r="C19" s="18" t="s">
        <v>398</v>
      </c>
      <c r="D19" s="18" t="s">
        <v>44</v>
      </c>
      <c r="E19" s="18" t="s">
        <v>37</v>
      </c>
      <c r="F19" s="18" t="s">
        <v>45</v>
      </c>
      <c r="G19" s="18" t="s">
        <v>39</v>
      </c>
      <c r="H19" s="18">
        <v>0.3</v>
      </c>
      <c r="I19" s="20">
        <v>7.5</v>
      </c>
      <c r="J19" s="21">
        <v>0.3</v>
      </c>
      <c r="K19" s="20">
        <f t="shared" ca="1" si="1"/>
        <v>2.25</v>
      </c>
    </row>
    <row r="20" spans="2:11">
      <c r="B20" s="18" t="str">
        <f xml:space="preserve"> TRIM( "9782940373024" )</f>
        <v>9782940373024</v>
      </c>
      <c r="C20" s="18" t="s">
        <v>398</v>
      </c>
      <c r="D20" s="18" t="s">
        <v>44</v>
      </c>
      <c r="E20" s="18" t="s">
        <v>37</v>
      </c>
      <c r="F20" s="18" t="s">
        <v>45</v>
      </c>
      <c r="G20" s="18" t="s">
        <v>40</v>
      </c>
      <c r="H20" s="18">
        <v>0.35</v>
      </c>
      <c r="I20" s="20">
        <v>6.82</v>
      </c>
      <c r="J20" s="21">
        <v>0.35</v>
      </c>
      <c r="K20" s="20">
        <f t="shared" ca="1" si="1"/>
        <v>2.39</v>
      </c>
    </row>
    <row r="21" spans="2:11">
      <c r="B21" s="18" t="str">
        <f xml:space="preserve"> TRIM( "9782940373031" )</f>
        <v>9782940373031</v>
      </c>
      <c r="C21" s="18" t="s">
        <v>399</v>
      </c>
      <c r="D21" s="18" t="s">
        <v>47</v>
      </c>
      <c r="E21" s="18" t="s">
        <v>37</v>
      </c>
      <c r="F21" s="18" t="s">
        <v>48</v>
      </c>
      <c r="G21" s="18" t="s">
        <v>39</v>
      </c>
      <c r="H21" s="18">
        <v>0.3</v>
      </c>
      <c r="I21" s="20">
        <v>13.33</v>
      </c>
      <c r="J21" s="21">
        <v>0.3</v>
      </c>
      <c r="K21" s="20">
        <f t="shared" ca="1" si="1"/>
        <v>4</v>
      </c>
    </row>
    <row r="22" spans="2:11">
      <c r="B22" s="18" t="str">
        <f xml:space="preserve"> TRIM( "9782940373031" )</f>
        <v>9782940373031</v>
      </c>
      <c r="C22" s="18" t="s">
        <v>399</v>
      </c>
      <c r="D22" s="18" t="s">
        <v>47</v>
      </c>
      <c r="E22" s="18" t="s">
        <v>37</v>
      </c>
      <c r="F22" s="18" t="s">
        <v>48</v>
      </c>
      <c r="G22" s="18" t="s">
        <v>40</v>
      </c>
      <c r="H22" s="18">
        <v>0.35</v>
      </c>
      <c r="I22" s="20">
        <v>23.15</v>
      </c>
      <c r="J22" s="21">
        <v>0.35</v>
      </c>
      <c r="K22" s="20">
        <f t="shared" ca="1" si="1"/>
        <v>8.1</v>
      </c>
    </row>
    <row r="23" spans="2:11">
      <c r="B23" s="18" t="str">
        <f xml:space="preserve"> TRIM( "9782940373048" )</f>
        <v>9782940373048</v>
      </c>
      <c r="C23" s="18" t="s">
        <v>400</v>
      </c>
      <c r="D23" s="18" t="s">
        <v>50</v>
      </c>
      <c r="E23" s="18" t="s">
        <v>37</v>
      </c>
      <c r="F23" s="18" t="s">
        <v>48</v>
      </c>
      <c r="G23" s="18" t="s">
        <v>39</v>
      </c>
      <c r="H23" s="18">
        <v>0.3</v>
      </c>
      <c r="I23" s="20">
        <v>8.4499999999999993</v>
      </c>
      <c r="J23" s="21">
        <v>0.3</v>
      </c>
      <c r="K23" s="20">
        <f t="shared" ca="1" si="1"/>
        <v>2.54</v>
      </c>
    </row>
    <row r="24" spans="2:11">
      <c r="B24" s="18" t="str">
        <f xml:space="preserve"> TRIM( "9782940373048" )</f>
        <v>9782940373048</v>
      </c>
      <c r="C24" s="18" t="s">
        <v>400</v>
      </c>
      <c r="D24" s="18" t="s">
        <v>50</v>
      </c>
      <c r="E24" s="18" t="s">
        <v>37</v>
      </c>
      <c r="F24" s="18" t="s">
        <v>48</v>
      </c>
      <c r="G24" s="18" t="s">
        <v>40</v>
      </c>
      <c r="H24" s="18">
        <v>0.35</v>
      </c>
      <c r="I24" s="20">
        <v>5.4</v>
      </c>
      <c r="J24" s="21">
        <v>0.35</v>
      </c>
      <c r="K24" s="20">
        <f t="shared" ca="1" si="1"/>
        <v>1.89</v>
      </c>
    </row>
    <row r="25" spans="2:11">
      <c r="B25" s="18" t="str">
        <f xml:space="preserve"> TRIM( "9782940373055" )</f>
        <v>9782940373055</v>
      </c>
      <c r="C25" s="18" t="s">
        <v>401</v>
      </c>
      <c r="D25" s="18" t="s">
        <v>52</v>
      </c>
      <c r="E25" s="18" t="s">
        <v>37</v>
      </c>
      <c r="F25" s="18" t="s">
        <v>53</v>
      </c>
      <c r="G25" s="18" t="s">
        <v>39</v>
      </c>
      <c r="H25" s="18">
        <v>0.3</v>
      </c>
      <c r="I25" s="20">
        <v>5.36</v>
      </c>
      <c r="J25" s="21">
        <v>0.3</v>
      </c>
      <c r="K25" s="20">
        <f t="shared" ca="1" si="1"/>
        <v>1.61</v>
      </c>
    </row>
    <row r="26" spans="2:11">
      <c r="B26" s="18" t="str">
        <f xml:space="preserve"> TRIM( "9782940373062" )</f>
        <v>9782940373062</v>
      </c>
      <c r="C26" s="18" t="s">
        <v>402</v>
      </c>
      <c r="D26" s="18" t="s">
        <v>55</v>
      </c>
      <c r="E26" s="18" t="s">
        <v>37</v>
      </c>
      <c r="F26" s="18" t="s">
        <v>56</v>
      </c>
      <c r="G26" s="18" t="s">
        <v>39</v>
      </c>
      <c r="H26" s="18">
        <v>0.3</v>
      </c>
      <c r="I26" s="20">
        <v>7.54</v>
      </c>
      <c r="J26" s="21">
        <v>0.3</v>
      </c>
      <c r="K26" s="20">
        <f t="shared" ca="1" si="1"/>
        <v>2.2599999999999998</v>
      </c>
    </row>
    <row r="27" spans="2:11">
      <c r="B27" s="18" t="str">
        <f xml:space="preserve"> TRIM( "9782940373062" )</f>
        <v>9782940373062</v>
      </c>
      <c r="C27" s="18" t="s">
        <v>402</v>
      </c>
      <c r="D27" s="18" t="s">
        <v>55</v>
      </c>
      <c r="E27" s="18" t="s">
        <v>37</v>
      </c>
      <c r="F27" s="18" t="s">
        <v>56</v>
      </c>
      <c r="G27" s="18" t="s">
        <v>40</v>
      </c>
      <c r="H27" s="18">
        <v>0.35</v>
      </c>
      <c r="I27" s="20">
        <v>2.5299999999999998</v>
      </c>
      <c r="J27" s="21">
        <v>0.35</v>
      </c>
      <c r="K27" s="20">
        <f t="shared" ca="1" si="1"/>
        <v>0.89</v>
      </c>
    </row>
    <row r="28" spans="2:11">
      <c r="B28" s="18" t="str">
        <f xml:space="preserve"> TRIM( "9782940373178" )</f>
        <v>9782940373178</v>
      </c>
      <c r="C28" s="18" t="s">
        <v>403</v>
      </c>
      <c r="D28" s="18" t="s">
        <v>58</v>
      </c>
      <c r="E28" s="18" t="s">
        <v>37</v>
      </c>
      <c r="F28" s="18" t="s">
        <v>59</v>
      </c>
      <c r="G28" s="18" t="s">
        <v>39</v>
      </c>
      <c r="H28" s="18">
        <v>0.3</v>
      </c>
      <c r="I28" s="20">
        <v>31.69</v>
      </c>
      <c r="J28" s="21">
        <v>0.3</v>
      </c>
      <c r="K28" s="20">
        <f t="shared" ca="1" si="1"/>
        <v>9.51</v>
      </c>
    </row>
    <row r="29" spans="2:11">
      <c r="B29" s="18" t="str">
        <f xml:space="preserve"> TRIM( "9782940373178" )</f>
        <v>9782940373178</v>
      </c>
      <c r="C29" s="18" t="s">
        <v>403</v>
      </c>
      <c r="D29" s="18" t="s">
        <v>58</v>
      </c>
      <c r="E29" s="18" t="s">
        <v>37</v>
      </c>
      <c r="F29" s="18" t="s">
        <v>59</v>
      </c>
      <c r="G29" s="18" t="s">
        <v>40</v>
      </c>
      <c r="H29" s="18">
        <v>0.35</v>
      </c>
      <c r="I29" s="20">
        <v>0</v>
      </c>
      <c r="J29" s="21">
        <v>0.35</v>
      </c>
      <c r="K29" s="20">
        <f t="shared" ca="1" si="1"/>
        <v>0</v>
      </c>
    </row>
    <row r="30" spans="2:11">
      <c r="B30" s="18" t="str">
        <f xml:space="preserve"> TRIM( "9782940373192" )</f>
        <v>9782940373192</v>
      </c>
      <c r="C30" s="18" t="s">
        <v>404</v>
      </c>
      <c r="D30" s="18" t="s">
        <v>61</v>
      </c>
      <c r="E30" s="18" t="s">
        <v>37</v>
      </c>
      <c r="F30" s="18" t="s">
        <v>62</v>
      </c>
      <c r="G30" s="18" t="s">
        <v>39</v>
      </c>
      <c r="H30" s="18">
        <v>0.3</v>
      </c>
      <c r="I30" s="20">
        <v>40.880000000000003</v>
      </c>
      <c r="J30" s="21">
        <v>0.3</v>
      </c>
      <c r="K30" s="20">
        <f t="shared" ca="1" si="1"/>
        <v>12.26</v>
      </c>
    </row>
    <row r="31" spans="2:11">
      <c r="B31" s="18" t="str">
        <f xml:space="preserve"> TRIM( "9782940373192" )</f>
        <v>9782940373192</v>
      </c>
      <c r="C31" s="18" t="s">
        <v>404</v>
      </c>
      <c r="D31" s="18" t="s">
        <v>61</v>
      </c>
      <c r="E31" s="18" t="s">
        <v>37</v>
      </c>
      <c r="F31" s="18" t="s">
        <v>62</v>
      </c>
      <c r="G31" s="18" t="s">
        <v>40</v>
      </c>
      <c r="H31" s="18">
        <v>0.35</v>
      </c>
      <c r="I31" s="20">
        <v>7.64</v>
      </c>
      <c r="J31" s="21">
        <v>0.35</v>
      </c>
      <c r="K31" s="20">
        <f t="shared" ca="1" si="1"/>
        <v>2.67</v>
      </c>
    </row>
    <row r="32" spans="2:11">
      <c r="B32" s="18" t="str">
        <f xml:space="preserve"> TRIM( "9782940373291" )</f>
        <v>9782940373291</v>
      </c>
      <c r="C32" s="18" t="s">
        <v>320</v>
      </c>
      <c r="D32" s="18" t="s">
        <v>64</v>
      </c>
      <c r="E32" s="18" t="s">
        <v>37</v>
      </c>
      <c r="F32" s="18" t="s">
        <v>65</v>
      </c>
      <c r="G32" s="18" t="s">
        <v>39</v>
      </c>
      <c r="H32" s="18">
        <v>0.3</v>
      </c>
      <c r="I32" s="20">
        <v>9.07</v>
      </c>
      <c r="J32" s="21">
        <v>0.3</v>
      </c>
      <c r="K32" s="20">
        <f t="shared" ca="1" si="1"/>
        <v>2.72</v>
      </c>
    </row>
    <row r="33" spans="2:11">
      <c r="B33" s="18" t="str">
        <f xml:space="preserve"> TRIM( "9782940373291" )</f>
        <v>9782940373291</v>
      </c>
      <c r="C33" s="18" t="s">
        <v>320</v>
      </c>
      <c r="D33" s="18" t="s">
        <v>64</v>
      </c>
      <c r="E33" s="18" t="s">
        <v>37</v>
      </c>
      <c r="F33" s="18" t="s">
        <v>65</v>
      </c>
      <c r="G33" s="18" t="s">
        <v>40</v>
      </c>
      <c r="H33" s="18">
        <v>0.35</v>
      </c>
      <c r="I33" s="20">
        <v>0</v>
      </c>
      <c r="J33" s="21">
        <v>0.35</v>
      </c>
      <c r="K33" s="20">
        <f t="shared" ca="1" si="1"/>
        <v>0</v>
      </c>
    </row>
    <row r="34" spans="2:11">
      <c r="B34" s="18" t="str">
        <f xml:space="preserve"> TRIM( "9782940373475" )</f>
        <v>9782940373475</v>
      </c>
      <c r="C34" s="18" t="s">
        <v>405</v>
      </c>
      <c r="D34" s="18" t="s">
        <v>67</v>
      </c>
      <c r="E34" s="18" t="s">
        <v>37</v>
      </c>
      <c r="F34" s="18" t="s">
        <v>68</v>
      </c>
      <c r="G34" s="18" t="s">
        <v>39</v>
      </c>
      <c r="H34" s="18">
        <v>0.3</v>
      </c>
      <c r="I34" s="20">
        <v>6.34</v>
      </c>
      <c r="J34" s="21">
        <v>0.3</v>
      </c>
      <c r="K34" s="20">
        <f t="shared" ca="1" si="1"/>
        <v>1.9</v>
      </c>
    </row>
    <row r="35" spans="2:11">
      <c r="B35" s="18" t="str">
        <f xml:space="preserve"> TRIM( "9782940373475" )</f>
        <v>9782940373475</v>
      </c>
      <c r="C35" s="18" t="s">
        <v>405</v>
      </c>
      <c r="D35" s="18" t="s">
        <v>67</v>
      </c>
      <c r="E35" s="18" t="s">
        <v>37</v>
      </c>
      <c r="F35" s="18" t="s">
        <v>68</v>
      </c>
      <c r="G35" s="18" t="s">
        <v>40</v>
      </c>
      <c r="H35" s="18">
        <v>0.35</v>
      </c>
      <c r="I35" s="20">
        <v>0.52</v>
      </c>
      <c r="J35" s="21">
        <v>0.35</v>
      </c>
      <c r="K35" s="20">
        <f t="shared" ca="1" si="1"/>
        <v>0.18</v>
      </c>
    </row>
    <row r="36" spans="2:11">
      <c r="B36" s="18" t="str">
        <f xml:space="preserve"> TRIM( "9782940373499" )</f>
        <v>9782940373499</v>
      </c>
      <c r="C36" s="18" t="s">
        <v>406</v>
      </c>
      <c r="D36" s="18" t="s">
        <v>70</v>
      </c>
      <c r="E36" s="18" t="s">
        <v>37</v>
      </c>
      <c r="F36" s="18" t="s">
        <v>71</v>
      </c>
      <c r="G36" s="18" t="s">
        <v>39</v>
      </c>
      <c r="H36" s="18">
        <v>0.3</v>
      </c>
      <c r="I36" s="20">
        <v>7.94</v>
      </c>
      <c r="J36" s="21">
        <v>0.3</v>
      </c>
      <c r="K36" s="20">
        <f t="shared" ca="1" si="1"/>
        <v>2.38</v>
      </c>
    </row>
    <row r="37" spans="2:11">
      <c r="B37" s="18" t="str">
        <f xml:space="preserve"> TRIM( "9782940373499" )</f>
        <v>9782940373499</v>
      </c>
      <c r="C37" s="18" t="s">
        <v>406</v>
      </c>
      <c r="D37" s="18" t="s">
        <v>70</v>
      </c>
      <c r="E37" s="18" t="s">
        <v>37</v>
      </c>
      <c r="F37" s="18" t="s">
        <v>71</v>
      </c>
      <c r="G37" s="18" t="s">
        <v>40</v>
      </c>
      <c r="H37" s="18">
        <v>0.35</v>
      </c>
      <c r="I37" s="20">
        <v>15.91</v>
      </c>
      <c r="J37" s="21">
        <v>0.35</v>
      </c>
      <c r="K37" s="20">
        <f t="shared" ca="1" si="1"/>
        <v>5.57</v>
      </c>
    </row>
    <row r="38" spans="2:11">
      <c r="B38" s="18" t="str">
        <f xml:space="preserve"> TRIM( "9782940373567" )</f>
        <v>9782940373567</v>
      </c>
      <c r="C38" s="18" t="s">
        <v>407</v>
      </c>
      <c r="D38" s="18" t="s">
        <v>73</v>
      </c>
      <c r="E38" s="18" t="s">
        <v>37</v>
      </c>
      <c r="F38" s="18" t="s">
        <v>74</v>
      </c>
      <c r="G38" s="18" t="s">
        <v>39</v>
      </c>
      <c r="H38" s="18">
        <v>0.3</v>
      </c>
      <c r="I38" s="20">
        <v>31.01</v>
      </c>
      <c r="J38" s="21">
        <v>0.3</v>
      </c>
      <c r="K38" s="20">
        <f t="shared" ca="1" si="1"/>
        <v>9.3000000000000007</v>
      </c>
    </row>
    <row r="39" spans="2:11">
      <c r="B39" s="18" t="str">
        <f xml:space="preserve"> TRIM( "9782940373567" )</f>
        <v>9782940373567</v>
      </c>
      <c r="C39" s="18" t="s">
        <v>407</v>
      </c>
      <c r="D39" s="18" t="s">
        <v>73</v>
      </c>
      <c r="E39" s="18" t="s">
        <v>37</v>
      </c>
      <c r="F39" s="18" t="s">
        <v>74</v>
      </c>
      <c r="G39" s="18" t="s">
        <v>40</v>
      </c>
      <c r="H39" s="18">
        <v>0.35</v>
      </c>
      <c r="I39" s="20">
        <v>1.0900000000000001</v>
      </c>
      <c r="J39" s="21">
        <v>0.35</v>
      </c>
      <c r="K39" s="20">
        <f t="shared" ca="1" si="1"/>
        <v>0.38</v>
      </c>
    </row>
    <row r="40" spans="2:11">
      <c r="B40" s="18" t="str">
        <f xml:space="preserve"> TRIM( "9782940373581" )</f>
        <v>9782940373581</v>
      </c>
      <c r="C40" s="18" t="s">
        <v>408</v>
      </c>
      <c r="D40" s="18" t="s">
        <v>76</v>
      </c>
      <c r="E40" s="18" t="s">
        <v>37</v>
      </c>
      <c r="F40" s="18" t="s">
        <v>77</v>
      </c>
      <c r="G40" s="18" t="s">
        <v>39</v>
      </c>
      <c r="H40" s="18">
        <v>0.3</v>
      </c>
      <c r="I40" s="20">
        <v>26.05</v>
      </c>
      <c r="J40" s="21">
        <v>0.3</v>
      </c>
      <c r="K40" s="20">
        <f t="shared" ca="1" si="1"/>
        <v>7.82</v>
      </c>
    </row>
    <row r="41" spans="2:11">
      <c r="B41" s="18" t="str">
        <f xml:space="preserve"> TRIM( "9782940373581" )</f>
        <v>9782940373581</v>
      </c>
      <c r="C41" s="18" t="s">
        <v>408</v>
      </c>
      <c r="D41" s="18" t="s">
        <v>76</v>
      </c>
      <c r="E41" s="18" t="s">
        <v>37</v>
      </c>
      <c r="F41" s="18" t="s">
        <v>77</v>
      </c>
      <c r="G41" s="18" t="s">
        <v>40</v>
      </c>
      <c r="H41" s="18">
        <v>0.35</v>
      </c>
      <c r="I41" s="20">
        <v>4.6500000000000004</v>
      </c>
      <c r="J41" s="21">
        <v>0.35</v>
      </c>
      <c r="K41" s="20">
        <f t="shared" ca="1" si="1"/>
        <v>1.63</v>
      </c>
    </row>
    <row r="42" spans="2:11">
      <c r="B42" s="18" t="str">
        <f xml:space="preserve"> TRIM( "9782940373598" )</f>
        <v>9782940373598</v>
      </c>
      <c r="C42" s="18" t="s">
        <v>409</v>
      </c>
      <c r="D42" s="18" t="s">
        <v>79</v>
      </c>
      <c r="E42" s="18" t="s">
        <v>37</v>
      </c>
      <c r="F42" s="18" t="s">
        <v>53</v>
      </c>
      <c r="G42" s="18" t="s">
        <v>39</v>
      </c>
      <c r="H42" s="18">
        <v>0.3</v>
      </c>
      <c r="I42" s="20">
        <v>5.75</v>
      </c>
      <c r="J42" s="21">
        <v>0.3</v>
      </c>
      <c r="K42" s="20">
        <f t="shared" ca="1" si="1"/>
        <v>1.73</v>
      </c>
    </row>
    <row r="43" spans="2:11">
      <c r="B43" s="18" t="str">
        <f xml:space="preserve"> TRIM( "9782940373598" )</f>
        <v>9782940373598</v>
      </c>
      <c r="C43" s="18" t="s">
        <v>409</v>
      </c>
      <c r="D43" s="18" t="s">
        <v>79</v>
      </c>
      <c r="E43" s="18" t="s">
        <v>37</v>
      </c>
      <c r="F43" s="18" t="s">
        <v>53</v>
      </c>
      <c r="G43" s="18" t="s">
        <v>40</v>
      </c>
      <c r="H43" s="18">
        <v>0.35</v>
      </c>
      <c r="I43" s="20">
        <v>0</v>
      </c>
      <c r="J43" s="21">
        <v>0.35</v>
      </c>
      <c r="K43" s="20">
        <f t="shared" ca="1" si="1"/>
        <v>0</v>
      </c>
    </row>
    <row r="44" spans="2:11">
      <c r="B44" s="18" t="str">
        <f xml:space="preserve"> TRIM( "9782940373635" )</f>
        <v>9782940373635</v>
      </c>
      <c r="C44" s="18" t="s">
        <v>410</v>
      </c>
      <c r="D44" s="18" t="s">
        <v>81</v>
      </c>
      <c r="E44" s="18" t="s">
        <v>37</v>
      </c>
      <c r="F44" s="18" t="s">
        <v>68</v>
      </c>
      <c r="G44" s="18" t="s">
        <v>39</v>
      </c>
      <c r="H44" s="18">
        <v>0.3</v>
      </c>
      <c r="I44" s="20">
        <v>21.42</v>
      </c>
      <c r="J44" s="21">
        <v>0.3</v>
      </c>
      <c r="K44" s="20">
        <f t="shared" ca="1" si="1"/>
        <v>6.43</v>
      </c>
    </row>
    <row r="45" spans="2:11">
      <c r="B45" s="18" t="str">
        <f xml:space="preserve"> TRIM( "9782940373635" )</f>
        <v>9782940373635</v>
      </c>
      <c r="C45" s="18" t="s">
        <v>410</v>
      </c>
      <c r="D45" s="18" t="s">
        <v>81</v>
      </c>
      <c r="E45" s="18" t="s">
        <v>37</v>
      </c>
      <c r="F45" s="18" t="s">
        <v>68</v>
      </c>
      <c r="G45" s="18" t="s">
        <v>40</v>
      </c>
      <c r="H45" s="18">
        <v>0.35</v>
      </c>
      <c r="I45" s="20">
        <v>18.98</v>
      </c>
      <c r="J45" s="21">
        <v>0.35</v>
      </c>
      <c r="K45" s="20">
        <f t="shared" ca="1" si="1"/>
        <v>6.64</v>
      </c>
    </row>
    <row r="46" spans="2:11">
      <c r="B46" s="18" t="str">
        <f xml:space="preserve"> TRIM( "9782940373727" )</f>
        <v>9782940373727</v>
      </c>
      <c r="C46" s="18" t="s">
        <v>411</v>
      </c>
      <c r="D46" s="18" t="s">
        <v>83</v>
      </c>
      <c r="E46" s="18" t="s">
        <v>37</v>
      </c>
      <c r="F46" s="18" t="s">
        <v>84</v>
      </c>
      <c r="G46" s="18" t="s">
        <v>39</v>
      </c>
      <c r="H46" s="18">
        <v>0.3</v>
      </c>
      <c r="I46" s="20">
        <v>73.03</v>
      </c>
      <c r="J46" s="21">
        <v>0.3</v>
      </c>
      <c r="K46" s="20">
        <f t="shared" ca="1" si="1"/>
        <v>21.91</v>
      </c>
    </row>
    <row r="47" spans="2:11">
      <c r="B47" s="18" t="str">
        <f xml:space="preserve"> TRIM( "9782940373727" )</f>
        <v>9782940373727</v>
      </c>
      <c r="C47" s="18" t="s">
        <v>411</v>
      </c>
      <c r="D47" s="18" t="s">
        <v>83</v>
      </c>
      <c r="E47" s="18" t="s">
        <v>37</v>
      </c>
      <c r="F47" s="18" t="s">
        <v>84</v>
      </c>
      <c r="G47" s="18" t="s">
        <v>40</v>
      </c>
      <c r="H47" s="18">
        <v>0.35</v>
      </c>
      <c r="I47" s="20">
        <v>10.01</v>
      </c>
      <c r="J47" s="21">
        <v>0.35</v>
      </c>
      <c r="K47" s="20">
        <f t="shared" ca="1" si="1"/>
        <v>3.5</v>
      </c>
    </row>
    <row r="48" spans="2:11">
      <c r="B48" s="18" t="str">
        <f xml:space="preserve"> TRIM( "9782940373734" )</f>
        <v>9782940373734</v>
      </c>
      <c r="C48" s="18" t="s">
        <v>85</v>
      </c>
      <c r="D48" s="18" t="s">
        <v>86</v>
      </c>
      <c r="E48" s="18" t="s">
        <v>37</v>
      </c>
      <c r="F48" s="18" t="s">
        <v>87</v>
      </c>
      <c r="G48" s="18" t="s">
        <v>39</v>
      </c>
      <c r="H48" s="18">
        <v>0.3</v>
      </c>
      <c r="I48" s="20">
        <v>26.26</v>
      </c>
      <c r="J48" s="21">
        <v>0.3</v>
      </c>
      <c r="K48" s="20">
        <f t="shared" ca="1" si="1"/>
        <v>7.88</v>
      </c>
    </row>
    <row r="49" spans="1:11">
      <c r="B49" s="18" t="str">
        <f xml:space="preserve"> TRIM( "9782940373734" )</f>
        <v>9782940373734</v>
      </c>
      <c r="C49" s="18" t="s">
        <v>85</v>
      </c>
      <c r="D49" s="18" t="s">
        <v>86</v>
      </c>
      <c r="E49" s="18" t="s">
        <v>37</v>
      </c>
      <c r="F49" s="18" t="s">
        <v>87</v>
      </c>
      <c r="G49" s="18" t="s">
        <v>40</v>
      </c>
      <c r="H49" s="18">
        <v>0.35</v>
      </c>
      <c r="I49" s="20">
        <v>18.12</v>
      </c>
      <c r="J49" s="21">
        <v>0.35</v>
      </c>
      <c r="K49" s="20">
        <f t="shared" ca="1" si="1"/>
        <v>6.34</v>
      </c>
    </row>
    <row r="50" spans="1:11">
      <c r="B50" s="18" t="str">
        <f xml:space="preserve"> TRIM( "9782940373826" )</f>
        <v>9782940373826</v>
      </c>
      <c r="C50" s="18" t="s">
        <v>412</v>
      </c>
      <c r="D50" s="18" t="s">
        <v>89</v>
      </c>
      <c r="E50" s="18" t="s">
        <v>37</v>
      </c>
      <c r="F50" s="18" t="s">
        <v>68</v>
      </c>
      <c r="G50" s="18" t="s">
        <v>39</v>
      </c>
      <c r="H50" s="18">
        <v>0.3</v>
      </c>
      <c r="I50" s="20">
        <v>87.6</v>
      </c>
      <c r="J50" s="21">
        <v>0.3</v>
      </c>
      <c r="K50" s="20">
        <f t="shared" ca="1" si="1"/>
        <v>26.28</v>
      </c>
    </row>
    <row r="51" spans="1:11">
      <c r="B51" s="18" t="str">
        <f xml:space="preserve"> TRIM( "9782940373826" )</f>
        <v>9782940373826</v>
      </c>
      <c r="C51" s="18" t="s">
        <v>412</v>
      </c>
      <c r="D51" s="18" t="s">
        <v>89</v>
      </c>
      <c r="E51" s="18" t="s">
        <v>37</v>
      </c>
      <c r="F51" s="18" t="s">
        <v>68</v>
      </c>
      <c r="G51" s="18" t="s">
        <v>40</v>
      </c>
      <c r="H51" s="18">
        <v>0.35</v>
      </c>
      <c r="I51" s="20">
        <v>92.78</v>
      </c>
      <c r="J51" s="21">
        <v>0.35</v>
      </c>
      <c r="K51" s="20">
        <f t="shared" ca="1" si="1"/>
        <v>32.47</v>
      </c>
    </row>
    <row r="52" spans="1:11">
      <c r="B52" s="18" t="str">
        <f xml:space="preserve"> TRIM( "9782940373857" )</f>
        <v>9782940373857</v>
      </c>
      <c r="C52" s="18" t="s">
        <v>413</v>
      </c>
      <c r="D52" s="18" t="s">
        <v>91</v>
      </c>
      <c r="E52" s="18" t="s">
        <v>37</v>
      </c>
      <c r="F52" s="18" t="s">
        <v>48</v>
      </c>
      <c r="G52" s="18" t="s">
        <v>39</v>
      </c>
      <c r="H52" s="18">
        <v>0.3</v>
      </c>
      <c r="I52" s="20">
        <v>6.48</v>
      </c>
      <c r="J52" s="21">
        <v>0.3</v>
      </c>
      <c r="K52" s="20">
        <f t="shared" ca="1" si="1"/>
        <v>1.94</v>
      </c>
    </row>
    <row r="53" spans="1:11">
      <c r="A53"/>
      <c r="B53" s="18" t="str">
        <f xml:space="preserve"> TRIM( "9782940373857" )</f>
        <v>9782940373857</v>
      </c>
      <c r="C53" s="18" t="s">
        <v>413</v>
      </c>
      <c r="D53" s="18" t="s">
        <v>91</v>
      </c>
      <c r="E53" s="18" t="s">
        <v>37</v>
      </c>
      <c r="F53" s="18" t="s">
        <v>48</v>
      </c>
      <c r="G53" s="18" t="s">
        <v>40</v>
      </c>
      <c r="H53" s="18">
        <v>0.35</v>
      </c>
      <c r="I53" s="20">
        <v>9.1199999999999992</v>
      </c>
      <c r="J53" s="21">
        <v>0.35</v>
      </c>
      <c r="K53" s="20">
        <f t="shared" ca="1" si="1"/>
        <v>3.19</v>
      </c>
    </row>
    <row r="54" spans="1:11">
      <c r="B54" s="18" t="str">
        <f xml:space="preserve"> TRIM( "9782940373987" )</f>
        <v>9782940373987</v>
      </c>
      <c r="C54" s="18" t="s">
        <v>414</v>
      </c>
      <c r="D54" s="18" t="s">
        <v>93</v>
      </c>
      <c r="E54" s="18" t="s">
        <v>37</v>
      </c>
      <c r="F54" s="18" t="s">
        <v>94</v>
      </c>
      <c r="G54" s="18" t="s">
        <v>39</v>
      </c>
      <c r="H54" s="18">
        <v>0.3</v>
      </c>
      <c r="I54" s="20">
        <v>67.989999999999995</v>
      </c>
      <c r="J54" s="21">
        <v>0.3</v>
      </c>
      <c r="K54" s="20">
        <f t="shared" ca="1" si="1"/>
        <v>20.399999999999999</v>
      </c>
    </row>
    <row r="55" spans="1:11">
      <c r="B55" s="18" t="str">
        <f xml:space="preserve"> TRIM( "9782940373987" )</f>
        <v>9782940373987</v>
      </c>
      <c r="C55" s="18" t="s">
        <v>414</v>
      </c>
      <c r="D55" s="18" t="s">
        <v>93</v>
      </c>
      <c r="E55" s="18" t="s">
        <v>37</v>
      </c>
      <c r="F55" s="18" t="s">
        <v>94</v>
      </c>
      <c r="G55" s="18" t="s">
        <v>40</v>
      </c>
      <c r="H55" s="18">
        <v>0.35</v>
      </c>
      <c r="I55" s="20">
        <v>10.01</v>
      </c>
      <c r="J55" s="21">
        <v>0.35</v>
      </c>
      <c r="K55" s="20">
        <f t="shared" ca="1" si="1"/>
        <v>3.5</v>
      </c>
    </row>
    <row r="56" spans="1:11">
      <c r="B56" s="18" t="str">
        <f xml:space="preserve"> TRIM( "9782940411054" )</f>
        <v>9782940411054</v>
      </c>
      <c r="C56" s="18" t="s">
        <v>415</v>
      </c>
      <c r="D56" s="18" t="s">
        <v>96</v>
      </c>
      <c r="E56" s="18" t="s">
        <v>37</v>
      </c>
      <c r="F56" s="18" t="s">
        <v>48</v>
      </c>
      <c r="G56" s="18" t="s">
        <v>39</v>
      </c>
      <c r="H56" s="18">
        <v>0.3</v>
      </c>
      <c r="I56" s="20">
        <v>7.34</v>
      </c>
      <c r="J56" s="21">
        <v>0.3</v>
      </c>
      <c r="K56" s="20">
        <f t="shared" ca="1" si="1"/>
        <v>2.2000000000000002</v>
      </c>
    </row>
    <row r="57" spans="1:11">
      <c r="B57" s="18" t="str">
        <f xml:space="preserve"> TRIM( "9782940411054" )</f>
        <v>9782940411054</v>
      </c>
      <c r="C57" s="18" t="s">
        <v>415</v>
      </c>
      <c r="D57" s="18" t="s">
        <v>96</v>
      </c>
      <c r="E57" s="18" t="s">
        <v>37</v>
      </c>
      <c r="F57" s="18" t="s">
        <v>48</v>
      </c>
      <c r="G57" s="18" t="s">
        <v>40</v>
      </c>
      <c r="H57" s="18">
        <v>0.35</v>
      </c>
      <c r="I57" s="20">
        <v>30.43</v>
      </c>
      <c r="J57" s="21">
        <v>0.35</v>
      </c>
      <c r="K57" s="20">
        <f t="shared" ca="1" si="1"/>
        <v>10.65</v>
      </c>
    </row>
    <row r="58" spans="1:11">
      <c r="B58" s="18" t="str">
        <f xml:space="preserve"> TRIM( "9782940411078" )</f>
        <v>9782940411078</v>
      </c>
      <c r="C58" s="18" t="s">
        <v>416</v>
      </c>
      <c r="D58" s="18" t="s">
        <v>98</v>
      </c>
      <c r="E58" s="18" t="s">
        <v>37</v>
      </c>
      <c r="F58" s="18" t="s">
        <v>99</v>
      </c>
      <c r="G58" s="18" t="s">
        <v>39</v>
      </c>
      <c r="H58" s="18">
        <v>0.3</v>
      </c>
      <c r="I58" s="20">
        <v>24.89</v>
      </c>
      <c r="J58" s="21">
        <v>0.3</v>
      </c>
      <c r="K58" s="20">
        <f t="shared" ca="1" si="1"/>
        <v>7.47</v>
      </c>
    </row>
    <row r="59" spans="1:11">
      <c r="B59" s="18" t="str">
        <f xml:space="preserve"> TRIM( "9782940411078" )</f>
        <v>9782940411078</v>
      </c>
      <c r="C59" s="18" t="s">
        <v>416</v>
      </c>
      <c r="D59" s="18" t="s">
        <v>98</v>
      </c>
      <c r="E59" s="18" t="s">
        <v>37</v>
      </c>
      <c r="F59" s="18" t="s">
        <v>99</v>
      </c>
      <c r="G59" s="18" t="s">
        <v>40</v>
      </c>
      <c r="H59" s="18">
        <v>0.35</v>
      </c>
      <c r="I59" s="20">
        <v>5</v>
      </c>
      <c r="J59" s="21">
        <v>0.35</v>
      </c>
      <c r="K59" s="20">
        <f t="shared" ca="1" si="1"/>
        <v>1.75</v>
      </c>
    </row>
    <row r="60" spans="1:11">
      <c r="B60" s="18" t="str">
        <f xml:space="preserve"> TRIM( "9782940411139" )</f>
        <v>9782940411139</v>
      </c>
      <c r="C60" s="18" t="s">
        <v>417</v>
      </c>
      <c r="D60" s="18" t="s">
        <v>101</v>
      </c>
      <c r="E60" s="18" t="s">
        <v>37</v>
      </c>
      <c r="F60" s="18" t="s">
        <v>48</v>
      </c>
      <c r="G60" s="18" t="s">
        <v>39</v>
      </c>
      <c r="H60" s="18">
        <v>0.3</v>
      </c>
      <c r="I60" s="20">
        <v>11.43</v>
      </c>
      <c r="J60" s="21">
        <v>0.3</v>
      </c>
      <c r="K60" s="20">
        <f t="shared" ca="1" si="1"/>
        <v>3.43</v>
      </c>
    </row>
    <row r="61" spans="1:11">
      <c r="B61" s="18" t="str">
        <f xml:space="preserve"> TRIM( "9782940411139" )</f>
        <v>9782940411139</v>
      </c>
      <c r="C61" s="18" t="s">
        <v>417</v>
      </c>
      <c r="D61" s="18" t="s">
        <v>101</v>
      </c>
      <c r="E61" s="18" t="s">
        <v>37</v>
      </c>
      <c r="F61" s="18" t="s">
        <v>48</v>
      </c>
      <c r="G61" s="18" t="s">
        <v>40</v>
      </c>
      <c r="H61" s="18">
        <v>0.35</v>
      </c>
      <c r="I61" s="20">
        <v>5.17</v>
      </c>
      <c r="J61" s="21">
        <v>0.35</v>
      </c>
      <c r="K61" s="20">
        <f t="shared" ca="1" si="1"/>
        <v>1.81</v>
      </c>
    </row>
    <row r="62" spans="1:11">
      <c r="B62" s="18" t="str">
        <f xml:space="preserve"> TRIM( "9782940411313" )</f>
        <v>9782940411313</v>
      </c>
      <c r="C62" s="18" t="s">
        <v>418</v>
      </c>
      <c r="D62" s="18" t="s">
        <v>103</v>
      </c>
      <c r="E62" s="18" t="s">
        <v>37</v>
      </c>
      <c r="F62" s="18" t="s">
        <v>104</v>
      </c>
      <c r="G62" s="18" t="s">
        <v>39</v>
      </c>
      <c r="H62" s="18">
        <v>0.3</v>
      </c>
      <c r="I62" s="20">
        <v>59.99</v>
      </c>
      <c r="J62" s="21">
        <v>0.3</v>
      </c>
      <c r="K62" s="20">
        <f t="shared" ca="1" si="1"/>
        <v>18</v>
      </c>
    </row>
    <row r="63" spans="1:11">
      <c r="B63" s="18" t="str">
        <f xml:space="preserve"> TRIM( "9782940411313" )</f>
        <v>9782940411313</v>
      </c>
      <c r="C63" s="18" t="s">
        <v>418</v>
      </c>
      <c r="D63" s="18" t="s">
        <v>103</v>
      </c>
      <c r="E63" s="18" t="s">
        <v>37</v>
      </c>
      <c r="F63" s="18" t="s">
        <v>104</v>
      </c>
      <c r="G63" s="18" t="s">
        <v>40</v>
      </c>
      <c r="H63" s="18">
        <v>0.35</v>
      </c>
      <c r="I63" s="20">
        <v>6.49</v>
      </c>
      <c r="J63" s="21">
        <v>0.35</v>
      </c>
      <c r="K63" s="20">
        <f t="shared" ca="1" si="1"/>
        <v>2.27</v>
      </c>
    </row>
    <row r="64" spans="1:11">
      <c r="B64" s="18" t="str">
        <f xml:space="preserve"> TRIM( "9782940411344" )</f>
        <v>9782940411344</v>
      </c>
      <c r="C64" s="18" t="s">
        <v>419</v>
      </c>
      <c r="D64" s="18" t="s">
        <v>106</v>
      </c>
      <c r="E64" s="18" t="s">
        <v>37</v>
      </c>
      <c r="F64" s="18" t="s">
        <v>107</v>
      </c>
      <c r="G64" s="18" t="s">
        <v>39</v>
      </c>
      <c r="H64" s="18">
        <v>0.3</v>
      </c>
      <c r="I64" s="20">
        <v>42.5</v>
      </c>
      <c r="J64" s="21">
        <v>0.3</v>
      </c>
      <c r="K64" s="20">
        <f t="shared" ca="1" si="1"/>
        <v>12.75</v>
      </c>
    </row>
    <row r="65" spans="2:11">
      <c r="B65" s="18" t="str">
        <f xml:space="preserve"> TRIM( "9782940411344" )</f>
        <v>9782940411344</v>
      </c>
      <c r="C65" s="18" t="s">
        <v>419</v>
      </c>
      <c r="D65" s="18" t="s">
        <v>106</v>
      </c>
      <c r="E65" s="18" t="s">
        <v>37</v>
      </c>
      <c r="F65" s="18" t="s">
        <v>107</v>
      </c>
      <c r="G65" s="18" t="s">
        <v>40</v>
      </c>
      <c r="H65" s="18">
        <v>0.35</v>
      </c>
      <c r="I65" s="20">
        <v>24.75</v>
      </c>
      <c r="J65" s="21">
        <v>0.35</v>
      </c>
      <c r="K65" s="20">
        <f t="shared" ca="1" si="1"/>
        <v>8.66</v>
      </c>
    </row>
    <row r="66" spans="2:11">
      <c r="B66" s="18" t="str">
        <f xml:space="preserve"> TRIM( "9782940411368" )</f>
        <v>9782940411368</v>
      </c>
      <c r="C66" s="18" t="s">
        <v>420</v>
      </c>
      <c r="D66" s="18" t="s">
        <v>109</v>
      </c>
      <c r="E66" s="18" t="s">
        <v>37</v>
      </c>
      <c r="F66" s="18" t="s">
        <v>65</v>
      </c>
      <c r="G66" s="18" t="s">
        <v>39</v>
      </c>
      <c r="H66" s="18">
        <v>0.3</v>
      </c>
      <c r="I66" s="20">
        <v>46.15</v>
      </c>
      <c r="J66" s="21">
        <v>0.3</v>
      </c>
      <c r="K66" s="20">
        <f t="shared" ca="1" si="1"/>
        <v>13.85</v>
      </c>
    </row>
    <row r="67" spans="2:11">
      <c r="B67" s="18" t="str">
        <f xml:space="preserve"> TRIM( "9782940411368" )</f>
        <v>9782940411368</v>
      </c>
      <c r="C67" s="18" t="s">
        <v>420</v>
      </c>
      <c r="D67" s="18" t="s">
        <v>109</v>
      </c>
      <c r="E67" s="18" t="s">
        <v>37</v>
      </c>
      <c r="F67" s="18" t="s">
        <v>65</v>
      </c>
      <c r="G67" s="18" t="s">
        <v>40</v>
      </c>
      <c r="H67" s="18">
        <v>0.35</v>
      </c>
      <c r="I67" s="20">
        <v>10.64</v>
      </c>
      <c r="J67" s="21">
        <v>0.35</v>
      </c>
      <c r="K67" s="20">
        <f t="shared" ca="1" si="1"/>
        <v>3.72</v>
      </c>
    </row>
    <row r="68" spans="2:11">
      <c r="B68" s="18" t="str">
        <f xml:space="preserve"> TRIM( "9782940411481" )</f>
        <v>9782940411481</v>
      </c>
      <c r="C68" s="18" t="s">
        <v>421</v>
      </c>
      <c r="D68" s="18" t="s">
        <v>111</v>
      </c>
      <c r="E68" s="18" t="s">
        <v>37</v>
      </c>
      <c r="F68" s="18" t="s">
        <v>112</v>
      </c>
      <c r="G68" s="18" t="s">
        <v>39</v>
      </c>
      <c r="H68" s="18">
        <v>0.3</v>
      </c>
      <c r="I68" s="20">
        <v>75.03</v>
      </c>
      <c r="J68" s="21">
        <v>0.3</v>
      </c>
      <c r="K68" s="20">
        <f t="shared" ca="1" si="1"/>
        <v>22.51</v>
      </c>
    </row>
    <row r="69" spans="2:11">
      <c r="B69" s="18" t="str">
        <f xml:space="preserve"> TRIM( "9782940411481" )</f>
        <v>9782940411481</v>
      </c>
      <c r="C69" s="18" t="s">
        <v>421</v>
      </c>
      <c r="D69" s="18" t="s">
        <v>111</v>
      </c>
      <c r="E69" s="18" t="s">
        <v>37</v>
      </c>
      <c r="F69" s="18" t="s">
        <v>112</v>
      </c>
      <c r="G69" s="18" t="s">
        <v>40</v>
      </c>
      <c r="H69" s="18">
        <v>0.35</v>
      </c>
      <c r="I69" s="20">
        <v>43.41</v>
      </c>
      <c r="J69" s="21">
        <v>0.35</v>
      </c>
      <c r="K69" s="20">
        <f t="shared" ca="1" si="1"/>
        <v>15.19</v>
      </c>
    </row>
    <row r="70" spans="2:11">
      <c r="B70" s="18" t="str">
        <f xml:space="preserve"> TRIM( "9782940411504" )</f>
        <v>9782940411504</v>
      </c>
      <c r="C70" s="18" t="s">
        <v>422</v>
      </c>
      <c r="D70" s="18" t="s">
        <v>114</v>
      </c>
      <c r="E70" s="18" t="s">
        <v>37</v>
      </c>
      <c r="F70" s="18" t="s">
        <v>115</v>
      </c>
      <c r="G70" s="18" t="s">
        <v>39</v>
      </c>
      <c r="H70" s="18">
        <v>0.3</v>
      </c>
      <c r="I70" s="20">
        <v>849.86</v>
      </c>
      <c r="J70" s="21">
        <v>0.3</v>
      </c>
      <c r="K70" s="20">
        <f t="shared" ca="1" si="1"/>
        <v>254.96</v>
      </c>
    </row>
    <row r="71" spans="2:11">
      <c r="B71" s="18" t="str">
        <f xml:space="preserve"> TRIM( "9782940411504" )</f>
        <v>9782940411504</v>
      </c>
      <c r="C71" s="18" t="s">
        <v>422</v>
      </c>
      <c r="D71" s="18" t="s">
        <v>114</v>
      </c>
      <c r="E71" s="18" t="s">
        <v>37</v>
      </c>
      <c r="F71" s="18" t="s">
        <v>115</v>
      </c>
      <c r="G71" s="18" t="s">
        <v>40</v>
      </c>
      <c r="H71" s="18">
        <v>0.35</v>
      </c>
      <c r="I71" s="20">
        <v>12.15</v>
      </c>
      <c r="J71" s="21">
        <v>0.35</v>
      </c>
      <c r="K71" s="20">
        <f t="shared" ca="1" si="1"/>
        <v>4.25</v>
      </c>
    </row>
    <row r="72" spans="2:11">
      <c r="B72" s="18" t="str">
        <f xml:space="preserve"> TRIM( "9782940411528" )</f>
        <v>9782940411528</v>
      </c>
      <c r="C72" s="18" t="s">
        <v>423</v>
      </c>
      <c r="D72" s="18" t="s">
        <v>117</v>
      </c>
      <c r="E72" s="18" t="s">
        <v>37</v>
      </c>
      <c r="F72" s="18" t="s">
        <v>118</v>
      </c>
      <c r="G72" s="18" t="s">
        <v>39</v>
      </c>
      <c r="H72" s="18">
        <v>0.3</v>
      </c>
      <c r="I72" s="20">
        <v>81.8</v>
      </c>
      <c r="J72" s="21">
        <v>0.3</v>
      </c>
      <c r="K72" s="20">
        <f t="shared" ca="1" si="1"/>
        <v>24.54</v>
      </c>
    </row>
    <row r="73" spans="2:11">
      <c r="B73" s="18" t="str">
        <f xml:space="preserve"> TRIM( "9782940411528" )</f>
        <v>9782940411528</v>
      </c>
      <c r="C73" s="18" t="s">
        <v>423</v>
      </c>
      <c r="D73" s="18" t="s">
        <v>117</v>
      </c>
      <c r="E73" s="18" t="s">
        <v>37</v>
      </c>
      <c r="F73" s="18" t="s">
        <v>118</v>
      </c>
      <c r="G73" s="18" t="s">
        <v>40</v>
      </c>
      <c r="H73" s="18">
        <v>0.35</v>
      </c>
      <c r="I73" s="20">
        <v>47.78</v>
      </c>
      <c r="J73" s="21">
        <v>0.35</v>
      </c>
      <c r="K73" s="20">
        <f t="shared" ca="1" si="1"/>
        <v>16.72</v>
      </c>
    </row>
    <row r="74" spans="2:11">
      <c r="B74" s="18" t="str">
        <f xml:space="preserve"> TRIM( "9782940411535" )</f>
        <v>9782940411535</v>
      </c>
      <c r="C74" s="18" t="s">
        <v>424</v>
      </c>
      <c r="D74" s="18" t="s">
        <v>120</v>
      </c>
      <c r="E74" s="18" t="s">
        <v>37</v>
      </c>
      <c r="F74" s="18" t="s">
        <v>121</v>
      </c>
      <c r="G74" s="18" t="s">
        <v>39</v>
      </c>
      <c r="H74" s="18">
        <v>0.3</v>
      </c>
      <c r="I74" s="20">
        <v>27.8</v>
      </c>
      <c r="J74" s="21">
        <v>0.3</v>
      </c>
      <c r="K74" s="20">
        <f t="shared" ca="1" si="1"/>
        <v>8.34</v>
      </c>
    </row>
    <row r="75" spans="2:11">
      <c r="B75" s="18" t="str">
        <f xml:space="preserve"> TRIM( "9782940411535" )</f>
        <v>9782940411535</v>
      </c>
      <c r="C75" s="18" t="s">
        <v>424</v>
      </c>
      <c r="D75" s="18" t="s">
        <v>120</v>
      </c>
      <c r="E75" s="18" t="s">
        <v>37</v>
      </c>
      <c r="F75" s="18" t="s">
        <v>121</v>
      </c>
      <c r="G75" s="18" t="s">
        <v>40</v>
      </c>
      <c r="H75" s="18">
        <v>0.35</v>
      </c>
      <c r="I75" s="20">
        <v>5.98</v>
      </c>
      <c r="J75" s="21">
        <v>0.35</v>
      </c>
      <c r="K75" s="20">
        <f t="shared" ca="1" si="1"/>
        <v>2.09</v>
      </c>
    </row>
    <row r="76" spans="2:11">
      <c r="B76" s="18" t="str">
        <f xml:space="preserve"> TRIM( "9782940411559" )</f>
        <v>9782940411559</v>
      </c>
      <c r="C76" s="18" t="s">
        <v>425</v>
      </c>
      <c r="D76" s="18" t="s">
        <v>123</v>
      </c>
      <c r="E76" s="18" t="s">
        <v>37</v>
      </c>
      <c r="F76" s="18" t="s">
        <v>124</v>
      </c>
      <c r="G76" s="18" t="s">
        <v>39</v>
      </c>
      <c r="H76" s="18">
        <v>0.3</v>
      </c>
      <c r="I76" s="20">
        <v>210.58</v>
      </c>
      <c r="J76" s="21">
        <v>0.3</v>
      </c>
      <c r="K76" s="20">
        <f t="shared" ca="1" si="1"/>
        <v>63.17</v>
      </c>
    </row>
    <row r="77" spans="2:11">
      <c r="B77" s="18" t="str">
        <f xml:space="preserve"> TRIM( "9782940411559" )</f>
        <v>9782940411559</v>
      </c>
      <c r="C77" s="18" t="s">
        <v>425</v>
      </c>
      <c r="D77" s="18" t="s">
        <v>123</v>
      </c>
      <c r="E77" s="18" t="s">
        <v>37</v>
      </c>
      <c r="F77" s="18" t="s">
        <v>124</v>
      </c>
      <c r="G77" s="18" t="s">
        <v>40</v>
      </c>
      <c r="H77" s="18">
        <v>0.35</v>
      </c>
      <c r="I77" s="20">
        <v>38.270000000000003</v>
      </c>
      <c r="J77" s="21">
        <v>0.35</v>
      </c>
      <c r="K77" s="20">
        <f t="shared" ca="1" si="1"/>
        <v>13.39</v>
      </c>
    </row>
    <row r="78" spans="2:11">
      <c r="B78" s="18" t="str">
        <f xml:space="preserve"> TRIM( "9782940411580" )</f>
        <v>9782940411580</v>
      </c>
      <c r="C78" s="18" t="s">
        <v>426</v>
      </c>
      <c r="D78" s="18" t="s">
        <v>126</v>
      </c>
      <c r="E78" s="18" t="s">
        <v>37</v>
      </c>
      <c r="F78" s="18" t="s">
        <v>127</v>
      </c>
      <c r="G78" s="18" t="s">
        <v>39</v>
      </c>
      <c r="H78" s="18">
        <v>0.3</v>
      </c>
      <c r="I78" s="20">
        <v>89.78</v>
      </c>
      <c r="J78" s="21">
        <v>0.3</v>
      </c>
      <c r="K78" s="20">
        <f t="shared" ca="1" si="1"/>
        <v>26.93</v>
      </c>
    </row>
    <row r="79" spans="2:11">
      <c r="B79" s="18" t="str">
        <f xml:space="preserve"> TRIM( "9782940411580" )</f>
        <v>9782940411580</v>
      </c>
      <c r="C79" s="18" t="s">
        <v>426</v>
      </c>
      <c r="D79" s="18" t="s">
        <v>126</v>
      </c>
      <c r="E79" s="18" t="s">
        <v>37</v>
      </c>
      <c r="F79" s="18" t="s">
        <v>127</v>
      </c>
      <c r="G79" s="18" t="s">
        <v>40</v>
      </c>
      <c r="H79" s="18">
        <v>0.35</v>
      </c>
      <c r="I79" s="20">
        <v>42.81</v>
      </c>
      <c r="J79" s="21">
        <v>0.35</v>
      </c>
      <c r="K79" s="20">
        <f t="shared" ref="K79:K142" ca="1" si="2" xml:space="preserve"> ROUND( ( INDIRECT( ADDRESS( ROW(), COLUMN()- 2 ))) * ( INDIRECT( ADDRESS( ROW(), COLUMN()- 1 ))), 2 )</f>
        <v>14.98</v>
      </c>
    </row>
    <row r="80" spans="2:11">
      <c r="B80" s="18" t="str">
        <f xml:space="preserve"> TRIM( "9782940411603" )</f>
        <v>9782940411603</v>
      </c>
      <c r="C80" s="18" t="s">
        <v>427</v>
      </c>
      <c r="D80" s="18" t="s">
        <v>129</v>
      </c>
      <c r="E80" s="18" t="s">
        <v>37</v>
      </c>
      <c r="F80" s="18" t="s">
        <v>130</v>
      </c>
      <c r="G80" s="18" t="s">
        <v>39</v>
      </c>
      <c r="H80" s="18">
        <v>0.3</v>
      </c>
      <c r="I80" s="20">
        <v>30.34</v>
      </c>
      <c r="J80" s="21">
        <v>0.3</v>
      </c>
      <c r="K80" s="20">
        <f t="shared" ca="1" si="2"/>
        <v>9.1</v>
      </c>
    </row>
    <row r="81" spans="2:11">
      <c r="B81" s="18" t="str">
        <f xml:space="preserve"> TRIM( "9782940411603" )</f>
        <v>9782940411603</v>
      </c>
      <c r="C81" s="18" t="s">
        <v>427</v>
      </c>
      <c r="D81" s="18" t="s">
        <v>129</v>
      </c>
      <c r="E81" s="18" t="s">
        <v>37</v>
      </c>
      <c r="F81" s="18" t="s">
        <v>130</v>
      </c>
      <c r="G81" s="18" t="s">
        <v>40</v>
      </c>
      <c r="H81" s="18">
        <v>0.35</v>
      </c>
      <c r="I81" s="20">
        <v>16.13</v>
      </c>
      <c r="J81" s="21">
        <v>0.35</v>
      </c>
      <c r="K81" s="20">
        <f t="shared" ca="1" si="2"/>
        <v>5.65</v>
      </c>
    </row>
    <row r="82" spans="2:11">
      <c r="B82" s="18" t="str">
        <f xml:space="preserve"> TRIM( "9782940411627" )</f>
        <v>9782940411627</v>
      </c>
      <c r="C82" s="18" t="s">
        <v>428</v>
      </c>
      <c r="D82" s="18" t="s">
        <v>132</v>
      </c>
      <c r="E82" s="18" t="s">
        <v>37</v>
      </c>
      <c r="F82" s="18" t="s">
        <v>133</v>
      </c>
      <c r="G82" s="18" t="s">
        <v>39</v>
      </c>
      <c r="H82" s="18">
        <v>0.3</v>
      </c>
      <c r="I82" s="20">
        <v>208.49</v>
      </c>
      <c r="J82" s="21">
        <v>0.3</v>
      </c>
      <c r="K82" s="20">
        <f t="shared" ca="1" si="2"/>
        <v>62.55</v>
      </c>
    </row>
    <row r="83" spans="2:11">
      <c r="B83" s="18" t="str">
        <f xml:space="preserve"> TRIM( "9782940411627" )</f>
        <v>9782940411627</v>
      </c>
      <c r="C83" s="18" t="s">
        <v>428</v>
      </c>
      <c r="D83" s="18" t="s">
        <v>132</v>
      </c>
      <c r="E83" s="18" t="s">
        <v>37</v>
      </c>
      <c r="F83" s="18" t="s">
        <v>133</v>
      </c>
      <c r="G83" s="18" t="s">
        <v>40</v>
      </c>
      <c r="H83" s="18">
        <v>0.35</v>
      </c>
      <c r="I83" s="20">
        <v>17.7</v>
      </c>
      <c r="J83" s="21">
        <v>0.35</v>
      </c>
      <c r="K83" s="20">
        <f t="shared" ca="1" si="2"/>
        <v>6.2</v>
      </c>
    </row>
    <row r="84" spans="2:11">
      <c r="B84" s="18" t="str">
        <f xml:space="preserve"> TRIM( "9782940411634" )</f>
        <v>9782940411634</v>
      </c>
      <c r="C84" s="18" t="s">
        <v>429</v>
      </c>
      <c r="D84" s="18" t="s">
        <v>135</v>
      </c>
      <c r="E84" s="18" t="s">
        <v>37</v>
      </c>
      <c r="F84" s="18" t="s">
        <v>136</v>
      </c>
      <c r="G84" s="18" t="s">
        <v>39</v>
      </c>
      <c r="H84" s="18">
        <v>0.3</v>
      </c>
      <c r="I84" s="20">
        <v>65.819999999999993</v>
      </c>
      <c r="J84" s="21">
        <v>0.3</v>
      </c>
      <c r="K84" s="20">
        <f t="shared" ca="1" si="2"/>
        <v>19.75</v>
      </c>
    </row>
    <row r="85" spans="2:11">
      <c r="B85" s="18" t="str">
        <f xml:space="preserve"> TRIM( "9782940411634" )</f>
        <v>9782940411634</v>
      </c>
      <c r="C85" s="18" t="s">
        <v>429</v>
      </c>
      <c r="D85" s="18" t="s">
        <v>135</v>
      </c>
      <c r="E85" s="18" t="s">
        <v>37</v>
      </c>
      <c r="F85" s="18" t="s">
        <v>136</v>
      </c>
      <c r="G85" s="18" t="s">
        <v>40</v>
      </c>
      <c r="H85" s="18">
        <v>0.35</v>
      </c>
      <c r="I85" s="20">
        <v>11.09</v>
      </c>
      <c r="J85" s="21">
        <v>0.35</v>
      </c>
      <c r="K85" s="20">
        <f t="shared" ca="1" si="2"/>
        <v>3.88</v>
      </c>
    </row>
    <row r="86" spans="2:11">
      <c r="B86" s="18" t="str">
        <f xml:space="preserve"> TRIM( "9782940411665" )</f>
        <v>9782940411665</v>
      </c>
      <c r="C86" s="18" t="s">
        <v>430</v>
      </c>
      <c r="D86" s="18" t="s">
        <v>138</v>
      </c>
      <c r="E86" s="18" t="s">
        <v>37</v>
      </c>
      <c r="F86" s="18" t="s">
        <v>139</v>
      </c>
      <c r="G86" s="18" t="s">
        <v>39</v>
      </c>
      <c r="H86" s="18">
        <v>0.3</v>
      </c>
      <c r="I86" s="20">
        <v>19.670000000000002</v>
      </c>
      <c r="J86" s="21">
        <v>0.3</v>
      </c>
      <c r="K86" s="20">
        <f t="shared" ca="1" si="2"/>
        <v>5.9</v>
      </c>
    </row>
    <row r="87" spans="2:11">
      <c r="B87" s="18" t="str">
        <f xml:space="preserve"> TRIM( "9782940411665" )</f>
        <v>9782940411665</v>
      </c>
      <c r="C87" s="18" t="s">
        <v>430</v>
      </c>
      <c r="D87" s="18" t="s">
        <v>138</v>
      </c>
      <c r="E87" s="18" t="s">
        <v>37</v>
      </c>
      <c r="F87" s="18" t="s">
        <v>139</v>
      </c>
      <c r="G87" s="18" t="s">
        <v>40</v>
      </c>
      <c r="H87" s="18">
        <v>0.35</v>
      </c>
      <c r="I87" s="20">
        <v>22.79</v>
      </c>
      <c r="J87" s="21">
        <v>0.35</v>
      </c>
      <c r="K87" s="20">
        <f t="shared" ca="1" si="2"/>
        <v>7.98</v>
      </c>
    </row>
    <row r="88" spans="2:11">
      <c r="B88" s="18" t="str">
        <f xml:space="preserve"> TRIM( "9782940411702" )</f>
        <v>9782940411702</v>
      </c>
      <c r="C88" s="18" t="s">
        <v>431</v>
      </c>
      <c r="D88" s="18" t="s">
        <v>141</v>
      </c>
      <c r="E88" s="18" t="s">
        <v>37</v>
      </c>
      <c r="F88" s="18" t="s">
        <v>142</v>
      </c>
      <c r="G88" s="18" t="s">
        <v>39</v>
      </c>
      <c r="H88" s="18">
        <v>0.3</v>
      </c>
      <c r="I88" s="20">
        <v>23.22</v>
      </c>
      <c r="J88" s="21">
        <v>0.3</v>
      </c>
      <c r="K88" s="20">
        <f t="shared" ca="1" si="2"/>
        <v>6.97</v>
      </c>
    </row>
    <row r="89" spans="2:11">
      <c r="B89" s="18" t="str">
        <f xml:space="preserve"> TRIM( "9782940411702" )</f>
        <v>9782940411702</v>
      </c>
      <c r="C89" s="18" t="s">
        <v>431</v>
      </c>
      <c r="D89" s="18" t="s">
        <v>141</v>
      </c>
      <c r="E89" s="18" t="s">
        <v>37</v>
      </c>
      <c r="F89" s="18" t="s">
        <v>142</v>
      </c>
      <c r="G89" s="18" t="s">
        <v>40</v>
      </c>
      <c r="H89" s="18">
        <v>0.35</v>
      </c>
      <c r="I89" s="20">
        <v>0.56000000000000005</v>
      </c>
      <c r="J89" s="21">
        <v>0.35</v>
      </c>
      <c r="K89" s="20">
        <f t="shared" ca="1" si="2"/>
        <v>0.2</v>
      </c>
    </row>
    <row r="90" spans="2:11">
      <c r="B90" s="18" t="str">
        <f xml:space="preserve"> TRIM( "9782940411719" )</f>
        <v>9782940411719</v>
      </c>
      <c r="C90" s="18" t="s">
        <v>432</v>
      </c>
      <c r="D90" s="18" t="s">
        <v>144</v>
      </c>
      <c r="E90" s="18" t="s">
        <v>37</v>
      </c>
      <c r="F90" s="18" t="s">
        <v>145</v>
      </c>
      <c r="G90" s="18" t="s">
        <v>39</v>
      </c>
      <c r="H90" s="18">
        <v>0.3</v>
      </c>
      <c r="I90" s="20">
        <v>337.21</v>
      </c>
      <c r="J90" s="21">
        <v>0.3</v>
      </c>
      <c r="K90" s="20">
        <f t="shared" ca="1" si="2"/>
        <v>101.16</v>
      </c>
    </row>
    <row r="91" spans="2:11">
      <c r="B91" s="18" t="str">
        <f xml:space="preserve"> TRIM( "9782940411719" )</f>
        <v>9782940411719</v>
      </c>
      <c r="C91" s="18" t="s">
        <v>432</v>
      </c>
      <c r="D91" s="18" t="s">
        <v>144</v>
      </c>
      <c r="E91" s="18" t="s">
        <v>37</v>
      </c>
      <c r="F91" s="18" t="s">
        <v>145</v>
      </c>
      <c r="G91" s="18" t="s">
        <v>40</v>
      </c>
      <c r="H91" s="18">
        <v>0.35</v>
      </c>
      <c r="I91" s="20">
        <v>17.36</v>
      </c>
      <c r="J91" s="21">
        <v>0.35</v>
      </c>
      <c r="K91" s="20">
        <f t="shared" ca="1" si="2"/>
        <v>6.08</v>
      </c>
    </row>
    <row r="92" spans="2:11">
      <c r="B92" s="18" t="str">
        <f xml:space="preserve"> TRIM( "9782940411740" )</f>
        <v>9782940411740</v>
      </c>
      <c r="C92" s="18" t="s">
        <v>433</v>
      </c>
      <c r="D92" s="18" t="s">
        <v>147</v>
      </c>
      <c r="E92" s="18" t="s">
        <v>37</v>
      </c>
      <c r="F92" s="18" t="s">
        <v>148</v>
      </c>
      <c r="G92" s="18" t="s">
        <v>39</v>
      </c>
      <c r="H92" s="18">
        <v>0.3</v>
      </c>
      <c r="I92" s="20">
        <v>126.22</v>
      </c>
      <c r="J92" s="21">
        <v>0.3</v>
      </c>
      <c r="K92" s="20">
        <f t="shared" ca="1" si="2"/>
        <v>37.869999999999997</v>
      </c>
    </row>
    <row r="93" spans="2:11">
      <c r="B93" s="18" t="str">
        <f xml:space="preserve"> TRIM( "9782940411740" )</f>
        <v>9782940411740</v>
      </c>
      <c r="C93" s="18" t="s">
        <v>433</v>
      </c>
      <c r="D93" s="18" t="s">
        <v>147</v>
      </c>
      <c r="E93" s="18" t="s">
        <v>37</v>
      </c>
      <c r="F93" s="18" t="s">
        <v>148</v>
      </c>
      <c r="G93" s="18" t="s">
        <v>40</v>
      </c>
      <c r="H93" s="18">
        <v>0.35</v>
      </c>
      <c r="I93" s="20">
        <v>17.95</v>
      </c>
      <c r="J93" s="21">
        <v>0.35</v>
      </c>
      <c r="K93" s="20">
        <f t="shared" ca="1" si="2"/>
        <v>6.28</v>
      </c>
    </row>
    <row r="94" spans="2:11">
      <c r="B94" s="18" t="str">
        <f xml:space="preserve"> TRIM( "9782940411757" )</f>
        <v>9782940411757</v>
      </c>
      <c r="C94" s="18" t="s">
        <v>434</v>
      </c>
      <c r="D94" s="18" t="s">
        <v>150</v>
      </c>
      <c r="E94" s="18" t="s">
        <v>37</v>
      </c>
      <c r="F94" s="18" t="s">
        <v>151</v>
      </c>
      <c r="G94" s="18" t="s">
        <v>39</v>
      </c>
      <c r="H94" s="18">
        <v>0.3</v>
      </c>
      <c r="I94" s="20">
        <v>825.08</v>
      </c>
      <c r="J94" s="21">
        <v>0.3</v>
      </c>
      <c r="K94" s="20">
        <f t="shared" ca="1" si="2"/>
        <v>247.52</v>
      </c>
    </row>
    <row r="95" spans="2:11">
      <c r="B95" s="18" t="str">
        <f xml:space="preserve"> TRIM( "9782940411757" )</f>
        <v>9782940411757</v>
      </c>
      <c r="C95" s="18" t="s">
        <v>434</v>
      </c>
      <c r="D95" s="18" t="s">
        <v>150</v>
      </c>
      <c r="E95" s="18" t="s">
        <v>37</v>
      </c>
      <c r="F95" s="18" t="s">
        <v>151</v>
      </c>
      <c r="G95" s="18" t="s">
        <v>40</v>
      </c>
      <c r="H95" s="18">
        <v>0.35</v>
      </c>
      <c r="I95" s="20">
        <v>3.23</v>
      </c>
      <c r="J95" s="21">
        <v>0.35</v>
      </c>
      <c r="K95" s="20">
        <f t="shared" ca="1" si="2"/>
        <v>1.1299999999999999</v>
      </c>
    </row>
    <row r="96" spans="2:11">
      <c r="B96" s="18" t="str">
        <f xml:space="preserve"> TRIM( "9782940411771" )</f>
        <v>9782940411771</v>
      </c>
      <c r="C96" s="18" t="s">
        <v>435</v>
      </c>
      <c r="D96" s="18" t="s">
        <v>50</v>
      </c>
      <c r="E96" s="18" t="s">
        <v>37</v>
      </c>
      <c r="F96" s="18" t="s">
        <v>48</v>
      </c>
      <c r="G96" s="18" t="s">
        <v>39</v>
      </c>
      <c r="H96" s="18">
        <v>0.3</v>
      </c>
      <c r="I96" s="20">
        <v>43.21</v>
      </c>
      <c r="J96" s="21">
        <v>0.3</v>
      </c>
      <c r="K96" s="20">
        <f t="shared" ca="1" si="2"/>
        <v>12.96</v>
      </c>
    </row>
    <row r="97" spans="2:11">
      <c r="B97" s="18" t="str">
        <f xml:space="preserve"> TRIM( "9782940411771" )</f>
        <v>9782940411771</v>
      </c>
      <c r="C97" s="18" t="s">
        <v>435</v>
      </c>
      <c r="D97" s="18" t="s">
        <v>50</v>
      </c>
      <c r="E97" s="18" t="s">
        <v>37</v>
      </c>
      <c r="F97" s="18" t="s">
        <v>48</v>
      </c>
      <c r="G97" s="18" t="s">
        <v>40</v>
      </c>
      <c r="H97" s="18">
        <v>0.35</v>
      </c>
      <c r="I97" s="20">
        <v>55.66</v>
      </c>
      <c r="J97" s="21">
        <v>0.35</v>
      </c>
      <c r="K97" s="20">
        <f t="shared" ca="1" si="2"/>
        <v>19.48</v>
      </c>
    </row>
    <row r="98" spans="2:11">
      <c r="B98" s="18" t="str">
        <f xml:space="preserve"> TRIM( "9782940411788" )</f>
        <v>9782940411788</v>
      </c>
      <c r="C98" s="18" t="s">
        <v>436</v>
      </c>
      <c r="D98" s="18" t="s">
        <v>154</v>
      </c>
      <c r="E98" s="18" t="s">
        <v>37</v>
      </c>
      <c r="F98" s="18" t="s">
        <v>155</v>
      </c>
      <c r="G98" s="18" t="s">
        <v>39</v>
      </c>
      <c r="H98" s="18">
        <v>0.3</v>
      </c>
      <c r="I98" s="20">
        <v>51.93</v>
      </c>
      <c r="J98" s="21">
        <v>0.3</v>
      </c>
      <c r="K98" s="20">
        <f t="shared" ca="1" si="2"/>
        <v>15.58</v>
      </c>
    </row>
    <row r="99" spans="2:11">
      <c r="B99" s="18" t="str">
        <f xml:space="preserve"> TRIM( "9782940411788" )</f>
        <v>9782940411788</v>
      </c>
      <c r="C99" s="18" t="s">
        <v>436</v>
      </c>
      <c r="D99" s="18" t="s">
        <v>154</v>
      </c>
      <c r="E99" s="18" t="s">
        <v>37</v>
      </c>
      <c r="F99" s="18" t="s">
        <v>155</v>
      </c>
      <c r="G99" s="18" t="s">
        <v>40</v>
      </c>
      <c r="H99" s="18">
        <v>0.35</v>
      </c>
      <c r="I99" s="20">
        <v>21.39</v>
      </c>
      <c r="J99" s="21">
        <v>0.35</v>
      </c>
      <c r="K99" s="20">
        <f t="shared" ca="1" si="2"/>
        <v>7.49</v>
      </c>
    </row>
    <row r="100" spans="2:11">
      <c r="B100" s="18" t="str">
        <f xml:space="preserve"> TRIM( "9782940411849" )</f>
        <v>9782940411849</v>
      </c>
      <c r="C100" s="18" t="s">
        <v>437</v>
      </c>
      <c r="D100" s="18" t="s">
        <v>106</v>
      </c>
      <c r="E100" s="18" t="s">
        <v>37</v>
      </c>
      <c r="F100" s="18" t="s">
        <v>107</v>
      </c>
      <c r="G100" s="18" t="s">
        <v>39</v>
      </c>
      <c r="H100" s="18">
        <v>0.3</v>
      </c>
      <c r="I100" s="20">
        <v>28.31</v>
      </c>
      <c r="J100" s="21">
        <v>0.3</v>
      </c>
      <c r="K100" s="20">
        <f t="shared" ca="1" si="2"/>
        <v>8.49</v>
      </c>
    </row>
    <row r="101" spans="2:11">
      <c r="B101" s="18" t="str">
        <f xml:space="preserve"> TRIM( "9782940411849" )</f>
        <v>9782940411849</v>
      </c>
      <c r="C101" s="18" t="s">
        <v>437</v>
      </c>
      <c r="D101" s="18" t="s">
        <v>106</v>
      </c>
      <c r="E101" s="18" t="s">
        <v>37</v>
      </c>
      <c r="F101" s="18" t="s">
        <v>107</v>
      </c>
      <c r="G101" s="18" t="s">
        <v>40</v>
      </c>
      <c r="H101" s="18">
        <v>0.35</v>
      </c>
      <c r="I101" s="20">
        <v>4.74</v>
      </c>
      <c r="J101" s="21">
        <v>0.35</v>
      </c>
      <c r="K101" s="20">
        <f t="shared" ca="1" si="2"/>
        <v>1.66</v>
      </c>
    </row>
    <row r="102" spans="2:11">
      <c r="B102" s="18" t="str">
        <f xml:space="preserve"> TRIM( "9782940411870" )</f>
        <v>9782940411870</v>
      </c>
      <c r="C102" s="18" t="s">
        <v>438</v>
      </c>
      <c r="D102" s="18" t="s">
        <v>158</v>
      </c>
      <c r="E102" s="18" t="s">
        <v>37</v>
      </c>
      <c r="F102" s="18" t="s">
        <v>159</v>
      </c>
      <c r="G102" s="18" t="s">
        <v>39</v>
      </c>
      <c r="H102" s="18">
        <v>0.3</v>
      </c>
      <c r="I102" s="20">
        <v>16.86</v>
      </c>
      <c r="J102" s="21">
        <v>0.3</v>
      </c>
      <c r="K102" s="20">
        <f t="shared" ca="1" si="2"/>
        <v>5.0599999999999996</v>
      </c>
    </row>
    <row r="103" spans="2:11">
      <c r="B103" s="18" t="str">
        <f xml:space="preserve"> TRIM( "9782940411870" )</f>
        <v>9782940411870</v>
      </c>
      <c r="C103" s="18" t="s">
        <v>438</v>
      </c>
      <c r="D103" s="18" t="s">
        <v>158</v>
      </c>
      <c r="E103" s="18" t="s">
        <v>37</v>
      </c>
      <c r="F103" s="18" t="s">
        <v>159</v>
      </c>
      <c r="G103" s="18" t="s">
        <v>40</v>
      </c>
      <c r="H103" s="18">
        <v>0.35</v>
      </c>
      <c r="I103" s="20">
        <v>2.13</v>
      </c>
      <c r="J103" s="21">
        <v>0.35</v>
      </c>
      <c r="K103" s="20">
        <f t="shared" ca="1" si="2"/>
        <v>0.75</v>
      </c>
    </row>
    <row r="104" spans="2:11">
      <c r="B104" s="18" t="str">
        <f xml:space="preserve"> TRIM( "9782940411887" )</f>
        <v>9782940411887</v>
      </c>
      <c r="C104" s="18" t="s">
        <v>439</v>
      </c>
      <c r="D104" s="18" t="s">
        <v>161</v>
      </c>
      <c r="E104" s="18" t="s">
        <v>37</v>
      </c>
      <c r="F104" s="18" t="s">
        <v>162</v>
      </c>
      <c r="G104" s="18" t="s">
        <v>39</v>
      </c>
      <c r="H104" s="18">
        <v>0.3</v>
      </c>
      <c r="I104" s="20">
        <v>21.79</v>
      </c>
      <c r="J104" s="21">
        <v>0.3</v>
      </c>
      <c r="K104" s="20">
        <f t="shared" ca="1" si="2"/>
        <v>6.54</v>
      </c>
    </row>
    <row r="105" spans="2:11">
      <c r="B105" s="18" t="str">
        <f xml:space="preserve"> TRIM( "9782940411887" )</f>
        <v>9782940411887</v>
      </c>
      <c r="C105" s="18" t="s">
        <v>439</v>
      </c>
      <c r="D105" s="18" t="s">
        <v>161</v>
      </c>
      <c r="E105" s="18" t="s">
        <v>37</v>
      </c>
      <c r="F105" s="18" t="s">
        <v>162</v>
      </c>
      <c r="G105" s="18" t="s">
        <v>40</v>
      </c>
      <c r="H105" s="18">
        <v>0.35</v>
      </c>
      <c r="I105" s="20">
        <v>20.32</v>
      </c>
      <c r="J105" s="21">
        <v>0.35</v>
      </c>
      <c r="K105" s="20">
        <f t="shared" ca="1" si="2"/>
        <v>7.11</v>
      </c>
    </row>
    <row r="106" spans="2:11">
      <c r="B106" s="18" t="str">
        <f xml:space="preserve"> TRIM( "9782940411924" )</f>
        <v>9782940411924</v>
      </c>
      <c r="C106" s="18" t="s">
        <v>440</v>
      </c>
      <c r="D106" s="18" t="s">
        <v>164</v>
      </c>
      <c r="E106" s="18" t="s">
        <v>37</v>
      </c>
      <c r="F106" s="18" t="s">
        <v>165</v>
      </c>
      <c r="G106" s="18" t="s">
        <v>39</v>
      </c>
      <c r="H106" s="18">
        <v>0.3</v>
      </c>
      <c r="I106" s="20">
        <v>303.43</v>
      </c>
      <c r="J106" s="21">
        <v>0.3</v>
      </c>
      <c r="K106" s="20">
        <f t="shared" ca="1" si="2"/>
        <v>91.03</v>
      </c>
    </row>
    <row r="107" spans="2:11">
      <c r="B107" s="18" t="str">
        <f xml:space="preserve"> TRIM( "9782940411924" )</f>
        <v>9782940411924</v>
      </c>
      <c r="C107" s="18" t="s">
        <v>440</v>
      </c>
      <c r="D107" s="18" t="s">
        <v>164</v>
      </c>
      <c r="E107" s="18" t="s">
        <v>37</v>
      </c>
      <c r="F107" s="18" t="s">
        <v>165</v>
      </c>
      <c r="G107" s="18" t="s">
        <v>40</v>
      </c>
      <c r="H107" s="18">
        <v>0.35</v>
      </c>
      <c r="I107" s="20">
        <v>34.08</v>
      </c>
      <c r="J107" s="21">
        <v>0.35</v>
      </c>
      <c r="K107" s="20">
        <f t="shared" ca="1" si="2"/>
        <v>11.93</v>
      </c>
    </row>
    <row r="108" spans="2:11">
      <c r="B108" s="18" t="str">
        <f xml:space="preserve"> TRIM( "9782940411948" )</f>
        <v>9782940411948</v>
      </c>
      <c r="C108" s="18" t="s">
        <v>441</v>
      </c>
      <c r="D108" s="18" t="s">
        <v>167</v>
      </c>
      <c r="E108" s="18" t="s">
        <v>37</v>
      </c>
      <c r="F108" s="18" t="s">
        <v>168</v>
      </c>
      <c r="G108" s="18" t="s">
        <v>39</v>
      </c>
      <c r="H108" s="18">
        <v>0.3</v>
      </c>
      <c r="I108" s="20">
        <v>119.4</v>
      </c>
      <c r="J108" s="21">
        <v>0.3</v>
      </c>
      <c r="K108" s="20">
        <f t="shared" ca="1" si="2"/>
        <v>35.82</v>
      </c>
    </row>
    <row r="109" spans="2:11">
      <c r="B109" s="18" t="str">
        <f xml:space="preserve"> TRIM( "9782940411948" )</f>
        <v>9782940411948</v>
      </c>
      <c r="C109" s="18" t="s">
        <v>441</v>
      </c>
      <c r="D109" s="18" t="s">
        <v>167</v>
      </c>
      <c r="E109" s="18" t="s">
        <v>37</v>
      </c>
      <c r="F109" s="18" t="s">
        <v>168</v>
      </c>
      <c r="G109" s="18" t="s">
        <v>40</v>
      </c>
      <c r="H109" s="18">
        <v>0.35</v>
      </c>
      <c r="I109" s="20">
        <v>8.9600000000000009</v>
      </c>
      <c r="J109" s="21">
        <v>0.35</v>
      </c>
      <c r="K109" s="20">
        <f t="shared" ca="1" si="2"/>
        <v>3.14</v>
      </c>
    </row>
    <row r="110" spans="2:11">
      <c r="B110" s="18" t="str">
        <f xml:space="preserve"> TRIM( "9782940439027" )</f>
        <v>9782940439027</v>
      </c>
      <c r="C110" s="18" t="s">
        <v>169</v>
      </c>
      <c r="D110" s="18" t="s">
        <v>170</v>
      </c>
      <c r="E110" s="18" t="s">
        <v>37</v>
      </c>
      <c r="F110" s="18" t="s">
        <v>68</v>
      </c>
      <c r="G110" s="18" t="s">
        <v>39</v>
      </c>
      <c r="H110" s="18">
        <v>0.3</v>
      </c>
      <c r="I110" s="20">
        <v>159.43</v>
      </c>
      <c r="J110" s="21">
        <v>0.3</v>
      </c>
      <c r="K110" s="20">
        <f t="shared" ca="1" si="2"/>
        <v>47.83</v>
      </c>
    </row>
    <row r="111" spans="2:11">
      <c r="B111" s="18" t="str">
        <f xml:space="preserve"> TRIM( "9782940439027" )</f>
        <v>9782940439027</v>
      </c>
      <c r="C111" s="18" t="s">
        <v>169</v>
      </c>
      <c r="D111" s="18" t="s">
        <v>170</v>
      </c>
      <c r="E111" s="18" t="s">
        <v>37</v>
      </c>
      <c r="F111" s="18" t="s">
        <v>68</v>
      </c>
      <c r="G111" s="18" t="s">
        <v>40</v>
      </c>
      <c r="H111" s="18">
        <v>0.35</v>
      </c>
      <c r="I111" s="20">
        <v>11.92</v>
      </c>
      <c r="J111" s="21">
        <v>0.35</v>
      </c>
      <c r="K111" s="20">
        <f t="shared" ca="1" si="2"/>
        <v>4.17</v>
      </c>
    </row>
    <row r="112" spans="2:11">
      <c r="B112" s="18" t="str">
        <f xml:space="preserve"> TRIM( "9782940439041" )</f>
        <v>9782940439041</v>
      </c>
      <c r="C112" s="18" t="s">
        <v>171</v>
      </c>
      <c r="D112" s="18" t="s">
        <v>154</v>
      </c>
      <c r="E112" s="18" t="s">
        <v>37</v>
      </c>
      <c r="F112" s="18" t="s">
        <v>155</v>
      </c>
      <c r="G112" s="18" t="s">
        <v>39</v>
      </c>
      <c r="H112" s="18">
        <v>0.3</v>
      </c>
      <c r="I112" s="20">
        <v>6.87</v>
      </c>
      <c r="J112" s="21">
        <v>0.3</v>
      </c>
      <c r="K112" s="20">
        <f t="shared" ca="1" si="2"/>
        <v>2.06</v>
      </c>
    </row>
    <row r="113" spans="2:11">
      <c r="B113" s="18" t="str">
        <f xml:space="preserve"> TRIM( "9782940439041" )</f>
        <v>9782940439041</v>
      </c>
      <c r="C113" s="18" t="s">
        <v>171</v>
      </c>
      <c r="D113" s="18" t="s">
        <v>154</v>
      </c>
      <c r="E113" s="18" t="s">
        <v>37</v>
      </c>
      <c r="F113" s="18" t="s">
        <v>155</v>
      </c>
      <c r="G113" s="18" t="s">
        <v>40</v>
      </c>
      <c r="H113" s="18">
        <v>0.35</v>
      </c>
      <c r="I113" s="20">
        <v>0.18</v>
      </c>
      <c r="J113" s="21">
        <v>0.35</v>
      </c>
      <c r="K113" s="20">
        <f t="shared" ca="1" si="2"/>
        <v>0.06</v>
      </c>
    </row>
    <row r="114" spans="2:11">
      <c r="B114" s="18" t="str">
        <f xml:space="preserve"> TRIM( "9782940439058" )</f>
        <v>9782940439058</v>
      </c>
      <c r="C114" s="18" t="s">
        <v>172</v>
      </c>
      <c r="D114" s="18" t="s">
        <v>141</v>
      </c>
      <c r="E114" s="18" t="s">
        <v>37</v>
      </c>
      <c r="F114" s="18" t="s">
        <v>142</v>
      </c>
      <c r="G114" s="18" t="s">
        <v>39</v>
      </c>
      <c r="H114" s="18">
        <v>0.3</v>
      </c>
      <c r="I114" s="20">
        <v>101.86</v>
      </c>
      <c r="J114" s="21">
        <v>0.3</v>
      </c>
      <c r="K114" s="20">
        <f t="shared" ca="1" si="2"/>
        <v>30.56</v>
      </c>
    </row>
    <row r="115" spans="2:11">
      <c r="B115" s="18" t="str">
        <f xml:space="preserve"> TRIM( "9782940439058" )</f>
        <v>9782940439058</v>
      </c>
      <c r="C115" s="18" t="s">
        <v>172</v>
      </c>
      <c r="D115" s="18" t="s">
        <v>141</v>
      </c>
      <c r="E115" s="18" t="s">
        <v>37</v>
      </c>
      <c r="F115" s="18" t="s">
        <v>142</v>
      </c>
      <c r="G115" s="18" t="s">
        <v>40</v>
      </c>
      <c r="H115" s="18">
        <v>0.35</v>
      </c>
      <c r="I115" s="20">
        <v>77.540000000000006</v>
      </c>
      <c r="J115" s="21">
        <v>0.35</v>
      </c>
      <c r="K115" s="20">
        <f t="shared" ca="1" si="2"/>
        <v>27.14</v>
      </c>
    </row>
    <row r="116" spans="2:11">
      <c r="B116" s="18" t="str">
        <f xml:space="preserve"> TRIM( "9782940439065" )</f>
        <v>9782940439065</v>
      </c>
      <c r="C116" s="18" t="s">
        <v>173</v>
      </c>
      <c r="D116" s="18" t="s">
        <v>174</v>
      </c>
      <c r="E116" s="18" t="s">
        <v>37</v>
      </c>
      <c r="F116" s="18" t="s">
        <v>175</v>
      </c>
      <c r="G116" s="18" t="s">
        <v>39</v>
      </c>
      <c r="H116" s="18">
        <v>0.3</v>
      </c>
      <c r="I116" s="20">
        <v>18.95</v>
      </c>
      <c r="J116" s="21">
        <v>0.3</v>
      </c>
      <c r="K116" s="20">
        <f t="shared" ca="1" si="2"/>
        <v>5.69</v>
      </c>
    </row>
    <row r="117" spans="2:11">
      <c r="B117" s="18" t="str">
        <f xml:space="preserve"> TRIM( "9782940439065" )</f>
        <v>9782940439065</v>
      </c>
      <c r="C117" s="18" t="s">
        <v>173</v>
      </c>
      <c r="D117" s="18" t="s">
        <v>174</v>
      </c>
      <c r="E117" s="18" t="s">
        <v>37</v>
      </c>
      <c r="F117" s="18" t="s">
        <v>175</v>
      </c>
      <c r="G117" s="18" t="s">
        <v>40</v>
      </c>
      <c r="H117" s="18">
        <v>0.35</v>
      </c>
      <c r="I117" s="20">
        <v>25.21</v>
      </c>
      <c r="J117" s="21">
        <v>0.35</v>
      </c>
      <c r="K117" s="20">
        <f t="shared" ca="1" si="2"/>
        <v>8.82</v>
      </c>
    </row>
    <row r="118" spans="2:11">
      <c r="B118" s="18" t="str">
        <f xml:space="preserve"> TRIM( "9782940439072" )</f>
        <v>9782940439072</v>
      </c>
      <c r="C118" s="18" t="s">
        <v>176</v>
      </c>
      <c r="D118" s="18" t="s">
        <v>177</v>
      </c>
      <c r="E118" s="18" t="s">
        <v>37</v>
      </c>
      <c r="F118" s="18" t="s">
        <v>178</v>
      </c>
      <c r="G118" s="18" t="s">
        <v>39</v>
      </c>
      <c r="H118" s="18">
        <v>0.3</v>
      </c>
      <c r="I118" s="20">
        <v>185.27</v>
      </c>
      <c r="J118" s="21">
        <v>0.3</v>
      </c>
      <c r="K118" s="20">
        <f t="shared" ca="1" si="2"/>
        <v>55.58</v>
      </c>
    </row>
    <row r="119" spans="2:11">
      <c r="B119" s="18" t="str">
        <f xml:space="preserve"> TRIM( "9782940439072" )</f>
        <v>9782940439072</v>
      </c>
      <c r="C119" s="18" t="s">
        <v>176</v>
      </c>
      <c r="D119" s="18" t="s">
        <v>177</v>
      </c>
      <c r="E119" s="18" t="s">
        <v>37</v>
      </c>
      <c r="F119" s="18" t="s">
        <v>178</v>
      </c>
      <c r="G119" s="18" t="s">
        <v>40</v>
      </c>
      <c r="H119" s="18">
        <v>0.35</v>
      </c>
      <c r="I119" s="20">
        <v>17.739999999999998</v>
      </c>
      <c r="J119" s="21">
        <v>0.35</v>
      </c>
      <c r="K119" s="20">
        <f t="shared" ca="1" si="2"/>
        <v>6.21</v>
      </c>
    </row>
    <row r="120" spans="2:11">
      <c r="B120" s="18" t="str">
        <f xml:space="preserve"> TRIM( "9782940439089" )</f>
        <v>9782940439089</v>
      </c>
      <c r="C120" s="18" t="s">
        <v>179</v>
      </c>
      <c r="D120" s="18" t="s">
        <v>180</v>
      </c>
      <c r="E120" s="18" t="s">
        <v>37</v>
      </c>
      <c r="F120" s="18" t="s">
        <v>68</v>
      </c>
      <c r="G120" s="18" t="s">
        <v>39</v>
      </c>
      <c r="H120" s="18">
        <v>0.3</v>
      </c>
      <c r="I120" s="20">
        <v>6.55</v>
      </c>
      <c r="J120" s="21">
        <v>0.3</v>
      </c>
      <c r="K120" s="20">
        <f t="shared" ca="1" si="2"/>
        <v>1.97</v>
      </c>
    </row>
    <row r="121" spans="2:11">
      <c r="B121" s="18" t="str">
        <f xml:space="preserve"> TRIM( "9782940439089" )</f>
        <v>9782940439089</v>
      </c>
      <c r="C121" s="18" t="s">
        <v>179</v>
      </c>
      <c r="D121" s="18" t="s">
        <v>180</v>
      </c>
      <c r="E121" s="18" t="s">
        <v>37</v>
      </c>
      <c r="F121" s="18" t="s">
        <v>68</v>
      </c>
      <c r="G121" s="18" t="s">
        <v>40</v>
      </c>
      <c r="H121" s="18">
        <v>0.35</v>
      </c>
      <c r="I121" s="20">
        <v>0.56999999999999995</v>
      </c>
      <c r="J121" s="21">
        <v>0.35</v>
      </c>
      <c r="K121" s="20">
        <f t="shared" ca="1" si="2"/>
        <v>0.2</v>
      </c>
    </row>
    <row r="122" spans="2:11">
      <c r="B122" s="18" t="str">
        <f xml:space="preserve"> TRIM( "9782940439096" )</f>
        <v>9782940439096</v>
      </c>
      <c r="C122" s="18" t="s">
        <v>181</v>
      </c>
      <c r="D122" s="18" t="s">
        <v>182</v>
      </c>
      <c r="E122" s="18" t="s">
        <v>37</v>
      </c>
      <c r="F122" s="18" t="s">
        <v>68</v>
      </c>
      <c r="G122" s="18" t="s">
        <v>39</v>
      </c>
      <c r="H122" s="18">
        <v>0.3</v>
      </c>
      <c r="I122" s="20">
        <v>23.88</v>
      </c>
      <c r="J122" s="21">
        <v>0.3</v>
      </c>
      <c r="K122" s="20">
        <f t="shared" ca="1" si="2"/>
        <v>7.16</v>
      </c>
    </row>
    <row r="123" spans="2:11">
      <c r="B123" s="18" t="str">
        <f xml:space="preserve"> TRIM( "9782940439096" )</f>
        <v>9782940439096</v>
      </c>
      <c r="C123" s="18" t="s">
        <v>181</v>
      </c>
      <c r="D123" s="18" t="s">
        <v>182</v>
      </c>
      <c r="E123" s="18" t="s">
        <v>37</v>
      </c>
      <c r="F123" s="18" t="s">
        <v>68</v>
      </c>
      <c r="G123" s="18" t="s">
        <v>40</v>
      </c>
      <c r="H123" s="18">
        <v>0.35</v>
      </c>
      <c r="I123" s="20">
        <v>12.82</v>
      </c>
      <c r="J123" s="21">
        <v>0.35</v>
      </c>
      <c r="K123" s="20">
        <f t="shared" ca="1" si="2"/>
        <v>4.49</v>
      </c>
    </row>
    <row r="124" spans="2:11">
      <c r="B124" s="18" t="str">
        <f xml:space="preserve"> TRIM( "9782940439102" )</f>
        <v>9782940439102</v>
      </c>
      <c r="C124" s="18" t="s">
        <v>183</v>
      </c>
      <c r="D124" s="18" t="s">
        <v>184</v>
      </c>
      <c r="E124" s="18" t="s">
        <v>37</v>
      </c>
      <c r="F124" s="18" t="s">
        <v>68</v>
      </c>
      <c r="G124" s="18" t="s">
        <v>39</v>
      </c>
      <c r="H124" s="18">
        <v>0.3</v>
      </c>
      <c r="I124" s="20">
        <v>6.84</v>
      </c>
      <c r="J124" s="21">
        <v>0.3</v>
      </c>
      <c r="K124" s="20">
        <f t="shared" ca="1" si="2"/>
        <v>2.0499999999999998</v>
      </c>
    </row>
    <row r="125" spans="2:11">
      <c r="B125" s="18" t="str">
        <f xml:space="preserve"> TRIM( "9782940439102" )</f>
        <v>9782940439102</v>
      </c>
      <c r="C125" s="18" t="s">
        <v>183</v>
      </c>
      <c r="D125" s="18" t="s">
        <v>184</v>
      </c>
      <c r="E125" s="18" t="s">
        <v>37</v>
      </c>
      <c r="F125" s="18" t="s">
        <v>68</v>
      </c>
      <c r="G125" s="18" t="s">
        <v>40</v>
      </c>
      <c r="H125" s="18">
        <v>0.35</v>
      </c>
      <c r="I125" s="20">
        <v>8.11</v>
      </c>
      <c r="J125" s="21">
        <v>0.35</v>
      </c>
      <c r="K125" s="20">
        <f t="shared" ca="1" si="2"/>
        <v>2.84</v>
      </c>
    </row>
    <row r="126" spans="2:11">
      <c r="B126" s="18" t="str">
        <f xml:space="preserve"> TRIM( "9782940439119" )</f>
        <v>9782940439119</v>
      </c>
      <c r="C126" s="18" t="s">
        <v>185</v>
      </c>
      <c r="D126" s="18" t="s">
        <v>186</v>
      </c>
      <c r="E126" s="18" t="s">
        <v>37</v>
      </c>
      <c r="F126" s="18" t="s">
        <v>68</v>
      </c>
      <c r="G126" s="18" t="s">
        <v>39</v>
      </c>
      <c r="H126" s="18">
        <v>0.3</v>
      </c>
      <c r="I126" s="20">
        <v>125.78</v>
      </c>
      <c r="J126" s="21">
        <v>0.3</v>
      </c>
      <c r="K126" s="20">
        <f t="shared" ca="1" si="2"/>
        <v>37.729999999999997</v>
      </c>
    </row>
    <row r="127" spans="2:11">
      <c r="B127" s="18" t="str">
        <f xml:space="preserve"> TRIM( "9782940439119" )</f>
        <v>9782940439119</v>
      </c>
      <c r="C127" s="18" t="s">
        <v>185</v>
      </c>
      <c r="D127" s="18" t="s">
        <v>186</v>
      </c>
      <c r="E127" s="18" t="s">
        <v>37</v>
      </c>
      <c r="F127" s="18" t="s">
        <v>68</v>
      </c>
      <c r="G127" s="18" t="s">
        <v>40</v>
      </c>
      <c r="H127" s="18">
        <v>0.35</v>
      </c>
      <c r="I127" s="20">
        <v>6.33</v>
      </c>
      <c r="J127" s="21">
        <v>0.35</v>
      </c>
      <c r="K127" s="20">
        <f t="shared" ca="1" si="2"/>
        <v>2.2200000000000002</v>
      </c>
    </row>
    <row r="128" spans="2:11">
      <c r="B128" s="18" t="str">
        <f xml:space="preserve"> TRIM( "9782940439126" )</f>
        <v>9782940439126</v>
      </c>
      <c r="C128" s="18" t="s">
        <v>187</v>
      </c>
      <c r="D128" s="18" t="s">
        <v>188</v>
      </c>
      <c r="E128" s="18" t="s">
        <v>37</v>
      </c>
      <c r="F128" s="18" t="s">
        <v>68</v>
      </c>
      <c r="G128" s="18" t="s">
        <v>39</v>
      </c>
      <c r="H128" s="18">
        <v>0.3</v>
      </c>
      <c r="I128" s="20">
        <v>4.9000000000000004</v>
      </c>
      <c r="J128" s="21">
        <v>0.3</v>
      </c>
      <c r="K128" s="20">
        <f t="shared" ca="1" si="2"/>
        <v>1.47</v>
      </c>
    </row>
    <row r="129" spans="2:11">
      <c r="B129" s="18" t="str">
        <f xml:space="preserve"> TRIM( "9782940439126" )</f>
        <v>9782940439126</v>
      </c>
      <c r="C129" s="18" t="s">
        <v>187</v>
      </c>
      <c r="D129" s="18" t="s">
        <v>188</v>
      </c>
      <c r="E129" s="18" t="s">
        <v>37</v>
      </c>
      <c r="F129" s="18" t="s">
        <v>68</v>
      </c>
      <c r="G129" s="18" t="s">
        <v>40</v>
      </c>
      <c r="H129" s="18">
        <v>0.35</v>
      </c>
      <c r="I129" s="20">
        <v>5.52</v>
      </c>
      <c r="J129" s="21">
        <v>0.35</v>
      </c>
      <c r="K129" s="20">
        <f t="shared" ca="1" si="2"/>
        <v>1.93</v>
      </c>
    </row>
    <row r="130" spans="2:11">
      <c r="B130" s="18" t="str">
        <f xml:space="preserve"> TRIM( "9782940439133" )</f>
        <v>9782940439133</v>
      </c>
      <c r="C130" s="18" t="s">
        <v>189</v>
      </c>
      <c r="D130" s="18" t="s">
        <v>164</v>
      </c>
      <c r="E130" s="18" t="s">
        <v>37</v>
      </c>
      <c r="F130" s="18" t="s">
        <v>68</v>
      </c>
      <c r="G130" s="18" t="s">
        <v>39</v>
      </c>
      <c r="H130" s="18">
        <v>0.3</v>
      </c>
      <c r="I130" s="20">
        <v>14.2</v>
      </c>
      <c r="J130" s="21">
        <v>0.3</v>
      </c>
      <c r="K130" s="20">
        <f t="shared" ca="1" si="2"/>
        <v>4.26</v>
      </c>
    </row>
    <row r="131" spans="2:11">
      <c r="B131" s="18" t="str">
        <f xml:space="preserve"> TRIM( "9782940439133" )</f>
        <v>9782940439133</v>
      </c>
      <c r="C131" s="18" t="s">
        <v>189</v>
      </c>
      <c r="D131" s="18" t="s">
        <v>164</v>
      </c>
      <c r="E131" s="18" t="s">
        <v>37</v>
      </c>
      <c r="F131" s="18" t="s">
        <v>68</v>
      </c>
      <c r="G131" s="18" t="s">
        <v>40</v>
      </c>
      <c r="H131" s="18">
        <v>0.35</v>
      </c>
      <c r="I131" s="20">
        <v>8.08</v>
      </c>
      <c r="J131" s="21">
        <v>0.35</v>
      </c>
      <c r="K131" s="20">
        <f t="shared" ca="1" si="2"/>
        <v>2.83</v>
      </c>
    </row>
    <row r="132" spans="2:11">
      <c r="B132" s="18" t="str">
        <f xml:space="preserve"> TRIM( "9782940439201" )</f>
        <v>9782940439201</v>
      </c>
      <c r="C132" s="18" t="s">
        <v>190</v>
      </c>
      <c r="D132" s="18" t="s">
        <v>191</v>
      </c>
      <c r="E132" s="18" t="s">
        <v>37</v>
      </c>
      <c r="F132" s="18" t="s">
        <v>192</v>
      </c>
      <c r="G132" s="18" t="s">
        <v>39</v>
      </c>
      <c r="H132" s="18">
        <v>0.3</v>
      </c>
      <c r="I132" s="20">
        <v>99.18</v>
      </c>
      <c r="J132" s="21">
        <v>0.3</v>
      </c>
      <c r="K132" s="20">
        <f t="shared" ca="1" si="2"/>
        <v>29.75</v>
      </c>
    </row>
    <row r="133" spans="2:11">
      <c r="B133" s="18" t="str">
        <f xml:space="preserve"> TRIM( "9782940439201" )</f>
        <v>9782940439201</v>
      </c>
      <c r="C133" s="18" t="s">
        <v>190</v>
      </c>
      <c r="D133" s="18" t="s">
        <v>191</v>
      </c>
      <c r="E133" s="18" t="s">
        <v>37</v>
      </c>
      <c r="F133" s="18" t="s">
        <v>192</v>
      </c>
      <c r="G133" s="18" t="s">
        <v>40</v>
      </c>
      <c r="H133" s="18">
        <v>0.35</v>
      </c>
      <c r="I133" s="20">
        <v>42.31</v>
      </c>
      <c r="J133" s="21">
        <v>0.35</v>
      </c>
      <c r="K133" s="20">
        <f t="shared" ca="1" si="2"/>
        <v>14.81</v>
      </c>
    </row>
    <row r="134" spans="2:11">
      <c r="B134" s="18" t="str">
        <f xml:space="preserve"> TRIM( "9782940439225" )</f>
        <v>9782940439225</v>
      </c>
      <c r="C134" s="18" t="s">
        <v>193</v>
      </c>
      <c r="D134" s="18" t="s">
        <v>194</v>
      </c>
      <c r="E134" s="18" t="s">
        <v>37</v>
      </c>
      <c r="F134" s="18" t="s">
        <v>195</v>
      </c>
      <c r="G134" s="18" t="s">
        <v>39</v>
      </c>
      <c r="H134" s="18">
        <v>0.3</v>
      </c>
      <c r="I134" s="20">
        <v>64.53</v>
      </c>
      <c r="J134" s="21">
        <v>0.3</v>
      </c>
      <c r="K134" s="20">
        <f t="shared" ca="1" si="2"/>
        <v>19.36</v>
      </c>
    </row>
    <row r="135" spans="2:11">
      <c r="B135" s="18" t="str">
        <f xml:space="preserve"> TRIM( "9782940439225" )</f>
        <v>9782940439225</v>
      </c>
      <c r="C135" s="18" t="s">
        <v>193</v>
      </c>
      <c r="D135" s="18" t="s">
        <v>194</v>
      </c>
      <c r="E135" s="18" t="s">
        <v>37</v>
      </c>
      <c r="F135" s="18" t="s">
        <v>195</v>
      </c>
      <c r="G135" s="18" t="s">
        <v>40</v>
      </c>
      <c r="H135" s="18">
        <v>0.35</v>
      </c>
      <c r="I135" s="20">
        <v>34.06</v>
      </c>
      <c r="J135" s="21">
        <v>0.35</v>
      </c>
      <c r="K135" s="20">
        <f t="shared" ca="1" si="2"/>
        <v>11.92</v>
      </c>
    </row>
    <row r="136" spans="2:11">
      <c r="B136" s="18" t="str">
        <f xml:space="preserve"> TRIM( "9782940439232" )</f>
        <v>9782940439232</v>
      </c>
      <c r="C136" s="18" t="s">
        <v>196</v>
      </c>
      <c r="D136" s="18" t="s">
        <v>197</v>
      </c>
      <c r="E136" s="18" t="s">
        <v>37</v>
      </c>
      <c r="F136" s="18" t="s">
        <v>198</v>
      </c>
      <c r="G136" s="18" t="s">
        <v>39</v>
      </c>
      <c r="H136" s="18">
        <v>0.3</v>
      </c>
      <c r="I136" s="20">
        <v>40.65</v>
      </c>
      <c r="J136" s="21">
        <v>0.3</v>
      </c>
      <c r="K136" s="20">
        <f t="shared" ca="1" si="2"/>
        <v>12.2</v>
      </c>
    </row>
    <row r="137" spans="2:11">
      <c r="B137" s="18" t="str">
        <f xml:space="preserve"> TRIM( "9782940439249" )</f>
        <v>9782940439249</v>
      </c>
      <c r="C137" s="18" t="s">
        <v>199</v>
      </c>
      <c r="D137" s="18" t="s">
        <v>200</v>
      </c>
      <c r="E137" s="18" t="s">
        <v>37</v>
      </c>
      <c r="F137" s="18" t="s">
        <v>201</v>
      </c>
      <c r="G137" s="18" t="s">
        <v>39</v>
      </c>
      <c r="H137" s="18">
        <v>0.3</v>
      </c>
      <c r="I137" s="20">
        <v>138.68</v>
      </c>
      <c r="J137" s="21">
        <v>0.3</v>
      </c>
      <c r="K137" s="20">
        <f t="shared" ca="1" si="2"/>
        <v>41.6</v>
      </c>
    </row>
    <row r="138" spans="2:11">
      <c r="B138" s="18" t="str">
        <f xml:space="preserve"> TRIM( "9782940439249" )</f>
        <v>9782940439249</v>
      </c>
      <c r="C138" s="18" t="s">
        <v>199</v>
      </c>
      <c r="D138" s="18" t="s">
        <v>200</v>
      </c>
      <c r="E138" s="18" t="s">
        <v>37</v>
      </c>
      <c r="F138" s="18" t="s">
        <v>201</v>
      </c>
      <c r="G138" s="18" t="s">
        <v>40</v>
      </c>
      <c r="H138" s="18">
        <v>0.35</v>
      </c>
      <c r="I138" s="20">
        <v>0.72</v>
      </c>
      <c r="J138" s="21">
        <v>0.35</v>
      </c>
      <c r="K138" s="20">
        <f t="shared" ca="1" si="2"/>
        <v>0.25</v>
      </c>
    </row>
    <row r="139" spans="2:11">
      <c r="B139" s="18" t="str">
        <f xml:space="preserve"> TRIM( "9782940439256" )</f>
        <v>9782940439256</v>
      </c>
      <c r="C139" s="18" t="s">
        <v>202</v>
      </c>
      <c r="D139" s="18" t="s">
        <v>203</v>
      </c>
      <c r="E139" s="18" t="s">
        <v>37</v>
      </c>
      <c r="F139" s="18" t="s">
        <v>204</v>
      </c>
      <c r="G139" s="18" t="s">
        <v>39</v>
      </c>
      <c r="H139" s="18">
        <v>0.3</v>
      </c>
      <c r="I139" s="20">
        <v>14.2</v>
      </c>
      <c r="J139" s="21">
        <v>0.3</v>
      </c>
      <c r="K139" s="20">
        <f t="shared" ca="1" si="2"/>
        <v>4.26</v>
      </c>
    </row>
    <row r="140" spans="2:11">
      <c r="B140" s="18" t="str">
        <f xml:space="preserve"> TRIM( "9782940439256" )</f>
        <v>9782940439256</v>
      </c>
      <c r="C140" s="18" t="s">
        <v>202</v>
      </c>
      <c r="D140" s="18" t="s">
        <v>203</v>
      </c>
      <c r="E140" s="18" t="s">
        <v>37</v>
      </c>
      <c r="F140" s="18" t="s">
        <v>204</v>
      </c>
      <c r="G140" s="18" t="s">
        <v>40</v>
      </c>
      <c r="H140" s="18">
        <v>0.35</v>
      </c>
      <c r="I140" s="20">
        <v>17.97</v>
      </c>
      <c r="J140" s="21">
        <v>0.35</v>
      </c>
      <c r="K140" s="20">
        <f t="shared" ca="1" si="2"/>
        <v>6.29</v>
      </c>
    </row>
    <row r="141" spans="2:11">
      <c r="B141" s="18" t="str">
        <f xml:space="preserve"> TRIM( "9782940439263" )</f>
        <v>9782940439263</v>
      </c>
      <c r="C141" s="18" t="s">
        <v>205</v>
      </c>
      <c r="D141" s="18" t="s">
        <v>206</v>
      </c>
      <c r="E141" s="18" t="s">
        <v>37</v>
      </c>
      <c r="F141" s="18" t="s">
        <v>207</v>
      </c>
      <c r="G141" s="18" t="s">
        <v>39</v>
      </c>
      <c r="H141" s="18">
        <v>0.3</v>
      </c>
      <c r="I141" s="20">
        <v>46.04</v>
      </c>
      <c r="J141" s="21">
        <v>0.3</v>
      </c>
      <c r="K141" s="20">
        <f t="shared" ca="1" si="2"/>
        <v>13.81</v>
      </c>
    </row>
    <row r="142" spans="2:11">
      <c r="B142" s="18" t="str">
        <f xml:space="preserve"> TRIM( "9782940439263" )</f>
        <v>9782940439263</v>
      </c>
      <c r="C142" s="18" t="s">
        <v>205</v>
      </c>
      <c r="D142" s="18" t="s">
        <v>206</v>
      </c>
      <c r="E142" s="18" t="s">
        <v>37</v>
      </c>
      <c r="F142" s="18" t="s">
        <v>207</v>
      </c>
      <c r="G142" s="18" t="s">
        <v>40</v>
      </c>
      <c r="H142" s="18">
        <v>0.35</v>
      </c>
      <c r="I142" s="20">
        <v>9.99</v>
      </c>
      <c r="J142" s="21">
        <v>0.35</v>
      </c>
      <c r="K142" s="20">
        <f t="shared" ca="1" si="2"/>
        <v>3.5</v>
      </c>
    </row>
    <row r="143" spans="2:11">
      <c r="B143" s="18" t="str">
        <f xml:space="preserve"> TRIM( "9782940439287" )</f>
        <v>9782940439287</v>
      </c>
      <c r="C143" s="18" t="s">
        <v>208</v>
      </c>
      <c r="D143" s="18" t="s">
        <v>209</v>
      </c>
      <c r="E143" s="18" t="s">
        <v>37</v>
      </c>
      <c r="F143" s="18" t="s">
        <v>210</v>
      </c>
      <c r="G143" s="18" t="s">
        <v>39</v>
      </c>
      <c r="H143" s="18">
        <v>0.3</v>
      </c>
      <c r="I143" s="20">
        <v>17.71</v>
      </c>
      <c r="J143" s="21">
        <v>0.3</v>
      </c>
      <c r="K143" s="20">
        <f t="shared" ref="K143:K206" ca="1" si="3" xml:space="preserve"> ROUND( ( INDIRECT( ADDRESS( ROW(), COLUMN()- 2 ))) * ( INDIRECT( ADDRESS( ROW(), COLUMN()- 1 ))), 2 )</f>
        <v>5.31</v>
      </c>
    </row>
    <row r="144" spans="2:11">
      <c r="B144" s="18" t="str">
        <f xml:space="preserve"> TRIM( "9782940439294" )</f>
        <v>9782940439294</v>
      </c>
      <c r="C144" s="18" t="s">
        <v>211</v>
      </c>
      <c r="D144" s="18" t="s">
        <v>212</v>
      </c>
      <c r="E144" s="18" t="s">
        <v>37</v>
      </c>
      <c r="F144" s="18" t="s">
        <v>213</v>
      </c>
      <c r="G144" s="18" t="s">
        <v>39</v>
      </c>
      <c r="H144" s="18">
        <v>0.3</v>
      </c>
      <c r="I144" s="20">
        <v>19.23</v>
      </c>
      <c r="J144" s="21">
        <v>0.3</v>
      </c>
      <c r="K144" s="20">
        <f t="shared" ca="1" si="3"/>
        <v>5.77</v>
      </c>
    </row>
    <row r="145" spans="2:11">
      <c r="B145" s="18" t="str">
        <f xml:space="preserve"> TRIM( "9782940439294" )</f>
        <v>9782940439294</v>
      </c>
      <c r="C145" s="18" t="s">
        <v>211</v>
      </c>
      <c r="D145" s="18" t="s">
        <v>212</v>
      </c>
      <c r="E145" s="18" t="s">
        <v>37</v>
      </c>
      <c r="F145" s="18" t="s">
        <v>213</v>
      </c>
      <c r="G145" s="18" t="s">
        <v>40</v>
      </c>
      <c r="H145" s="18">
        <v>0.35</v>
      </c>
      <c r="I145" s="20">
        <v>47.67</v>
      </c>
      <c r="J145" s="21">
        <v>0.35</v>
      </c>
      <c r="K145" s="20">
        <f t="shared" ca="1" si="3"/>
        <v>16.68</v>
      </c>
    </row>
    <row r="146" spans="2:11">
      <c r="B146" s="18" t="str">
        <f xml:space="preserve"> TRIM( "9782940439300" )</f>
        <v>9782940439300</v>
      </c>
      <c r="C146" s="18" t="s">
        <v>214</v>
      </c>
      <c r="D146" s="18" t="s">
        <v>215</v>
      </c>
      <c r="E146" s="18" t="s">
        <v>37</v>
      </c>
      <c r="F146" s="18" t="s">
        <v>216</v>
      </c>
      <c r="G146" s="18" t="s">
        <v>39</v>
      </c>
      <c r="H146" s="18">
        <v>0.3</v>
      </c>
      <c r="I146" s="20">
        <v>18.88</v>
      </c>
      <c r="J146" s="21">
        <v>0.3</v>
      </c>
      <c r="K146" s="20">
        <f t="shared" ca="1" si="3"/>
        <v>5.66</v>
      </c>
    </row>
    <row r="147" spans="2:11">
      <c r="B147" s="18" t="str">
        <f xml:space="preserve"> TRIM( "9782940439300" )</f>
        <v>9782940439300</v>
      </c>
      <c r="C147" s="18" t="s">
        <v>214</v>
      </c>
      <c r="D147" s="18" t="s">
        <v>215</v>
      </c>
      <c r="E147" s="18" t="s">
        <v>37</v>
      </c>
      <c r="F147" s="18" t="s">
        <v>216</v>
      </c>
      <c r="G147" s="18" t="s">
        <v>40</v>
      </c>
      <c r="H147" s="18">
        <v>0.35</v>
      </c>
      <c r="I147" s="20">
        <v>10</v>
      </c>
      <c r="J147" s="21">
        <v>0.35</v>
      </c>
      <c r="K147" s="20">
        <f t="shared" ca="1" si="3"/>
        <v>3.5</v>
      </c>
    </row>
    <row r="148" spans="2:11">
      <c r="B148" s="18" t="str">
        <f xml:space="preserve"> TRIM( "9782940439317" )</f>
        <v>9782940439317</v>
      </c>
      <c r="C148" s="18" t="s">
        <v>217</v>
      </c>
      <c r="D148" s="18" t="s">
        <v>218</v>
      </c>
      <c r="E148" s="18" t="s">
        <v>37</v>
      </c>
      <c r="F148" s="18" t="s">
        <v>219</v>
      </c>
      <c r="G148" s="18" t="s">
        <v>39</v>
      </c>
      <c r="H148" s="18">
        <v>0.3</v>
      </c>
      <c r="I148" s="20">
        <v>28.4</v>
      </c>
      <c r="J148" s="21">
        <v>0.3</v>
      </c>
      <c r="K148" s="20">
        <f t="shared" ca="1" si="3"/>
        <v>8.52</v>
      </c>
    </row>
    <row r="149" spans="2:11">
      <c r="B149" s="18" t="str">
        <f xml:space="preserve"> TRIM( "9782940439317" )</f>
        <v>9782940439317</v>
      </c>
      <c r="C149" s="18" t="s">
        <v>217</v>
      </c>
      <c r="D149" s="18" t="s">
        <v>218</v>
      </c>
      <c r="E149" s="18" t="s">
        <v>37</v>
      </c>
      <c r="F149" s="18" t="s">
        <v>219</v>
      </c>
      <c r="G149" s="18" t="s">
        <v>40</v>
      </c>
      <c r="H149" s="18">
        <v>0.35</v>
      </c>
      <c r="I149" s="20">
        <v>2.78</v>
      </c>
      <c r="J149" s="21">
        <v>0.35</v>
      </c>
      <c r="K149" s="20">
        <f t="shared" ca="1" si="3"/>
        <v>0.97</v>
      </c>
    </row>
    <row r="150" spans="2:11">
      <c r="B150" s="18" t="str">
        <f xml:space="preserve"> TRIM( "9782940439355" )</f>
        <v>9782940439355</v>
      </c>
      <c r="C150" s="18" t="s">
        <v>220</v>
      </c>
      <c r="D150" s="18" t="s">
        <v>221</v>
      </c>
      <c r="E150" s="18" t="s">
        <v>37</v>
      </c>
      <c r="F150" s="18" t="s">
        <v>48</v>
      </c>
      <c r="G150" s="18" t="s">
        <v>39</v>
      </c>
      <c r="H150" s="18">
        <v>0.3</v>
      </c>
      <c r="I150" s="20">
        <v>8.1999999999999993</v>
      </c>
      <c r="J150" s="21">
        <v>0.3</v>
      </c>
      <c r="K150" s="20">
        <f t="shared" ca="1" si="3"/>
        <v>2.46</v>
      </c>
    </row>
    <row r="151" spans="2:11">
      <c r="B151" s="18" t="str">
        <f xml:space="preserve"> TRIM( "9782940439355" )</f>
        <v>9782940439355</v>
      </c>
      <c r="C151" s="18" t="s">
        <v>220</v>
      </c>
      <c r="D151" s="18" t="s">
        <v>221</v>
      </c>
      <c r="E151" s="18" t="s">
        <v>37</v>
      </c>
      <c r="F151" s="18" t="s">
        <v>48</v>
      </c>
      <c r="G151" s="18" t="s">
        <v>40</v>
      </c>
      <c r="H151" s="18">
        <v>0.35</v>
      </c>
      <c r="I151" s="20">
        <v>12.16</v>
      </c>
      <c r="J151" s="21">
        <v>0.35</v>
      </c>
      <c r="K151" s="20">
        <f t="shared" ca="1" si="3"/>
        <v>4.26</v>
      </c>
    </row>
    <row r="152" spans="2:11">
      <c r="B152" s="18" t="str">
        <f xml:space="preserve"> TRIM( "9782940439362" )</f>
        <v>9782940439362</v>
      </c>
      <c r="C152" s="18" t="s">
        <v>222</v>
      </c>
      <c r="D152" s="18" t="s">
        <v>223</v>
      </c>
      <c r="E152" s="18" t="s">
        <v>37</v>
      </c>
      <c r="F152" s="18" t="s">
        <v>195</v>
      </c>
      <c r="G152" s="18" t="s">
        <v>39</v>
      </c>
      <c r="H152" s="18">
        <v>0.3</v>
      </c>
      <c r="I152" s="20">
        <v>4.4000000000000004</v>
      </c>
      <c r="J152" s="21">
        <v>0.3</v>
      </c>
      <c r="K152" s="20">
        <f t="shared" ca="1" si="3"/>
        <v>1.32</v>
      </c>
    </row>
    <row r="153" spans="2:11">
      <c r="B153" s="18" t="str">
        <f xml:space="preserve"> TRIM( "9782940439362" )</f>
        <v>9782940439362</v>
      </c>
      <c r="C153" s="18" t="s">
        <v>222</v>
      </c>
      <c r="D153" s="18" t="s">
        <v>223</v>
      </c>
      <c r="E153" s="18" t="s">
        <v>37</v>
      </c>
      <c r="F153" s="18" t="s">
        <v>195</v>
      </c>
      <c r="G153" s="18" t="s">
        <v>40</v>
      </c>
      <c r="H153" s="18">
        <v>0.35</v>
      </c>
      <c r="I153" s="20">
        <v>2.93</v>
      </c>
      <c r="J153" s="21">
        <v>0.35</v>
      </c>
      <c r="K153" s="20">
        <f t="shared" ca="1" si="3"/>
        <v>1.03</v>
      </c>
    </row>
    <row r="154" spans="2:11">
      <c r="B154" s="18" t="str">
        <f xml:space="preserve"> TRIM( "9782940439379" )</f>
        <v>9782940439379</v>
      </c>
      <c r="C154" s="18" t="s">
        <v>224</v>
      </c>
      <c r="D154" s="18" t="s">
        <v>225</v>
      </c>
      <c r="E154" s="18" t="s">
        <v>37</v>
      </c>
      <c r="F154" s="18" t="s">
        <v>118</v>
      </c>
      <c r="G154" s="18" t="s">
        <v>39</v>
      </c>
      <c r="H154" s="18">
        <v>0.3</v>
      </c>
      <c r="I154" s="20">
        <v>41.04</v>
      </c>
      <c r="J154" s="21">
        <v>0.3</v>
      </c>
      <c r="K154" s="20">
        <f t="shared" ca="1" si="3"/>
        <v>12.31</v>
      </c>
    </row>
    <row r="155" spans="2:11">
      <c r="B155" s="18" t="str">
        <f xml:space="preserve"> TRIM( "9782940439379" )</f>
        <v>9782940439379</v>
      </c>
      <c r="C155" s="18" t="s">
        <v>224</v>
      </c>
      <c r="D155" s="18" t="s">
        <v>225</v>
      </c>
      <c r="E155" s="18" t="s">
        <v>37</v>
      </c>
      <c r="F155" s="18" t="s">
        <v>118</v>
      </c>
      <c r="G155" s="18" t="s">
        <v>40</v>
      </c>
      <c r="H155" s="18">
        <v>0.35</v>
      </c>
      <c r="I155" s="20">
        <v>16.809999999999999</v>
      </c>
      <c r="J155" s="21">
        <v>0.35</v>
      </c>
      <c r="K155" s="20">
        <f t="shared" ca="1" si="3"/>
        <v>5.88</v>
      </c>
    </row>
    <row r="156" spans="2:11">
      <c r="B156" s="18" t="str">
        <f xml:space="preserve"> TRIM( "9782940439386" )</f>
        <v>9782940439386</v>
      </c>
      <c r="C156" s="18" t="s">
        <v>226</v>
      </c>
      <c r="D156" s="18" t="s">
        <v>227</v>
      </c>
      <c r="E156" s="18" t="s">
        <v>37</v>
      </c>
      <c r="F156" s="18" t="s">
        <v>68</v>
      </c>
      <c r="G156" s="18" t="s">
        <v>39</v>
      </c>
      <c r="H156" s="18">
        <v>0.3</v>
      </c>
      <c r="I156" s="20">
        <v>1455.57</v>
      </c>
      <c r="J156" s="21">
        <v>0.3</v>
      </c>
      <c r="K156" s="20">
        <f t="shared" ca="1" si="3"/>
        <v>436.67</v>
      </c>
    </row>
    <row r="157" spans="2:11">
      <c r="B157" s="18" t="str">
        <f xml:space="preserve"> TRIM( "9782940439386" )</f>
        <v>9782940439386</v>
      </c>
      <c r="C157" s="18" t="s">
        <v>226</v>
      </c>
      <c r="D157" s="18" t="s">
        <v>227</v>
      </c>
      <c r="E157" s="18" t="s">
        <v>37</v>
      </c>
      <c r="F157" s="18" t="s">
        <v>68</v>
      </c>
      <c r="G157" s="18" t="s">
        <v>40</v>
      </c>
      <c r="H157" s="18">
        <v>0.35</v>
      </c>
      <c r="I157" s="20">
        <v>34.799999999999997</v>
      </c>
      <c r="J157" s="21">
        <v>0.35</v>
      </c>
      <c r="K157" s="20">
        <f t="shared" ca="1" si="3"/>
        <v>12.18</v>
      </c>
    </row>
    <row r="158" spans="2:11">
      <c r="B158" s="18" t="str">
        <f xml:space="preserve"> TRIM( "9782940439393" )</f>
        <v>9782940439393</v>
      </c>
      <c r="C158" s="18" t="s">
        <v>228</v>
      </c>
      <c r="D158" s="18" t="s">
        <v>229</v>
      </c>
      <c r="E158" s="18" t="s">
        <v>37</v>
      </c>
      <c r="F158" s="18" t="s">
        <v>230</v>
      </c>
      <c r="G158" s="18" t="s">
        <v>39</v>
      </c>
      <c r="H158" s="18">
        <v>0.3</v>
      </c>
      <c r="I158" s="20">
        <v>26.16</v>
      </c>
      <c r="J158" s="21">
        <v>0.3</v>
      </c>
      <c r="K158" s="20">
        <f t="shared" ca="1" si="3"/>
        <v>7.85</v>
      </c>
    </row>
    <row r="159" spans="2:11">
      <c r="B159" s="18" t="str">
        <f xml:space="preserve"> TRIM( "9782940439393" )</f>
        <v>9782940439393</v>
      </c>
      <c r="C159" s="18" t="s">
        <v>228</v>
      </c>
      <c r="D159" s="18" t="s">
        <v>229</v>
      </c>
      <c r="E159" s="18" t="s">
        <v>37</v>
      </c>
      <c r="F159" s="18" t="s">
        <v>230</v>
      </c>
      <c r="G159" s="18" t="s">
        <v>40</v>
      </c>
      <c r="H159" s="18">
        <v>0.35</v>
      </c>
      <c r="I159" s="20">
        <v>5.48</v>
      </c>
      <c r="J159" s="21">
        <v>0.35</v>
      </c>
      <c r="K159" s="20">
        <f t="shared" ca="1" si="3"/>
        <v>1.92</v>
      </c>
    </row>
    <row r="160" spans="2:11">
      <c r="B160" s="18" t="str">
        <f xml:space="preserve"> TRIM( "9782940439409" )</f>
        <v>9782940439409</v>
      </c>
      <c r="C160" s="18" t="s">
        <v>231</v>
      </c>
      <c r="D160" s="18" t="s">
        <v>120</v>
      </c>
      <c r="E160" s="18" t="s">
        <v>37</v>
      </c>
      <c r="F160" s="18" t="s">
        <v>232</v>
      </c>
      <c r="G160" s="18" t="s">
        <v>39</v>
      </c>
      <c r="H160" s="18">
        <v>0.3</v>
      </c>
      <c r="I160" s="20">
        <v>4.08</v>
      </c>
      <c r="J160" s="21">
        <v>0.3</v>
      </c>
      <c r="K160" s="20">
        <f t="shared" ca="1" si="3"/>
        <v>1.22</v>
      </c>
    </row>
    <row r="161" spans="2:11">
      <c r="B161" s="18" t="str">
        <f xml:space="preserve"> TRIM( "9782940439409" )</f>
        <v>9782940439409</v>
      </c>
      <c r="C161" s="18" t="s">
        <v>231</v>
      </c>
      <c r="D161" s="18" t="s">
        <v>120</v>
      </c>
      <c r="E161" s="18" t="s">
        <v>37</v>
      </c>
      <c r="F161" s="18" t="s">
        <v>232</v>
      </c>
      <c r="G161" s="18" t="s">
        <v>40</v>
      </c>
      <c r="H161" s="18">
        <v>0.35</v>
      </c>
      <c r="I161" s="20">
        <v>4.41</v>
      </c>
      <c r="J161" s="21">
        <v>0.35</v>
      </c>
      <c r="K161" s="20">
        <f t="shared" ca="1" si="3"/>
        <v>1.54</v>
      </c>
    </row>
    <row r="162" spans="2:11">
      <c r="B162" s="18" t="str">
        <f xml:space="preserve"> TRIM( "9782940439416" )</f>
        <v>9782940439416</v>
      </c>
      <c r="C162" s="18" t="s">
        <v>233</v>
      </c>
      <c r="D162" s="18" t="s">
        <v>234</v>
      </c>
      <c r="E162" s="18" t="s">
        <v>37</v>
      </c>
      <c r="F162" s="18" t="s">
        <v>235</v>
      </c>
      <c r="G162" s="18" t="s">
        <v>39</v>
      </c>
      <c r="H162" s="18">
        <v>0.3</v>
      </c>
      <c r="I162" s="20">
        <v>4.66</v>
      </c>
      <c r="J162" s="21">
        <v>0.3</v>
      </c>
      <c r="K162" s="20">
        <f t="shared" ca="1" si="3"/>
        <v>1.4</v>
      </c>
    </row>
    <row r="163" spans="2:11">
      <c r="B163" s="18" t="str">
        <f xml:space="preserve"> TRIM( "9782940439416" )</f>
        <v>9782940439416</v>
      </c>
      <c r="C163" s="18" t="s">
        <v>233</v>
      </c>
      <c r="D163" s="18" t="s">
        <v>234</v>
      </c>
      <c r="E163" s="18" t="s">
        <v>37</v>
      </c>
      <c r="F163" s="18" t="s">
        <v>235</v>
      </c>
      <c r="G163" s="18" t="s">
        <v>40</v>
      </c>
      <c r="H163" s="18">
        <v>0.35</v>
      </c>
      <c r="I163" s="20">
        <v>0.94</v>
      </c>
      <c r="J163" s="21">
        <v>0.35</v>
      </c>
      <c r="K163" s="20">
        <f t="shared" ca="1" si="3"/>
        <v>0.33</v>
      </c>
    </row>
    <row r="164" spans="2:11">
      <c r="B164" s="18" t="str">
        <f xml:space="preserve"> TRIM( "9782940439430" )</f>
        <v>9782940439430</v>
      </c>
      <c r="C164" s="18" t="s">
        <v>236</v>
      </c>
      <c r="D164" s="18" t="s">
        <v>237</v>
      </c>
      <c r="E164" s="18" t="s">
        <v>37</v>
      </c>
      <c r="F164" s="18" t="s">
        <v>210</v>
      </c>
      <c r="G164" s="18" t="s">
        <v>39</v>
      </c>
      <c r="H164" s="18">
        <v>0.3</v>
      </c>
      <c r="I164" s="20">
        <v>5.98</v>
      </c>
      <c r="J164" s="21">
        <v>0.3</v>
      </c>
      <c r="K164" s="20">
        <f t="shared" ca="1" si="3"/>
        <v>1.79</v>
      </c>
    </row>
    <row r="165" spans="2:11">
      <c r="B165" s="18" t="str">
        <f xml:space="preserve"> TRIM( "9782940439447" )</f>
        <v>9782940439447</v>
      </c>
      <c r="C165" s="18" t="s">
        <v>238</v>
      </c>
      <c r="D165" s="18" t="s">
        <v>239</v>
      </c>
      <c r="E165" s="18" t="s">
        <v>37</v>
      </c>
      <c r="F165" s="18" t="s">
        <v>115</v>
      </c>
      <c r="G165" s="18" t="s">
        <v>39</v>
      </c>
      <c r="H165" s="18">
        <v>0.3</v>
      </c>
      <c r="I165" s="20">
        <v>19.649999999999999</v>
      </c>
      <c r="J165" s="21">
        <v>0.3</v>
      </c>
      <c r="K165" s="20">
        <f t="shared" ca="1" si="3"/>
        <v>5.9</v>
      </c>
    </row>
    <row r="166" spans="2:11">
      <c r="B166" s="18" t="str">
        <f xml:space="preserve"> TRIM( "9782940439447" )</f>
        <v>9782940439447</v>
      </c>
      <c r="C166" s="18" t="s">
        <v>238</v>
      </c>
      <c r="D166" s="18" t="s">
        <v>239</v>
      </c>
      <c r="E166" s="18" t="s">
        <v>37</v>
      </c>
      <c r="F166" s="18" t="s">
        <v>115</v>
      </c>
      <c r="G166" s="18" t="s">
        <v>40</v>
      </c>
      <c r="H166" s="18">
        <v>0.35</v>
      </c>
      <c r="I166" s="20">
        <v>16.59</v>
      </c>
      <c r="J166" s="21">
        <v>0.35</v>
      </c>
      <c r="K166" s="20">
        <f t="shared" ca="1" si="3"/>
        <v>5.81</v>
      </c>
    </row>
    <row r="167" spans="2:11">
      <c r="B167" s="18" t="str">
        <f xml:space="preserve"> TRIM( "9782940439454" )</f>
        <v>9782940439454</v>
      </c>
      <c r="C167" s="18" t="s">
        <v>240</v>
      </c>
      <c r="D167" s="18" t="s">
        <v>241</v>
      </c>
      <c r="E167" s="18" t="s">
        <v>37</v>
      </c>
      <c r="F167" s="18" t="s">
        <v>242</v>
      </c>
      <c r="G167" s="18" t="s">
        <v>39</v>
      </c>
      <c r="H167" s="18">
        <v>0.3</v>
      </c>
      <c r="I167" s="20">
        <v>17.87</v>
      </c>
      <c r="J167" s="21">
        <v>0.3</v>
      </c>
      <c r="K167" s="20">
        <f t="shared" ca="1" si="3"/>
        <v>5.36</v>
      </c>
    </row>
    <row r="168" spans="2:11">
      <c r="B168" s="18" t="str">
        <f xml:space="preserve"> TRIM( "9782940439454" )</f>
        <v>9782940439454</v>
      </c>
      <c r="C168" s="18" t="s">
        <v>240</v>
      </c>
      <c r="D168" s="18" t="s">
        <v>241</v>
      </c>
      <c r="E168" s="18" t="s">
        <v>37</v>
      </c>
      <c r="F168" s="18" t="s">
        <v>242</v>
      </c>
      <c r="G168" s="18" t="s">
        <v>40</v>
      </c>
      <c r="H168" s="18">
        <v>0.35</v>
      </c>
      <c r="I168" s="20">
        <v>0.1</v>
      </c>
      <c r="J168" s="21">
        <v>0.35</v>
      </c>
      <c r="K168" s="20">
        <f t="shared" ca="1" si="3"/>
        <v>0.04</v>
      </c>
    </row>
    <row r="169" spans="2:11">
      <c r="B169" s="18" t="str">
        <f xml:space="preserve"> TRIM( "9782940439478" )</f>
        <v>9782940439478</v>
      </c>
      <c r="C169" s="18" t="s">
        <v>243</v>
      </c>
      <c r="D169" s="18" t="s">
        <v>244</v>
      </c>
      <c r="E169" s="18" t="s">
        <v>37</v>
      </c>
      <c r="F169" s="18" t="s">
        <v>245</v>
      </c>
      <c r="G169" s="18" t="s">
        <v>39</v>
      </c>
      <c r="H169" s="18">
        <v>0.3</v>
      </c>
      <c r="I169" s="20">
        <v>9.3000000000000007</v>
      </c>
      <c r="J169" s="21">
        <v>0.3</v>
      </c>
      <c r="K169" s="20">
        <f t="shared" ca="1" si="3"/>
        <v>2.79</v>
      </c>
    </row>
    <row r="170" spans="2:11">
      <c r="B170" s="18" t="str">
        <f xml:space="preserve"> TRIM( "9782940439478" )</f>
        <v>9782940439478</v>
      </c>
      <c r="C170" s="18" t="s">
        <v>243</v>
      </c>
      <c r="D170" s="18" t="s">
        <v>244</v>
      </c>
      <c r="E170" s="18" t="s">
        <v>37</v>
      </c>
      <c r="F170" s="18" t="s">
        <v>245</v>
      </c>
      <c r="G170" s="18" t="s">
        <v>40</v>
      </c>
      <c r="H170" s="18">
        <v>0.35</v>
      </c>
      <c r="I170" s="20">
        <v>2.66</v>
      </c>
      <c r="J170" s="21">
        <v>0.35</v>
      </c>
      <c r="K170" s="20">
        <f t="shared" ca="1" si="3"/>
        <v>0.93</v>
      </c>
    </row>
    <row r="171" spans="2:11">
      <c r="B171" s="18" t="str">
        <f xml:space="preserve"> TRIM( "9782940439485" )</f>
        <v>9782940439485</v>
      </c>
      <c r="C171" s="18" t="s">
        <v>246</v>
      </c>
      <c r="D171" s="18" t="s">
        <v>247</v>
      </c>
      <c r="E171" s="18" t="s">
        <v>37</v>
      </c>
      <c r="F171" s="18" t="s">
        <v>207</v>
      </c>
      <c r="G171" s="18" t="s">
        <v>39</v>
      </c>
      <c r="H171" s="18">
        <v>0.3</v>
      </c>
      <c r="I171" s="20">
        <v>2649.85</v>
      </c>
      <c r="J171" s="21">
        <v>0.3</v>
      </c>
      <c r="K171" s="20">
        <f t="shared" ca="1" si="3"/>
        <v>794.96</v>
      </c>
    </row>
    <row r="172" spans="2:11">
      <c r="B172" s="18" t="str">
        <f xml:space="preserve"> TRIM( "9782940439485" )</f>
        <v>9782940439485</v>
      </c>
      <c r="C172" s="18" t="s">
        <v>246</v>
      </c>
      <c r="D172" s="18" t="s">
        <v>247</v>
      </c>
      <c r="E172" s="18" t="s">
        <v>37</v>
      </c>
      <c r="F172" s="18" t="s">
        <v>207</v>
      </c>
      <c r="G172" s="18" t="s">
        <v>40</v>
      </c>
      <c r="H172" s="18">
        <v>0.35</v>
      </c>
      <c r="I172" s="20">
        <v>29.73</v>
      </c>
      <c r="J172" s="21">
        <v>0.35</v>
      </c>
      <c r="K172" s="20">
        <f t="shared" ca="1" si="3"/>
        <v>10.41</v>
      </c>
    </row>
    <row r="173" spans="2:11">
      <c r="B173" s="18" t="str">
        <f xml:space="preserve"> TRIM( "9782940439492" )</f>
        <v>9782940439492</v>
      </c>
      <c r="C173" s="18" t="s">
        <v>248</v>
      </c>
      <c r="D173" s="18" t="s">
        <v>249</v>
      </c>
      <c r="E173" s="18" t="s">
        <v>37</v>
      </c>
      <c r="F173" s="18" t="s">
        <v>250</v>
      </c>
      <c r="G173" s="18" t="s">
        <v>39</v>
      </c>
      <c r="H173" s="18">
        <v>0.3</v>
      </c>
      <c r="I173" s="20">
        <v>147.08000000000001</v>
      </c>
      <c r="J173" s="21">
        <v>0.3</v>
      </c>
      <c r="K173" s="20">
        <f t="shared" ca="1" si="3"/>
        <v>44.12</v>
      </c>
    </row>
    <row r="174" spans="2:11">
      <c r="B174" s="18" t="str">
        <f xml:space="preserve"> TRIM( "9782940439492" )</f>
        <v>9782940439492</v>
      </c>
      <c r="C174" s="18" t="s">
        <v>248</v>
      </c>
      <c r="D174" s="18" t="s">
        <v>249</v>
      </c>
      <c r="E174" s="18" t="s">
        <v>37</v>
      </c>
      <c r="F174" s="18" t="s">
        <v>250</v>
      </c>
      <c r="G174" s="18" t="s">
        <v>40</v>
      </c>
      <c r="H174" s="18">
        <v>0.35</v>
      </c>
      <c r="I174" s="20">
        <v>6.85</v>
      </c>
      <c r="J174" s="21">
        <v>0.35</v>
      </c>
      <c r="K174" s="20">
        <f t="shared" ca="1" si="3"/>
        <v>2.4</v>
      </c>
    </row>
    <row r="175" spans="2:11">
      <c r="B175" s="18" t="str">
        <f xml:space="preserve"> TRIM( "9782940439522" )</f>
        <v>9782940439522</v>
      </c>
      <c r="C175" s="18" t="s">
        <v>251</v>
      </c>
      <c r="D175" s="18" t="s">
        <v>252</v>
      </c>
      <c r="E175" s="18" t="s">
        <v>37</v>
      </c>
      <c r="F175" s="18" t="s">
        <v>68</v>
      </c>
      <c r="G175" s="18" t="s">
        <v>39</v>
      </c>
      <c r="H175" s="18">
        <v>0.3</v>
      </c>
      <c r="I175" s="20">
        <v>249.16</v>
      </c>
      <c r="J175" s="21">
        <v>0.3</v>
      </c>
      <c r="K175" s="20">
        <f t="shared" ca="1" si="3"/>
        <v>74.75</v>
      </c>
    </row>
    <row r="176" spans="2:11">
      <c r="B176" s="18" t="str">
        <f xml:space="preserve"> TRIM( "9782940439522" )</f>
        <v>9782940439522</v>
      </c>
      <c r="C176" s="18" t="s">
        <v>251</v>
      </c>
      <c r="D176" s="18" t="s">
        <v>252</v>
      </c>
      <c r="E176" s="18" t="s">
        <v>37</v>
      </c>
      <c r="F176" s="18" t="s">
        <v>68</v>
      </c>
      <c r="G176" s="18" t="s">
        <v>40</v>
      </c>
      <c r="H176" s="18">
        <v>0.35</v>
      </c>
      <c r="I176" s="20">
        <v>11.94</v>
      </c>
      <c r="J176" s="21">
        <v>0.35</v>
      </c>
      <c r="K176" s="20">
        <f t="shared" ca="1" si="3"/>
        <v>4.18</v>
      </c>
    </row>
    <row r="177" spans="2:11">
      <c r="B177" s="18" t="str">
        <f xml:space="preserve"> TRIM( "9782940439539" )</f>
        <v>9782940439539</v>
      </c>
      <c r="C177" s="18" t="s">
        <v>253</v>
      </c>
      <c r="D177" s="18" t="s">
        <v>254</v>
      </c>
      <c r="E177" s="18" t="s">
        <v>37</v>
      </c>
      <c r="F177" s="18" t="s">
        <v>255</v>
      </c>
      <c r="G177" s="18" t="s">
        <v>39</v>
      </c>
      <c r="H177" s="18">
        <v>0.3</v>
      </c>
      <c r="I177" s="20">
        <v>14.61</v>
      </c>
      <c r="J177" s="21">
        <v>0.3</v>
      </c>
      <c r="K177" s="20">
        <f t="shared" ca="1" si="3"/>
        <v>4.38</v>
      </c>
    </row>
    <row r="178" spans="2:11">
      <c r="B178" s="18" t="str">
        <f xml:space="preserve"> TRIM( "9782940439539" )</f>
        <v>9782940439539</v>
      </c>
      <c r="C178" s="18" t="s">
        <v>253</v>
      </c>
      <c r="D178" s="18" t="s">
        <v>254</v>
      </c>
      <c r="E178" s="18" t="s">
        <v>37</v>
      </c>
      <c r="F178" s="18" t="s">
        <v>255</v>
      </c>
      <c r="G178" s="18" t="s">
        <v>40</v>
      </c>
      <c r="H178" s="18">
        <v>0.35</v>
      </c>
      <c r="I178" s="20">
        <v>4.83</v>
      </c>
      <c r="J178" s="21">
        <v>0.35</v>
      </c>
      <c r="K178" s="20">
        <f t="shared" ca="1" si="3"/>
        <v>1.69</v>
      </c>
    </row>
    <row r="179" spans="2:11">
      <c r="B179" s="18" t="str">
        <f xml:space="preserve"> TRIM( "9782940439553" )</f>
        <v>9782940439553</v>
      </c>
      <c r="C179" s="18" t="s">
        <v>256</v>
      </c>
      <c r="D179" s="18" t="s">
        <v>257</v>
      </c>
      <c r="E179" s="18" t="s">
        <v>37</v>
      </c>
      <c r="F179" s="18" t="s">
        <v>258</v>
      </c>
      <c r="G179" s="18" t="s">
        <v>39</v>
      </c>
      <c r="H179" s="18">
        <v>0.3</v>
      </c>
      <c r="I179" s="20">
        <v>28.13</v>
      </c>
      <c r="J179" s="21">
        <v>0.3</v>
      </c>
      <c r="K179" s="20">
        <f t="shared" ca="1" si="3"/>
        <v>8.44</v>
      </c>
    </row>
    <row r="180" spans="2:11">
      <c r="B180" s="18" t="str">
        <f xml:space="preserve"> TRIM( "9782940439553" )</f>
        <v>9782940439553</v>
      </c>
      <c r="C180" s="18" t="s">
        <v>256</v>
      </c>
      <c r="D180" s="18" t="s">
        <v>257</v>
      </c>
      <c r="E180" s="18" t="s">
        <v>37</v>
      </c>
      <c r="F180" s="18" t="s">
        <v>258</v>
      </c>
      <c r="G180" s="18" t="s">
        <v>40</v>
      </c>
      <c r="H180" s="18">
        <v>0.35</v>
      </c>
      <c r="I180" s="20">
        <v>9.35</v>
      </c>
      <c r="J180" s="21">
        <v>0.35</v>
      </c>
      <c r="K180" s="20">
        <f t="shared" ca="1" si="3"/>
        <v>3.27</v>
      </c>
    </row>
    <row r="181" spans="2:11">
      <c r="B181" s="18" t="str">
        <f xml:space="preserve"> TRIM( "9782940439560" )</f>
        <v>9782940439560</v>
      </c>
      <c r="C181" s="18" t="s">
        <v>259</v>
      </c>
      <c r="D181" s="18" t="s">
        <v>260</v>
      </c>
      <c r="E181" s="18" t="s">
        <v>37</v>
      </c>
      <c r="F181" s="18" t="s">
        <v>261</v>
      </c>
      <c r="G181" s="18" t="s">
        <v>39</v>
      </c>
      <c r="H181" s="18">
        <v>0.3</v>
      </c>
      <c r="I181" s="20">
        <v>31.28</v>
      </c>
      <c r="J181" s="21">
        <v>0.3</v>
      </c>
      <c r="K181" s="20">
        <f t="shared" ca="1" si="3"/>
        <v>9.3800000000000008</v>
      </c>
    </row>
    <row r="182" spans="2:11">
      <c r="B182" s="18" t="str">
        <f xml:space="preserve"> TRIM( "9782940439560" )</f>
        <v>9782940439560</v>
      </c>
      <c r="C182" s="18" t="s">
        <v>259</v>
      </c>
      <c r="D182" s="18" t="s">
        <v>260</v>
      </c>
      <c r="E182" s="18" t="s">
        <v>37</v>
      </c>
      <c r="F182" s="18" t="s">
        <v>261</v>
      </c>
      <c r="G182" s="18" t="s">
        <v>40</v>
      </c>
      <c r="H182" s="18">
        <v>0.35</v>
      </c>
      <c r="I182" s="20">
        <v>2.52</v>
      </c>
      <c r="J182" s="21">
        <v>0.35</v>
      </c>
      <c r="K182" s="20">
        <f t="shared" ca="1" si="3"/>
        <v>0.88</v>
      </c>
    </row>
    <row r="183" spans="2:11">
      <c r="B183" s="18" t="str">
        <f xml:space="preserve"> TRIM( "9782940439577" )</f>
        <v>9782940439577</v>
      </c>
      <c r="C183" s="18" t="s">
        <v>262</v>
      </c>
      <c r="D183" s="18" t="s">
        <v>263</v>
      </c>
      <c r="E183" s="18" t="s">
        <v>37</v>
      </c>
      <c r="F183" s="18" t="s">
        <v>151</v>
      </c>
      <c r="G183" s="18" t="s">
        <v>39</v>
      </c>
      <c r="H183" s="18">
        <v>0.3</v>
      </c>
      <c r="I183" s="20">
        <v>11.79</v>
      </c>
      <c r="J183" s="21">
        <v>0.3</v>
      </c>
      <c r="K183" s="20">
        <f t="shared" ca="1" si="3"/>
        <v>3.54</v>
      </c>
    </row>
    <row r="184" spans="2:11">
      <c r="B184" s="18" t="str">
        <f xml:space="preserve"> TRIM( "9782940439584" )</f>
        <v>9782940439584</v>
      </c>
      <c r="C184" s="18" t="s">
        <v>264</v>
      </c>
      <c r="D184" s="18" t="s">
        <v>265</v>
      </c>
      <c r="E184" s="18" t="s">
        <v>37</v>
      </c>
      <c r="F184" s="18" t="s">
        <v>266</v>
      </c>
      <c r="G184" s="18" t="s">
        <v>39</v>
      </c>
      <c r="H184" s="18">
        <v>0.3</v>
      </c>
      <c r="I184" s="20">
        <v>37.06</v>
      </c>
      <c r="J184" s="21">
        <v>0.3</v>
      </c>
      <c r="K184" s="20">
        <f t="shared" ca="1" si="3"/>
        <v>11.12</v>
      </c>
    </row>
    <row r="185" spans="2:11">
      <c r="B185" s="18" t="str">
        <f xml:space="preserve"> TRIM( "9782940439584" )</f>
        <v>9782940439584</v>
      </c>
      <c r="C185" s="18" t="s">
        <v>264</v>
      </c>
      <c r="D185" s="18" t="s">
        <v>265</v>
      </c>
      <c r="E185" s="18" t="s">
        <v>37</v>
      </c>
      <c r="F185" s="18" t="s">
        <v>266</v>
      </c>
      <c r="G185" s="18" t="s">
        <v>40</v>
      </c>
      <c r="H185" s="18">
        <v>0.35</v>
      </c>
      <c r="I185" s="20">
        <v>34.28</v>
      </c>
      <c r="J185" s="21">
        <v>0.35</v>
      </c>
      <c r="K185" s="20">
        <f t="shared" ca="1" si="3"/>
        <v>12</v>
      </c>
    </row>
    <row r="186" spans="2:11">
      <c r="B186" s="18" t="str">
        <f xml:space="preserve"> TRIM( "9782940439607" )</f>
        <v>9782940439607</v>
      </c>
      <c r="C186" s="18" t="s">
        <v>267</v>
      </c>
      <c r="D186" s="18" t="s">
        <v>268</v>
      </c>
      <c r="E186" s="18" t="s">
        <v>37</v>
      </c>
      <c r="F186" s="18" t="s">
        <v>195</v>
      </c>
      <c r="G186" s="18" t="s">
        <v>39</v>
      </c>
      <c r="H186" s="18">
        <v>0.3</v>
      </c>
      <c r="I186" s="20">
        <v>11.54</v>
      </c>
      <c r="J186" s="21">
        <v>0.3</v>
      </c>
      <c r="K186" s="20">
        <f t="shared" ca="1" si="3"/>
        <v>3.46</v>
      </c>
    </row>
    <row r="187" spans="2:11">
      <c r="B187" s="18" t="str">
        <f xml:space="preserve"> TRIM( "9782940439607" )</f>
        <v>9782940439607</v>
      </c>
      <c r="C187" s="18" t="s">
        <v>267</v>
      </c>
      <c r="D187" s="18" t="s">
        <v>268</v>
      </c>
      <c r="E187" s="18" t="s">
        <v>37</v>
      </c>
      <c r="F187" s="18" t="s">
        <v>195</v>
      </c>
      <c r="G187" s="18" t="s">
        <v>40</v>
      </c>
      <c r="H187" s="18">
        <v>0.35</v>
      </c>
      <c r="I187" s="20">
        <v>9.69</v>
      </c>
      <c r="J187" s="21">
        <v>0.35</v>
      </c>
      <c r="K187" s="20">
        <f t="shared" ca="1" si="3"/>
        <v>3.39</v>
      </c>
    </row>
    <row r="188" spans="2:11">
      <c r="B188" s="18" t="str">
        <f xml:space="preserve"> TRIM( "9782940439614" )</f>
        <v>9782940439614</v>
      </c>
      <c r="C188" s="18" t="s">
        <v>269</v>
      </c>
      <c r="D188" s="18" t="s">
        <v>270</v>
      </c>
      <c r="E188" s="18" t="s">
        <v>37</v>
      </c>
      <c r="F188" s="18" t="s">
        <v>271</v>
      </c>
      <c r="G188" s="18" t="s">
        <v>39</v>
      </c>
      <c r="H188" s="18">
        <v>0.3</v>
      </c>
      <c r="I188" s="20">
        <v>20.2</v>
      </c>
      <c r="J188" s="21">
        <v>0.3</v>
      </c>
      <c r="K188" s="20">
        <f t="shared" ca="1" si="3"/>
        <v>6.06</v>
      </c>
    </row>
    <row r="189" spans="2:11">
      <c r="B189" s="18" t="str">
        <f xml:space="preserve"> TRIM( "9782940439614" )</f>
        <v>9782940439614</v>
      </c>
      <c r="C189" s="18" t="s">
        <v>269</v>
      </c>
      <c r="D189" s="18" t="s">
        <v>270</v>
      </c>
      <c r="E189" s="18" t="s">
        <v>37</v>
      </c>
      <c r="F189" s="18" t="s">
        <v>271</v>
      </c>
      <c r="G189" s="18" t="s">
        <v>40</v>
      </c>
      <c r="H189" s="18">
        <v>0.35</v>
      </c>
      <c r="I189" s="20">
        <v>0.93</v>
      </c>
      <c r="J189" s="21">
        <v>0.35</v>
      </c>
      <c r="K189" s="20">
        <f t="shared" ca="1" si="3"/>
        <v>0.33</v>
      </c>
    </row>
    <row r="190" spans="2:11">
      <c r="B190" s="18" t="str">
        <f xml:space="preserve"> TRIM( "9782940439621" )</f>
        <v>9782940439621</v>
      </c>
      <c r="C190" s="18" t="s">
        <v>272</v>
      </c>
      <c r="D190" s="18" t="s">
        <v>120</v>
      </c>
      <c r="E190" s="18" t="s">
        <v>37</v>
      </c>
      <c r="F190" s="18" t="s">
        <v>232</v>
      </c>
      <c r="G190" s="18" t="s">
        <v>39</v>
      </c>
      <c r="H190" s="18">
        <v>0.3</v>
      </c>
      <c r="I190" s="20">
        <v>4.08</v>
      </c>
      <c r="J190" s="21">
        <v>0.3</v>
      </c>
      <c r="K190" s="20">
        <f t="shared" ca="1" si="3"/>
        <v>1.22</v>
      </c>
    </row>
    <row r="191" spans="2:11">
      <c r="B191" s="18" t="str">
        <f xml:space="preserve"> TRIM( "9782940439638" )</f>
        <v>9782940439638</v>
      </c>
      <c r="C191" s="18" t="s">
        <v>273</v>
      </c>
      <c r="D191" s="18" t="s">
        <v>274</v>
      </c>
      <c r="E191" s="18" t="s">
        <v>37</v>
      </c>
      <c r="F191" s="18" t="s">
        <v>210</v>
      </c>
      <c r="G191" s="18" t="s">
        <v>39</v>
      </c>
      <c r="H191" s="18">
        <v>0.3</v>
      </c>
      <c r="I191" s="20">
        <v>15.14</v>
      </c>
      <c r="J191" s="21">
        <v>0.3</v>
      </c>
      <c r="K191" s="20">
        <f t="shared" ca="1" si="3"/>
        <v>4.54</v>
      </c>
    </row>
    <row r="192" spans="2:11">
      <c r="B192" s="18" t="str">
        <f xml:space="preserve"> TRIM( "9782940439638" )</f>
        <v>9782940439638</v>
      </c>
      <c r="C192" s="18" t="s">
        <v>273</v>
      </c>
      <c r="D192" s="18" t="s">
        <v>274</v>
      </c>
      <c r="E192" s="18" t="s">
        <v>37</v>
      </c>
      <c r="F192" s="18" t="s">
        <v>210</v>
      </c>
      <c r="G192" s="18" t="s">
        <v>40</v>
      </c>
      <c r="H192" s="18">
        <v>0.35</v>
      </c>
      <c r="I192" s="20">
        <v>5.35</v>
      </c>
      <c r="J192" s="21">
        <v>0.35</v>
      </c>
      <c r="K192" s="20">
        <f t="shared" ca="1" si="3"/>
        <v>1.87</v>
      </c>
    </row>
    <row r="193" spans="2:11">
      <c r="B193" s="18" t="str">
        <f xml:space="preserve"> TRIM( "9782940439652" )</f>
        <v>9782940439652</v>
      </c>
      <c r="C193" s="18" t="s">
        <v>275</v>
      </c>
      <c r="D193" s="18" t="s">
        <v>276</v>
      </c>
      <c r="E193" s="18" t="s">
        <v>37</v>
      </c>
      <c r="F193" s="18" t="s">
        <v>68</v>
      </c>
      <c r="G193" s="18" t="s">
        <v>39</v>
      </c>
      <c r="H193" s="18">
        <v>0.3</v>
      </c>
      <c r="I193" s="20">
        <v>104.11</v>
      </c>
      <c r="J193" s="21">
        <v>0.3</v>
      </c>
      <c r="K193" s="20">
        <f t="shared" ca="1" si="3"/>
        <v>31.23</v>
      </c>
    </row>
    <row r="194" spans="2:11">
      <c r="B194" s="18" t="str">
        <f xml:space="preserve"> TRIM( "9782940439652" )</f>
        <v>9782940439652</v>
      </c>
      <c r="C194" s="18" t="s">
        <v>275</v>
      </c>
      <c r="D194" s="18" t="s">
        <v>276</v>
      </c>
      <c r="E194" s="18" t="s">
        <v>37</v>
      </c>
      <c r="F194" s="18" t="s">
        <v>68</v>
      </c>
      <c r="G194" s="18" t="s">
        <v>40</v>
      </c>
      <c r="H194" s="18">
        <v>0.35</v>
      </c>
      <c r="I194" s="20">
        <v>38.42</v>
      </c>
      <c r="J194" s="21">
        <v>0.35</v>
      </c>
      <c r="K194" s="20">
        <f t="shared" ca="1" si="3"/>
        <v>13.45</v>
      </c>
    </row>
    <row r="195" spans="2:11">
      <c r="B195" s="18" t="str">
        <f xml:space="preserve"> TRIM( "9782940439669" )</f>
        <v>9782940439669</v>
      </c>
      <c r="C195" s="18" t="s">
        <v>277</v>
      </c>
      <c r="D195" s="18" t="s">
        <v>278</v>
      </c>
      <c r="E195" s="18" t="s">
        <v>37</v>
      </c>
      <c r="F195" s="18" t="s">
        <v>68</v>
      </c>
      <c r="G195" s="18" t="s">
        <v>39</v>
      </c>
      <c r="H195" s="18">
        <v>0.3</v>
      </c>
      <c r="I195" s="20">
        <v>7.58</v>
      </c>
      <c r="J195" s="21">
        <v>0.3</v>
      </c>
      <c r="K195" s="20">
        <f t="shared" ca="1" si="3"/>
        <v>2.27</v>
      </c>
    </row>
    <row r="196" spans="2:11">
      <c r="B196" s="18" t="str">
        <f xml:space="preserve"> TRIM( "9782940439669" )</f>
        <v>9782940439669</v>
      </c>
      <c r="C196" s="18" t="s">
        <v>277</v>
      </c>
      <c r="D196" s="18" t="s">
        <v>278</v>
      </c>
      <c r="E196" s="18" t="s">
        <v>37</v>
      </c>
      <c r="F196" s="18" t="s">
        <v>68</v>
      </c>
      <c r="G196" s="18" t="s">
        <v>40</v>
      </c>
      <c r="H196" s="18">
        <v>0.35</v>
      </c>
      <c r="I196" s="20">
        <v>0.38</v>
      </c>
      <c r="J196" s="21">
        <v>0.35</v>
      </c>
      <c r="K196" s="20">
        <f t="shared" ca="1" si="3"/>
        <v>0.13</v>
      </c>
    </row>
    <row r="197" spans="2:11">
      <c r="B197" s="18" t="str">
        <f xml:space="preserve"> TRIM( "9782940439676" )</f>
        <v>9782940439676</v>
      </c>
      <c r="C197" s="18" t="s">
        <v>279</v>
      </c>
      <c r="D197" s="18" t="s">
        <v>280</v>
      </c>
      <c r="E197" s="18" t="s">
        <v>37</v>
      </c>
      <c r="F197" s="18" t="s">
        <v>281</v>
      </c>
      <c r="G197" s="18" t="s">
        <v>39</v>
      </c>
      <c r="H197" s="18">
        <v>0.3</v>
      </c>
      <c r="I197" s="20">
        <v>136.06</v>
      </c>
      <c r="J197" s="21">
        <v>0.3</v>
      </c>
      <c r="K197" s="20">
        <f t="shared" ca="1" si="3"/>
        <v>40.82</v>
      </c>
    </row>
    <row r="198" spans="2:11">
      <c r="B198" s="18" t="str">
        <f xml:space="preserve"> TRIM( "9782940439676" )</f>
        <v>9782940439676</v>
      </c>
      <c r="C198" s="18" t="s">
        <v>279</v>
      </c>
      <c r="D198" s="18" t="s">
        <v>280</v>
      </c>
      <c r="E198" s="18" t="s">
        <v>37</v>
      </c>
      <c r="F198" s="18" t="s">
        <v>281</v>
      </c>
      <c r="G198" s="18" t="s">
        <v>40</v>
      </c>
      <c r="H198" s="18">
        <v>0.35</v>
      </c>
      <c r="I198" s="20">
        <v>18.37</v>
      </c>
      <c r="J198" s="21">
        <v>0.35</v>
      </c>
      <c r="K198" s="20">
        <f t="shared" ca="1" si="3"/>
        <v>6.43</v>
      </c>
    </row>
    <row r="199" spans="2:11">
      <c r="B199" s="18" t="str">
        <f xml:space="preserve"> TRIM( "9782940439683" )</f>
        <v>9782940439683</v>
      </c>
      <c r="C199" s="18" t="s">
        <v>282</v>
      </c>
      <c r="D199" s="18" t="s">
        <v>283</v>
      </c>
      <c r="E199" s="18" t="s">
        <v>37</v>
      </c>
      <c r="F199" s="18" t="s">
        <v>284</v>
      </c>
      <c r="G199" s="18" t="s">
        <v>39</v>
      </c>
      <c r="H199" s="18">
        <v>0.3</v>
      </c>
      <c r="I199" s="20">
        <v>20.93</v>
      </c>
      <c r="J199" s="21">
        <v>0.3</v>
      </c>
      <c r="K199" s="20">
        <f t="shared" ca="1" si="3"/>
        <v>6.28</v>
      </c>
    </row>
    <row r="200" spans="2:11">
      <c r="B200" s="18" t="str">
        <f xml:space="preserve"> TRIM( "9782940439683" )</f>
        <v>9782940439683</v>
      </c>
      <c r="C200" s="18" t="s">
        <v>282</v>
      </c>
      <c r="D200" s="18" t="s">
        <v>283</v>
      </c>
      <c r="E200" s="18" t="s">
        <v>37</v>
      </c>
      <c r="F200" s="18" t="s">
        <v>284</v>
      </c>
      <c r="G200" s="18" t="s">
        <v>40</v>
      </c>
      <c r="H200" s="18">
        <v>0.35</v>
      </c>
      <c r="I200" s="20">
        <v>2.64</v>
      </c>
      <c r="J200" s="21">
        <v>0.35</v>
      </c>
      <c r="K200" s="20">
        <f t="shared" ca="1" si="3"/>
        <v>0.92</v>
      </c>
    </row>
    <row r="201" spans="2:11">
      <c r="B201" s="18" t="str">
        <f xml:space="preserve"> TRIM( "9782940439690" )</f>
        <v>9782940439690</v>
      </c>
      <c r="C201" s="18" t="s">
        <v>285</v>
      </c>
      <c r="D201" s="18" t="s">
        <v>286</v>
      </c>
      <c r="E201" s="18" t="s">
        <v>37</v>
      </c>
      <c r="F201" s="18" t="s">
        <v>68</v>
      </c>
      <c r="G201" s="18" t="s">
        <v>39</v>
      </c>
      <c r="H201" s="18">
        <v>0.3</v>
      </c>
      <c r="I201" s="20">
        <v>174.86</v>
      </c>
      <c r="J201" s="21">
        <v>0.3</v>
      </c>
      <c r="K201" s="20">
        <f t="shared" ca="1" si="3"/>
        <v>52.46</v>
      </c>
    </row>
    <row r="202" spans="2:11">
      <c r="B202" s="18" t="str">
        <f xml:space="preserve"> TRIM( "9782940439690" )</f>
        <v>9782940439690</v>
      </c>
      <c r="C202" s="18" t="s">
        <v>285</v>
      </c>
      <c r="D202" s="18" t="s">
        <v>286</v>
      </c>
      <c r="E202" s="18" t="s">
        <v>37</v>
      </c>
      <c r="F202" s="18" t="s">
        <v>68</v>
      </c>
      <c r="G202" s="18" t="s">
        <v>40</v>
      </c>
      <c r="H202" s="18">
        <v>0.35</v>
      </c>
      <c r="I202" s="20">
        <v>74.09</v>
      </c>
      <c r="J202" s="21">
        <v>0.35</v>
      </c>
      <c r="K202" s="20">
        <f t="shared" ca="1" si="3"/>
        <v>25.93</v>
      </c>
    </row>
    <row r="203" spans="2:11">
      <c r="B203" s="18" t="str">
        <f xml:space="preserve"> TRIM( "9782940439737" )</f>
        <v>9782940439737</v>
      </c>
      <c r="C203" s="18" t="s">
        <v>287</v>
      </c>
      <c r="D203" s="18" t="s">
        <v>288</v>
      </c>
      <c r="E203" s="18" t="s">
        <v>37</v>
      </c>
      <c r="F203" s="18" t="s">
        <v>289</v>
      </c>
      <c r="G203" s="18" t="s">
        <v>39</v>
      </c>
      <c r="H203" s="18">
        <v>0.3</v>
      </c>
      <c r="I203" s="20">
        <v>349.17</v>
      </c>
      <c r="J203" s="21">
        <v>0.3</v>
      </c>
      <c r="K203" s="20">
        <f t="shared" ca="1" si="3"/>
        <v>104.75</v>
      </c>
    </row>
    <row r="204" spans="2:11">
      <c r="B204" s="18" t="str">
        <f xml:space="preserve"> TRIM( "9782940439737" )</f>
        <v>9782940439737</v>
      </c>
      <c r="C204" s="18" t="s">
        <v>287</v>
      </c>
      <c r="D204" s="18" t="s">
        <v>288</v>
      </c>
      <c r="E204" s="18" t="s">
        <v>37</v>
      </c>
      <c r="F204" s="18" t="s">
        <v>289</v>
      </c>
      <c r="G204" s="18" t="s">
        <v>40</v>
      </c>
      <c r="H204" s="18">
        <v>0.35</v>
      </c>
      <c r="I204" s="20">
        <v>37.67</v>
      </c>
      <c r="J204" s="21">
        <v>0.35</v>
      </c>
      <c r="K204" s="20">
        <f t="shared" ca="1" si="3"/>
        <v>13.18</v>
      </c>
    </row>
    <row r="205" spans="2:11">
      <c r="B205" s="18" t="str">
        <f xml:space="preserve"> TRIM( "9782940439744" )</f>
        <v>9782940439744</v>
      </c>
      <c r="C205" s="18" t="s">
        <v>290</v>
      </c>
      <c r="D205" s="18" t="s">
        <v>291</v>
      </c>
      <c r="E205" s="18" t="s">
        <v>37</v>
      </c>
      <c r="F205" s="18" t="s">
        <v>292</v>
      </c>
      <c r="G205" s="18" t="s">
        <v>39</v>
      </c>
      <c r="H205" s="18">
        <v>0.3</v>
      </c>
      <c r="I205" s="20">
        <v>5.73</v>
      </c>
      <c r="J205" s="21">
        <v>0.3</v>
      </c>
      <c r="K205" s="20">
        <f t="shared" ca="1" si="3"/>
        <v>1.72</v>
      </c>
    </row>
    <row r="206" spans="2:11">
      <c r="B206" s="18" t="str">
        <f xml:space="preserve"> TRIM( "9782940439751" )</f>
        <v>9782940439751</v>
      </c>
      <c r="C206" s="18" t="s">
        <v>293</v>
      </c>
      <c r="D206" s="18" t="s">
        <v>294</v>
      </c>
      <c r="E206" s="18" t="s">
        <v>37</v>
      </c>
      <c r="F206" s="18" t="s">
        <v>295</v>
      </c>
      <c r="G206" s="18" t="s">
        <v>39</v>
      </c>
      <c r="H206" s="18">
        <v>0.3</v>
      </c>
      <c r="I206" s="20">
        <v>37.25</v>
      </c>
      <c r="J206" s="21">
        <v>0.3</v>
      </c>
      <c r="K206" s="20">
        <f t="shared" ca="1" si="3"/>
        <v>11.18</v>
      </c>
    </row>
    <row r="207" spans="2:11">
      <c r="B207" s="18" t="str">
        <f xml:space="preserve"> TRIM( "9782940439751" )</f>
        <v>9782940439751</v>
      </c>
      <c r="C207" s="18" t="s">
        <v>293</v>
      </c>
      <c r="D207" s="18" t="s">
        <v>294</v>
      </c>
      <c r="E207" s="18" t="s">
        <v>37</v>
      </c>
      <c r="F207" s="18" t="s">
        <v>295</v>
      </c>
      <c r="G207" s="18" t="s">
        <v>40</v>
      </c>
      <c r="H207" s="18">
        <v>0.35</v>
      </c>
      <c r="I207" s="20">
        <v>0</v>
      </c>
      <c r="J207" s="21">
        <v>0.35</v>
      </c>
      <c r="K207" s="20">
        <f t="shared" ref="K207:K270" ca="1" si="4" xml:space="preserve"> ROUND( ( INDIRECT( ADDRESS( ROW(), COLUMN()- 2 ))) * ( INDIRECT( ADDRESS( ROW(), COLUMN()- 1 ))), 2 )</f>
        <v>0</v>
      </c>
    </row>
    <row r="208" spans="2:11">
      <c r="B208" s="18" t="str">
        <f xml:space="preserve"> TRIM( "9782940439768" )</f>
        <v>9782940439768</v>
      </c>
      <c r="C208" s="18" t="s">
        <v>296</v>
      </c>
      <c r="D208" s="18" t="s">
        <v>297</v>
      </c>
      <c r="E208" s="18" t="s">
        <v>37</v>
      </c>
      <c r="F208" s="18" t="s">
        <v>298</v>
      </c>
      <c r="G208" s="18" t="s">
        <v>39</v>
      </c>
      <c r="H208" s="18">
        <v>0.3</v>
      </c>
      <c r="I208" s="20">
        <v>65.5</v>
      </c>
      <c r="J208" s="21">
        <v>0.3</v>
      </c>
      <c r="K208" s="20">
        <f t="shared" ca="1" si="4"/>
        <v>19.649999999999999</v>
      </c>
    </row>
    <row r="209" spans="2:11">
      <c r="B209" s="18" t="str">
        <f xml:space="preserve"> TRIM( "9782940439768" )</f>
        <v>9782940439768</v>
      </c>
      <c r="C209" s="18" t="s">
        <v>296</v>
      </c>
      <c r="D209" s="18" t="s">
        <v>297</v>
      </c>
      <c r="E209" s="18" t="s">
        <v>37</v>
      </c>
      <c r="F209" s="18" t="s">
        <v>298</v>
      </c>
      <c r="G209" s="18" t="s">
        <v>40</v>
      </c>
      <c r="H209" s="18">
        <v>0.35</v>
      </c>
      <c r="I209" s="20">
        <v>23.86</v>
      </c>
      <c r="J209" s="21">
        <v>0.35</v>
      </c>
      <c r="K209" s="20">
        <f t="shared" ca="1" si="4"/>
        <v>8.35</v>
      </c>
    </row>
    <row r="210" spans="2:11">
      <c r="B210" s="18" t="str">
        <f xml:space="preserve"> TRIM( "9782940439775" )</f>
        <v>9782940439775</v>
      </c>
      <c r="C210" s="18" t="s">
        <v>299</v>
      </c>
      <c r="D210" s="18" t="s">
        <v>300</v>
      </c>
      <c r="E210" s="18" t="s">
        <v>37</v>
      </c>
      <c r="F210" s="18" t="s">
        <v>301</v>
      </c>
      <c r="G210" s="18" t="s">
        <v>39</v>
      </c>
      <c r="H210" s="18">
        <v>0.3</v>
      </c>
      <c r="I210" s="20">
        <v>18.64</v>
      </c>
      <c r="J210" s="21">
        <v>0.3</v>
      </c>
      <c r="K210" s="20">
        <f t="shared" ca="1" si="4"/>
        <v>5.59</v>
      </c>
    </row>
    <row r="211" spans="2:11">
      <c r="B211" s="18" t="str">
        <f xml:space="preserve"> TRIM( "9782940439775" )</f>
        <v>9782940439775</v>
      </c>
      <c r="C211" s="18" t="s">
        <v>299</v>
      </c>
      <c r="D211" s="18" t="s">
        <v>300</v>
      </c>
      <c r="E211" s="18" t="s">
        <v>37</v>
      </c>
      <c r="F211" s="18" t="s">
        <v>301</v>
      </c>
      <c r="G211" s="18" t="s">
        <v>40</v>
      </c>
      <c r="H211" s="18">
        <v>0.35</v>
      </c>
      <c r="I211" s="20">
        <v>8.9</v>
      </c>
      <c r="J211" s="21">
        <v>0.35</v>
      </c>
      <c r="K211" s="20">
        <f t="shared" ca="1" si="4"/>
        <v>3.12</v>
      </c>
    </row>
    <row r="212" spans="2:11">
      <c r="B212" s="18" t="str">
        <f xml:space="preserve"> TRIM( "9782940439782" )</f>
        <v>9782940439782</v>
      </c>
      <c r="C212" s="18" t="s">
        <v>302</v>
      </c>
      <c r="D212" s="18" t="s">
        <v>303</v>
      </c>
      <c r="E212" s="18" t="s">
        <v>37</v>
      </c>
      <c r="F212" s="18" t="s">
        <v>99</v>
      </c>
      <c r="G212" s="18" t="s">
        <v>39</v>
      </c>
      <c r="H212" s="18">
        <v>0.3</v>
      </c>
      <c r="I212" s="20">
        <v>16.190000000000001</v>
      </c>
      <c r="J212" s="21">
        <v>0.3</v>
      </c>
      <c r="K212" s="20">
        <f t="shared" ca="1" si="4"/>
        <v>4.8600000000000003</v>
      </c>
    </row>
    <row r="213" spans="2:11">
      <c r="B213" s="18" t="str">
        <f xml:space="preserve"> TRIM( "9782940439782" )</f>
        <v>9782940439782</v>
      </c>
      <c r="C213" s="18" t="s">
        <v>302</v>
      </c>
      <c r="D213" s="18" t="s">
        <v>303</v>
      </c>
      <c r="E213" s="18" t="s">
        <v>37</v>
      </c>
      <c r="F213" s="18" t="s">
        <v>99</v>
      </c>
      <c r="G213" s="18" t="s">
        <v>40</v>
      </c>
      <c r="H213" s="18">
        <v>0.35</v>
      </c>
      <c r="I213" s="20">
        <v>4.41</v>
      </c>
      <c r="J213" s="21">
        <v>0.35</v>
      </c>
      <c r="K213" s="20">
        <f t="shared" ca="1" si="4"/>
        <v>1.54</v>
      </c>
    </row>
    <row r="214" spans="2:11">
      <c r="B214" s="18" t="str">
        <f xml:space="preserve"> TRIM( "9782940439799" )</f>
        <v>9782940439799</v>
      </c>
      <c r="C214" s="18" t="s">
        <v>304</v>
      </c>
      <c r="D214" s="18" t="s">
        <v>305</v>
      </c>
      <c r="E214" s="18" t="s">
        <v>37</v>
      </c>
      <c r="F214" s="18" t="s">
        <v>68</v>
      </c>
      <c r="G214" s="18" t="s">
        <v>39</v>
      </c>
      <c r="H214" s="18">
        <v>0.3</v>
      </c>
      <c r="I214" s="20">
        <v>70.739999999999995</v>
      </c>
      <c r="J214" s="21">
        <v>0.3</v>
      </c>
      <c r="K214" s="20">
        <f t="shared" ca="1" si="4"/>
        <v>21.22</v>
      </c>
    </row>
    <row r="215" spans="2:11">
      <c r="B215" s="18" t="str">
        <f xml:space="preserve"> TRIM( "9782940439799" )</f>
        <v>9782940439799</v>
      </c>
      <c r="C215" s="18" t="s">
        <v>304</v>
      </c>
      <c r="D215" s="18" t="s">
        <v>305</v>
      </c>
      <c r="E215" s="18" t="s">
        <v>37</v>
      </c>
      <c r="F215" s="18" t="s">
        <v>68</v>
      </c>
      <c r="G215" s="18" t="s">
        <v>40</v>
      </c>
      <c r="H215" s="18">
        <v>0.35</v>
      </c>
      <c r="I215" s="20">
        <v>14.08</v>
      </c>
      <c r="J215" s="21">
        <v>0.35</v>
      </c>
      <c r="K215" s="20">
        <f t="shared" ca="1" si="4"/>
        <v>4.93</v>
      </c>
    </row>
    <row r="216" spans="2:11">
      <c r="B216" s="18" t="str">
        <f xml:space="preserve"> TRIM( "9782940439805" )</f>
        <v>9782940439805</v>
      </c>
      <c r="C216" s="18" t="s">
        <v>306</v>
      </c>
      <c r="D216" s="18" t="s">
        <v>307</v>
      </c>
      <c r="E216" s="18" t="s">
        <v>37</v>
      </c>
      <c r="F216" s="18" t="s">
        <v>308</v>
      </c>
      <c r="G216" s="18" t="s">
        <v>39</v>
      </c>
      <c r="H216" s="18">
        <v>0.3</v>
      </c>
      <c r="I216" s="20">
        <v>48.18</v>
      </c>
      <c r="J216" s="21">
        <v>0.3</v>
      </c>
      <c r="K216" s="20">
        <f t="shared" ca="1" si="4"/>
        <v>14.45</v>
      </c>
    </row>
    <row r="217" spans="2:11">
      <c r="B217" s="18" t="str">
        <f xml:space="preserve"> TRIM( "9782940439805" )</f>
        <v>9782940439805</v>
      </c>
      <c r="C217" s="18" t="s">
        <v>306</v>
      </c>
      <c r="D217" s="18" t="s">
        <v>307</v>
      </c>
      <c r="E217" s="18" t="s">
        <v>37</v>
      </c>
      <c r="F217" s="18" t="s">
        <v>308</v>
      </c>
      <c r="G217" s="18" t="s">
        <v>40</v>
      </c>
      <c r="H217" s="18">
        <v>0.35</v>
      </c>
      <c r="I217" s="20">
        <v>13.14</v>
      </c>
      <c r="J217" s="21">
        <v>0.35</v>
      </c>
      <c r="K217" s="20">
        <f t="shared" ca="1" si="4"/>
        <v>4.5999999999999996</v>
      </c>
    </row>
    <row r="218" spans="2:11">
      <c r="B218" s="18" t="str">
        <f xml:space="preserve"> TRIM( "9782940439812" )</f>
        <v>9782940439812</v>
      </c>
      <c r="C218" s="18" t="s">
        <v>309</v>
      </c>
      <c r="D218" s="18" t="s">
        <v>310</v>
      </c>
      <c r="E218" s="18" t="s">
        <v>37</v>
      </c>
      <c r="F218" s="18" t="s">
        <v>68</v>
      </c>
      <c r="G218" s="18" t="s">
        <v>39</v>
      </c>
      <c r="H218" s="18">
        <v>0.3</v>
      </c>
      <c r="I218" s="20">
        <v>26.7</v>
      </c>
      <c r="J218" s="21">
        <v>0.3</v>
      </c>
      <c r="K218" s="20">
        <f t="shared" ca="1" si="4"/>
        <v>8.01</v>
      </c>
    </row>
    <row r="219" spans="2:11">
      <c r="B219" s="18" t="str">
        <f xml:space="preserve"> TRIM( "9782940439812" )</f>
        <v>9782940439812</v>
      </c>
      <c r="C219" s="18" t="s">
        <v>309</v>
      </c>
      <c r="D219" s="18" t="s">
        <v>310</v>
      </c>
      <c r="E219" s="18" t="s">
        <v>37</v>
      </c>
      <c r="F219" s="18" t="s">
        <v>68</v>
      </c>
      <c r="G219" s="18" t="s">
        <v>40</v>
      </c>
      <c r="H219" s="18">
        <v>0.35</v>
      </c>
      <c r="I219" s="20">
        <v>1.98</v>
      </c>
      <c r="J219" s="21">
        <v>0.35</v>
      </c>
      <c r="K219" s="20">
        <f t="shared" ca="1" si="4"/>
        <v>0.69</v>
      </c>
    </row>
    <row r="220" spans="2:11">
      <c r="B220" s="18" t="str">
        <f xml:space="preserve"> TRIM( "9782940439829" )</f>
        <v>9782940439829</v>
      </c>
      <c r="C220" s="18" t="s">
        <v>311</v>
      </c>
      <c r="D220" s="18" t="s">
        <v>312</v>
      </c>
      <c r="E220" s="18" t="s">
        <v>37</v>
      </c>
      <c r="F220" s="18" t="s">
        <v>45</v>
      </c>
      <c r="G220" s="18" t="s">
        <v>39</v>
      </c>
      <c r="H220" s="18">
        <v>0.3</v>
      </c>
      <c r="I220" s="20">
        <v>6.25</v>
      </c>
      <c r="J220" s="21">
        <v>0.3</v>
      </c>
      <c r="K220" s="20">
        <f t="shared" ca="1" si="4"/>
        <v>1.88</v>
      </c>
    </row>
    <row r="221" spans="2:11">
      <c r="B221" s="18" t="str">
        <f xml:space="preserve"> TRIM( "9782940439829" )</f>
        <v>9782940439829</v>
      </c>
      <c r="C221" s="18" t="s">
        <v>311</v>
      </c>
      <c r="D221" s="18" t="s">
        <v>312</v>
      </c>
      <c r="E221" s="18" t="s">
        <v>37</v>
      </c>
      <c r="F221" s="18" t="s">
        <v>45</v>
      </c>
      <c r="G221" s="18" t="s">
        <v>40</v>
      </c>
      <c r="H221" s="18">
        <v>0.35</v>
      </c>
      <c r="I221" s="20">
        <v>25.33</v>
      </c>
      <c r="J221" s="21">
        <v>0.35</v>
      </c>
      <c r="K221" s="20">
        <f t="shared" ca="1" si="4"/>
        <v>8.8699999999999992</v>
      </c>
    </row>
    <row r="222" spans="2:11">
      <c r="B222" s="18" t="str">
        <f xml:space="preserve"> TRIM( "9782940439836" )</f>
        <v>9782940439836</v>
      </c>
      <c r="C222" s="18" t="s">
        <v>313</v>
      </c>
      <c r="D222" s="18" t="s">
        <v>314</v>
      </c>
      <c r="E222" s="18" t="s">
        <v>37</v>
      </c>
      <c r="F222" s="18" t="s">
        <v>151</v>
      </c>
      <c r="G222" s="18" t="s">
        <v>39</v>
      </c>
      <c r="H222" s="18">
        <v>0.3</v>
      </c>
      <c r="I222" s="20">
        <v>7.48</v>
      </c>
      <c r="J222" s="21">
        <v>0.3</v>
      </c>
      <c r="K222" s="20">
        <f t="shared" ca="1" si="4"/>
        <v>2.2400000000000002</v>
      </c>
    </row>
    <row r="223" spans="2:11">
      <c r="B223" s="18" t="str">
        <f xml:space="preserve"> TRIM( "9782940439836" )</f>
        <v>9782940439836</v>
      </c>
      <c r="C223" s="18" t="s">
        <v>313</v>
      </c>
      <c r="D223" s="18" t="s">
        <v>314</v>
      </c>
      <c r="E223" s="18" t="s">
        <v>37</v>
      </c>
      <c r="F223" s="18" t="s">
        <v>151</v>
      </c>
      <c r="G223" s="18" t="s">
        <v>40</v>
      </c>
      <c r="H223" s="18">
        <v>0.35</v>
      </c>
      <c r="I223" s="20">
        <v>18.920000000000002</v>
      </c>
      <c r="J223" s="21">
        <v>0.35</v>
      </c>
      <c r="K223" s="20">
        <f t="shared" ca="1" si="4"/>
        <v>6.62</v>
      </c>
    </row>
    <row r="224" spans="2:11">
      <c r="B224" s="18" t="str">
        <f xml:space="preserve"> TRIM( "9782940439843" )</f>
        <v>9782940439843</v>
      </c>
      <c r="C224" s="18" t="s">
        <v>315</v>
      </c>
      <c r="D224" s="18" t="s">
        <v>316</v>
      </c>
      <c r="E224" s="18" t="s">
        <v>37</v>
      </c>
      <c r="F224" s="18" t="s">
        <v>195</v>
      </c>
      <c r="G224" s="18" t="s">
        <v>39</v>
      </c>
      <c r="H224" s="18">
        <v>0.3</v>
      </c>
      <c r="I224" s="20">
        <v>19.57</v>
      </c>
      <c r="J224" s="21">
        <v>0.3</v>
      </c>
      <c r="K224" s="20">
        <f t="shared" ca="1" si="4"/>
        <v>5.87</v>
      </c>
    </row>
    <row r="225" spans="2:11">
      <c r="B225" s="18" t="str">
        <f xml:space="preserve"> TRIM( "9782940439843" )</f>
        <v>9782940439843</v>
      </c>
      <c r="C225" s="18" t="s">
        <v>315</v>
      </c>
      <c r="D225" s="18" t="s">
        <v>316</v>
      </c>
      <c r="E225" s="18" t="s">
        <v>37</v>
      </c>
      <c r="F225" s="18" t="s">
        <v>195</v>
      </c>
      <c r="G225" s="18" t="s">
        <v>40</v>
      </c>
      <c r="H225" s="18">
        <v>0.35</v>
      </c>
      <c r="I225" s="20">
        <v>17.8</v>
      </c>
      <c r="J225" s="21">
        <v>0.35</v>
      </c>
      <c r="K225" s="20">
        <f t="shared" ca="1" si="4"/>
        <v>6.23</v>
      </c>
    </row>
    <row r="226" spans="2:11">
      <c r="B226" s="18" t="str">
        <f xml:space="preserve"> TRIM( "9782940439850" )</f>
        <v>9782940439850</v>
      </c>
      <c r="C226" s="18" t="s">
        <v>317</v>
      </c>
      <c r="D226" s="18" t="s">
        <v>318</v>
      </c>
      <c r="E226" s="18" t="s">
        <v>37</v>
      </c>
      <c r="F226" s="18" t="s">
        <v>195</v>
      </c>
      <c r="G226" s="18" t="s">
        <v>39</v>
      </c>
      <c r="H226" s="18">
        <v>0.3</v>
      </c>
      <c r="I226" s="20">
        <v>22.42</v>
      </c>
      <c r="J226" s="21">
        <v>0.3</v>
      </c>
      <c r="K226" s="20">
        <f t="shared" ca="1" si="4"/>
        <v>6.73</v>
      </c>
    </row>
    <row r="227" spans="2:11">
      <c r="B227" s="18" t="str">
        <f xml:space="preserve"> TRIM( "9782940439850" )</f>
        <v>9782940439850</v>
      </c>
      <c r="C227" s="18" t="s">
        <v>317</v>
      </c>
      <c r="D227" s="18" t="s">
        <v>318</v>
      </c>
      <c r="E227" s="18" t="s">
        <v>37</v>
      </c>
      <c r="F227" s="18" t="s">
        <v>195</v>
      </c>
      <c r="G227" s="18" t="s">
        <v>40</v>
      </c>
      <c r="H227" s="18">
        <v>0.35</v>
      </c>
      <c r="I227" s="20">
        <v>10.59</v>
      </c>
      <c r="J227" s="21">
        <v>0.35</v>
      </c>
      <c r="K227" s="20">
        <f t="shared" ca="1" si="4"/>
        <v>3.71</v>
      </c>
    </row>
    <row r="228" spans="2:11">
      <c r="B228" s="18" t="str">
        <f xml:space="preserve"> TRIM( "9782940439867" )</f>
        <v>9782940439867</v>
      </c>
      <c r="C228" s="18" t="s">
        <v>319</v>
      </c>
      <c r="D228" s="18" t="s">
        <v>120</v>
      </c>
      <c r="E228" s="18" t="s">
        <v>37</v>
      </c>
      <c r="F228" s="18" t="s">
        <v>232</v>
      </c>
      <c r="G228" s="18" t="s">
        <v>39</v>
      </c>
      <c r="H228" s="18">
        <v>0.3</v>
      </c>
      <c r="I228" s="20">
        <v>5.08</v>
      </c>
      <c r="J228" s="21">
        <v>0.3</v>
      </c>
      <c r="K228" s="20">
        <f t="shared" ca="1" si="4"/>
        <v>1.52</v>
      </c>
    </row>
    <row r="229" spans="2:11">
      <c r="B229" s="18" t="str">
        <f xml:space="preserve"> TRIM( "9782940439867" )</f>
        <v>9782940439867</v>
      </c>
      <c r="C229" s="18" t="s">
        <v>319</v>
      </c>
      <c r="D229" s="18" t="s">
        <v>120</v>
      </c>
      <c r="E229" s="18" t="s">
        <v>37</v>
      </c>
      <c r="F229" s="18" t="s">
        <v>232</v>
      </c>
      <c r="G229" s="18" t="s">
        <v>40</v>
      </c>
      <c r="H229" s="18">
        <v>0.35</v>
      </c>
      <c r="I229" s="20">
        <v>2.5099999999999998</v>
      </c>
      <c r="J229" s="21">
        <v>0.35</v>
      </c>
      <c r="K229" s="20">
        <f t="shared" ca="1" si="4"/>
        <v>0.88</v>
      </c>
    </row>
    <row r="230" spans="2:11">
      <c r="B230" s="18" t="str">
        <f xml:space="preserve"> TRIM( "9782940439874" )</f>
        <v>9782940439874</v>
      </c>
      <c r="C230" s="18" t="s">
        <v>320</v>
      </c>
      <c r="D230" s="18" t="s">
        <v>321</v>
      </c>
      <c r="E230" s="18" t="s">
        <v>37</v>
      </c>
      <c r="F230" s="18" t="s">
        <v>65</v>
      </c>
      <c r="G230" s="18" t="s">
        <v>39</v>
      </c>
      <c r="H230" s="18">
        <v>0.3</v>
      </c>
      <c r="I230" s="20">
        <v>8.23</v>
      </c>
      <c r="J230" s="21">
        <v>0.3</v>
      </c>
      <c r="K230" s="20">
        <f t="shared" ca="1" si="4"/>
        <v>2.4700000000000002</v>
      </c>
    </row>
    <row r="231" spans="2:11">
      <c r="B231" s="18" t="str">
        <f xml:space="preserve"> TRIM( "9782940439881" )</f>
        <v>9782940439881</v>
      </c>
      <c r="C231" s="18" t="s">
        <v>322</v>
      </c>
      <c r="D231" s="18" t="s">
        <v>323</v>
      </c>
      <c r="E231" s="18" t="s">
        <v>37</v>
      </c>
      <c r="F231" s="18" t="s">
        <v>324</v>
      </c>
      <c r="G231" s="18" t="s">
        <v>39</v>
      </c>
      <c r="H231" s="18">
        <v>0.3</v>
      </c>
      <c r="I231" s="20">
        <v>6.25</v>
      </c>
      <c r="J231" s="21">
        <v>0.3</v>
      </c>
      <c r="K231" s="20">
        <f t="shared" ca="1" si="4"/>
        <v>1.88</v>
      </c>
    </row>
    <row r="232" spans="2:11">
      <c r="B232" s="18" t="str">
        <f xml:space="preserve"> TRIM( "9782940439904" )</f>
        <v>9782940439904</v>
      </c>
      <c r="C232" s="18" t="s">
        <v>325</v>
      </c>
      <c r="D232" s="18" t="s">
        <v>150</v>
      </c>
      <c r="E232" s="18" t="s">
        <v>37</v>
      </c>
      <c r="F232" s="18" t="s">
        <v>151</v>
      </c>
      <c r="G232" s="18" t="s">
        <v>39</v>
      </c>
      <c r="H232" s="18">
        <v>0.3</v>
      </c>
      <c r="I232" s="20">
        <v>47.82</v>
      </c>
      <c r="J232" s="21">
        <v>0.3</v>
      </c>
      <c r="K232" s="20">
        <f t="shared" ca="1" si="4"/>
        <v>14.35</v>
      </c>
    </row>
    <row r="233" spans="2:11">
      <c r="B233" s="18" t="str">
        <f xml:space="preserve"> TRIM( "9782940439904" )</f>
        <v>9782940439904</v>
      </c>
      <c r="C233" s="18" t="s">
        <v>325</v>
      </c>
      <c r="D233" s="18" t="s">
        <v>150</v>
      </c>
      <c r="E233" s="18" t="s">
        <v>37</v>
      </c>
      <c r="F233" s="18" t="s">
        <v>151</v>
      </c>
      <c r="G233" s="18" t="s">
        <v>40</v>
      </c>
      <c r="H233" s="18">
        <v>0.35</v>
      </c>
      <c r="I233" s="20">
        <v>1.9</v>
      </c>
      <c r="J233" s="21">
        <v>0.35</v>
      </c>
      <c r="K233" s="20">
        <f t="shared" ca="1" si="4"/>
        <v>0.67</v>
      </c>
    </row>
    <row r="234" spans="2:11">
      <c r="B234" s="18" t="str">
        <f xml:space="preserve"> TRIM( "9782940439911" )</f>
        <v>9782940439911</v>
      </c>
      <c r="C234" s="18" t="s">
        <v>326</v>
      </c>
      <c r="D234" s="18" t="s">
        <v>327</v>
      </c>
      <c r="E234" s="18" t="s">
        <v>37</v>
      </c>
      <c r="F234" s="18" t="s">
        <v>328</v>
      </c>
      <c r="G234" s="18" t="s">
        <v>39</v>
      </c>
      <c r="H234" s="18">
        <v>0.3</v>
      </c>
      <c r="I234" s="20">
        <v>11.95</v>
      </c>
      <c r="J234" s="21">
        <v>0.3</v>
      </c>
      <c r="K234" s="20">
        <f t="shared" ca="1" si="4"/>
        <v>3.59</v>
      </c>
    </row>
    <row r="235" spans="2:11">
      <c r="B235" s="18" t="str">
        <f xml:space="preserve"> TRIM( "9782940439911" )</f>
        <v>9782940439911</v>
      </c>
      <c r="C235" s="18" t="s">
        <v>326</v>
      </c>
      <c r="D235" s="18" t="s">
        <v>327</v>
      </c>
      <c r="E235" s="18" t="s">
        <v>37</v>
      </c>
      <c r="F235" s="18" t="s">
        <v>328</v>
      </c>
      <c r="G235" s="18" t="s">
        <v>40</v>
      </c>
      <c r="H235" s="18">
        <v>0.35</v>
      </c>
      <c r="I235" s="20">
        <v>14.03</v>
      </c>
      <c r="J235" s="21">
        <v>0.35</v>
      </c>
      <c r="K235" s="20">
        <f t="shared" ca="1" si="4"/>
        <v>4.91</v>
      </c>
    </row>
    <row r="236" spans="2:11">
      <c r="B236" s="18" t="str">
        <f xml:space="preserve"> TRIM( "9782940439935" )</f>
        <v>9782940439935</v>
      </c>
      <c r="C236" s="18" t="s">
        <v>329</v>
      </c>
      <c r="D236" s="18" t="s">
        <v>111</v>
      </c>
      <c r="E236" s="18" t="s">
        <v>37</v>
      </c>
      <c r="F236" s="18" t="s">
        <v>330</v>
      </c>
      <c r="G236" s="18" t="s">
        <v>39</v>
      </c>
      <c r="H236" s="18">
        <v>0.3</v>
      </c>
      <c r="I236" s="20">
        <v>9.6300000000000008</v>
      </c>
      <c r="J236" s="21">
        <v>0.3</v>
      </c>
      <c r="K236" s="20">
        <f t="shared" ca="1" si="4"/>
        <v>2.89</v>
      </c>
    </row>
    <row r="237" spans="2:11">
      <c r="B237" s="18" t="str">
        <f xml:space="preserve"> TRIM( "9782940439935" )</f>
        <v>9782940439935</v>
      </c>
      <c r="C237" s="18" t="s">
        <v>329</v>
      </c>
      <c r="D237" s="18" t="s">
        <v>111</v>
      </c>
      <c r="E237" s="18" t="s">
        <v>37</v>
      </c>
      <c r="F237" s="18" t="s">
        <v>330</v>
      </c>
      <c r="G237" s="18" t="s">
        <v>40</v>
      </c>
      <c r="H237" s="18">
        <v>0.35</v>
      </c>
      <c r="I237" s="20">
        <v>13.07</v>
      </c>
      <c r="J237" s="21">
        <v>0.35</v>
      </c>
      <c r="K237" s="20">
        <f t="shared" ca="1" si="4"/>
        <v>4.57</v>
      </c>
    </row>
    <row r="238" spans="2:11">
      <c r="B238" s="18" t="str">
        <f xml:space="preserve"> TRIM( "9782940439942" )</f>
        <v>9782940439942</v>
      </c>
      <c r="C238" s="18" t="s">
        <v>331</v>
      </c>
      <c r="D238" s="18" t="s">
        <v>332</v>
      </c>
      <c r="E238" s="18" t="s">
        <v>37</v>
      </c>
      <c r="F238" s="18" t="s">
        <v>333</v>
      </c>
      <c r="G238" s="18" t="s">
        <v>39</v>
      </c>
      <c r="H238" s="18">
        <v>0.3</v>
      </c>
      <c r="I238" s="20">
        <v>14.74</v>
      </c>
      <c r="J238" s="21">
        <v>0.3</v>
      </c>
      <c r="K238" s="20">
        <f t="shared" ca="1" si="4"/>
        <v>4.42</v>
      </c>
    </row>
    <row r="239" spans="2:11">
      <c r="B239" s="18" t="str">
        <f xml:space="preserve"> TRIM( "9782940439959" )</f>
        <v>9782940439959</v>
      </c>
      <c r="C239" s="18" t="s">
        <v>334</v>
      </c>
      <c r="D239" s="18" t="s">
        <v>335</v>
      </c>
      <c r="E239" s="18" t="s">
        <v>37</v>
      </c>
      <c r="F239" s="18" t="s">
        <v>336</v>
      </c>
      <c r="G239" s="18" t="s">
        <v>39</v>
      </c>
      <c r="H239" s="18">
        <v>0.3</v>
      </c>
      <c r="I239" s="20">
        <v>6.94</v>
      </c>
      <c r="J239" s="21">
        <v>0.3</v>
      </c>
      <c r="K239" s="20">
        <f t="shared" ca="1" si="4"/>
        <v>2.08</v>
      </c>
    </row>
    <row r="240" spans="2:11">
      <c r="B240" s="18" t="str">
        <f xml:space="preserve"> TRIM( "9782940439973" )</f>
        <v>9782940439973</v>
      </c>
      <c r="C240" s="18" t="s">
        <v>337</v>
      </c>
      <c r="D240" s="18" t="s">
        <v>338</v>
      </c>
      <c r="E240" s="18" t="s">
        <v>37</v>
      </c>
      <c r="F240" s="18" t="s">
        <v>68</v>
      </c>
      <c r="G240" s="18" t="s">
        <v>39</v>
      </c>
      <c r="H240" s="18">
        <v>0.3</v>
      </c>
      <c r="I240" s="20">
        <v>20.18</v>
      </c>
      <c r="J240" s="21">
        <v>0.3</v>
      </c>
      <c r="K240" s="20">
        <f t="shared" ca="1" si="4"/>
        <v>6.05</v>
      </c>
    </row>
    <row r="241" spans="2:11">
      <c r="B241" s="18" t="str">
        <f xml:space="preserve"> TRIM( "9782940439973" )</f>
        <v>9782940439973</v>
      </c>
      <c r="C241" s="18" t="s">
        <v>337</v>
      </c>
      <c r="D241" s="18" t="s">
        <v>338</v>
      </c>
      <c r="E241" s="18" t="s">
        <v>37</v>
      </c>
      <c r="F241" s="18" t="s">
        <v>68</v>
      </c>
      <c r="G241" s="18" t="s">
        <v>40</v>
      </c>
      <c r="H241" s="18">
        <v>0.35</v>
      </c>
      <c r="I241" s="20">
        <v>10.95</v>
      </c>
      <c r="J241" s="21">
        <v>0.35</v>
      </c>
      <c r="K241" s="20">
        <f t="shared" ca="1" si="4"/>
        <v>3.83</v>
      </c>
    </row>
    <row r="242" spans="2:11">
      <c r="B242" s="18" t="str">
        <f xml:space="preserve"> TRIM( "9782940439980" )</f>
        <v>9782940439980</v>
      </c>
      <c r="C242" s="18" t="s">
        <v>339</v>
      </c>
      <c r="D242" s="18" t="s">
        <v>340</v>
      </c>
      <c r="E242" s="18" t="s">
        <v>37</v>
      </c>
      <c r="F242" s="18" t="s">
        <v>324</v>
      </c>
      <c r="G242" s="18" t="s">
        <v>39</v>
      </c>
      <c r="H242" s="18">
        <v>0.3</v>
      </c>
      <c r="I242" s="20">
        <v>16.079999999999998</v>
      </c>
      <c r="J242" s="21">
        <v>0.3</v>
      </c>
      <c r="K242" s="20">
        <f t="shared" ca="1" si="4"/>
        <v>4.82</v>
      </c>
    </row>
    <row r="243" spans="2:11">
      <c r="B243" s="18" t="str">
        <f xml:space="preserve"> TRIM( "9782940439980" )</f>
        <v>9782940439980</v>
      </c>
      <c r="C243" s="18" t="s">
        <v>339</v>
      </c>
      <c r="D243" s="18" t="s">
        <v>340</v>
      </c>
      <c r="E243" s="18" t="s">
        <v>37</v>
      </c>
      <c r="F243" s="18" t="s">
        <v>324</v>
      </c>
      <c r="G243" s="18" t="s">
        <v>40</v>
      </c>
      <c r="H243" s="18">
        <v>0.35</v>
      </c>
      <c r="I243" s="20">
        <v>0.19</v>
      </c>
      <c r="J243" s="21">
        <v>0.35</v>
      </c>
      <c r="K243" s="20">
        <f t="shared" ca="1" si="4"/>
        <v>7.0000000000000007E-2</v>
      </c>
    </row>
    <row r="244" spans="2:11">
      <c r="B244" s="18" t="str">
        <f xml:space="preserve"> TRIM( "9782940439997" )</f>
        <v>9782940439997</v>
      </c>
      <c r="C244" s="18" t="s">
        <v>341</v>
      </c>
      <c r="D244" s="18" t="s">
        <v>342</v>
      </c>
      <c r="E244" s="18" t="s">
        <v>37</v>
      </c>
      <c r="F244" s="18" t="s">
        <v>343</v>
      </c>
      <c r="G244" s="18" t="s">
        <v>39</v>
      </c>
      <c r="H244" s="18">
        <v>0.3</v>
      </c>
      <c r="I244" s="20">
        <v>59.61</v>
      </c>
      <c r="J244" s="21">
        <v>0.3</v>
      </c>
      <c r="K244" s="20">
        <f t="shared" ca="1" si="4"/>
        <v>17.88</v>
      </c>
    </row>
    <row r="245" spans="2:11">
      <c r="B245" s="18" t="str">
        <f xml:space="preserve"> TRIM( "9782940439997" )</f>
        <v>9782940439997</v>
      </c>
      <c r="C245" s="18" t="s">
        <v>341</v>
      </c>
      <c r="D245" s="18" t="s">
        <v>342</v>
      </c>
      <c r="E245" s="18" t="s">
        <v>37</v>
      </c>
      <c r="F245" s="18" t="s">
        <v>343</v>
      </c>
      <c r="G245" s="18" t="s">
        <v>40</v>
      </c>
      <c r="H245" s="18">
        <v>0.35</v>
      </c>
      <c r="I245" s="20">
        <v>92.06</v>
      </c>
      <c r="J245" s="21">
        <v>0.35</v>
      </c>
      <c r="K245" s="20">
        <f t="shared" ca="1" si="4"/>
        <v>32.22</v>
      </c>
    </row>
    <row r="246" spans="2:11">
      <c r="B246" s="18" t="str">
        <f xml:space="preserve"> TRIM( "9782940447015" )</f>
        <v>9782940447015</v>
      </c>
      <c r="C246" s="18" t="s">
        <v>344</v>
      </c>
      <c r="D246" s="18" t="s">
        <v>345</v>
      </c>
      <c r="E246" s="18" t="s">
        <v>37</v>
      </c>
      <c r="F246" s="18" t="s">
        <v>308</v>
      </c>
      <c r="G246" s="18" t="s">
        <v>39</v>
      </c>
      <c r="H246" s="18">
        <v>0.3</v>
      </c>
      <c r="I246" s="20">
        <v>8.76</v>
      </c>
      <c r="J246" s="21">
        <v>0.3</v>
      </c>
      <c r="K246" s="20">
        <f t="shared" ca="1" si="4"/>
        <v>2.63</v>
      </c>
    </row>
    <row r="247" spans="2:11">
      <c r="B247" s="18" t="str">
        <f xml:space="preserve"> TRIM( "9782940447015" )</f>
        <v>9782940447015</v>
      </c>
      <c r="C247" s="18" t="s">
        <v>344</v>
      </c>
      <c r="D247" s="18" t="s">
        <v>345</v>
      </c>
      <c r="E247" s="18" t="s">
        <v>37</v>
      </c>
      <c r="F247" s="18" t="s">
        <v>308</v>
      </c>
      <c r="G247" s="18" t="s">
        <v>40</v>
      </c>
      <c r="H247" s="18">
        <v>0.35</v>
      </c>
      <c r="I247" s="20">
        <v>2.0699999999999998</v>
      </c>
      <c r="J247" s="21">
        <v>0.35</v>
      </c>
      <c r="K247" s="20">
        <f t="shared" ca="1" si="4"/>
        <v>0.72</v>
      </c>
    </row>
    <row r="248" spans="2:11">
      <c r="B248" s="18" t="str">
        <f xml:space="preserve"> TRIM( "9782940447022" )</f>
        <v>9782940447022</v>
      </c>
      <c r="C248" s="18" t="s">
        <v>346</v>
      </c>
      <c r="D248" s="18" t="s">
        <v>347</v>
      </c>
      <c r="E248" s="18" t="s">
        <v>37</v>
      </c>
      <c r="F248" s="18" t="s">
        <v>348</v>
      </c>
      <c r="G248" s="18" t="s">
        <v>39</v>
      </c>
      <c r="H248" s="18">
        <v>0.3</v>
      </c>
      <c r="I248" s="20">
        <v>31.02</v>
      </c>
      <c r="J248" s="21">
        <v>0.3</v>
      </c>
      <c r="K248" s="20">
        <f t="shared" ca="1" si="4"/>
        <v>9.31</v>
      </c>
    </row>
    <row r="249" spans="2:11">
      <c r="B249" s="18" t="str">
        <f xml:space="preserve"> TRIM( "9782940447022" )</f>
        <v>9782940447022</v>
      </c>
      <c r="C249" s="18" t="s">
        <v>346</v>
      </c>
      <c r="D249" s="18" t="s">
        <v>347</v>
      </c>
      <c r="E249" s="18" t="s">
        <v>37</v>
      </c>
      <c r="F249" s="18" t="s">
        <v>348</v>
      </c>
      <c r="G249" s="18" t="s">
        <v>40</v>
      </c>
      <c r="H249" s="18">
        <v>0.35</v>
      </c>
      <c r="I249" s="20">
        <v>46.71</v>
      </c>
      <c r="J249" s="21">
        <v>0.35</v>
      </c>
      <c r="K249" s="20">
        <f t="shared" ca="1" si="4"/>
        <v>16.350000000000001</v>
      </c>
    </row>
    <row r="250" spans="2:11">
      <c r="B250" s="18" t="str">
        <f xml:space="preserve"> TRIM( "9782940447039" )</f>
        <v>9782940447039</v>
      </c>
      <c r="C250" s="18" t="s">
        <v>349</v>
      </c>
      <c r="D250" s="18" t="s">
        <v>350</v>
      </c>
      <c r="E250" s="18" t="s">
        <v>37</v>
      </c>
      <c r="F250" s="18" t="s">
        <v>351</v>
      </c>
      <c r="G250" s="18" t="s">
        <v>39</v>
      </c>
      <c r="H250" s="18">
        <v>0.3</v>
      </c>
      <c r="I250" s="20">
        <v>19.760000000000002</v>
      </c>
      <c r="J250" s="21">
        <v>0.3</v>
      </c>
      <c r="K250" s="20">
        <f t="shared" ca="1" si="4"/>
        <v>5.93</v>
      </c>
    </row>
    <row r="251" spans="2:11">
      <c r="B251" s="18" t="str">
        <f xml:space="preserve"> TRIM( "9782940447039" )</f>
        <v>9782940447039</v>
      </c>
      <c r="C251" s="18" t="s">
        <v>349</v>
      </c>
      <c r="D251" s="18" t="s">
        <v>350</v>
      </c>
      <c r="E251" s="18" t="s">
        <v>37</v>
      </c>
      <c r="F251" s="18" t="s">
        <v>351</v>
      </c>
      <c r="G251" s="18" t="s">
        <v>40</v>
      </c>
      <c r="H251" s="18">
        <v>0.35</v>
      </c>
      <c r="I251" s="20">
        <v>11.47</v>
      </c>
      <c r="J251" s="21">
        <v>0.35</v>
      </c>
      <c r="K251" s="20">
        <f t="shared" ca="1" si="4"/>
        <v>4.01</v>
      </c>
    </row>
    <row r="252" spans="2:11">
      <c r="B252" s="18" t="str">
        <f xml:space="preserve"> TRIM( "9782940447046" )</f>
        <v>9782940447046</v>
      </c>
      <c r="C252" s="18" t="s">
        <v>352</v>
      </c>
      <c r="D252" s="18" t="s">
        <v>353</v>
      </c>
      <c r="E252" s="18" t="s">
        <v>37</v>
      </c>
      <c r="F252" s="18" t="s">
        <v>354</v>
      </c>
      <c r="G252" s="18" t="s">
        <v>39</v>
      </c>
      <c r="H252" s="18">
        <v>0.3</v>
      </c>
      <c r="I252" s="20">
        <v>14.52</v>
      </c>
      <c r="J252" s="21">
        <v>0.3</v>
      </c>
      <c r="K252" s="20">
        <f t="shared" ca="1" si="4"/>
        <v>4.3600000000000003</v>
      </c>
    </row>
    <row r="253" spans="2:11">
      <c r="B253" s="18" t="str">
        <f xml:space="preserve"> TRIM( "9782940447046" )</f>
        <v>9782940447046</v>
      </c>
      <c r="C253" s="18" t="s">
        <v>352</v>
      </c>
      <c r="D253" s="18" t="s">
        <v>353</v>
      </c>
      <c r="E253" s="18" t="s">
        <v>37</v>
      </c>
      <c r="F253" s="18" t="s">
        <v>354</v>
      </c>
      <c r="G253" s="18" t="s">
        <v>40</v>
      </c>
      <c r="H253" s="18">
        <v>0.35</v>
      </c>
      <c r="I253" s="20">
        <v>5.43</v>
      </c>
      <c r="J253" s="21">
        <v>0.35</v>
      </c>
      <c r="K253" s="20">
        <f t="shared" ca="1" si="4"/>
        <v>1.9</v>
      </c>
    </row>
    <row r="254" spans="2:11">
      <c r="B254" s="18" t="str">
        <f xml:space="preserve"> TRIM( "9782940447053" )</f>
        <v>9782940447053</v>
      </c>
      <c r="C254" s="18" t="s">
        <v>355</v>
      </c>
      <c r="D254" s="18" t="s">
        <v>356</v>
      </c>
      <c r="E254" s="18" t="s">
        <v>37</v>
      </c>
      <c r="F254" s="18" t="s">
        <v>357</v>
      </c>
      <c r="G254" s="18" t="s">
        <v>39</v>
      </c>
      <c r="H254" s="18">
        <v>0.3</v>
      </c>
      <c r="I254" s="20">
        <v>74.02</v>
      </c>
      <c r="J254" s="21">
        <v>0.3</v>
      </c>
      <c r="K254" s="20">
        <f t="shared" ca="1" si="4"/>
        <v>22.21</v>
      </c>
    </row>
    <row r="255" spans="2:11">
      <c r="B255" s="18" t="str">
        <f xml:space="preserve"> TRIM( "9782940447053" )</f>
        <v>9782940447053</v>
      </c>
      <c r="C255" s="18" t="s">
        <v>355</v>
      </c>
      <c r="D255" s="18" t="s">
        <v>356</v>
      </c>
      <c r="E255" s="18" t="s">
        <v>37</v>
      </c>
      <c r="F255" s="18" t="s">
        <v>357</v>
      </c>
      <c r="G255" s="18" t="s">
        <v>40</v>
      </c>
      <c r="H255" s="18">
        <v>0.35</v>
      </c>
      <c r="I255" s="20">
        <v>3.2</v>
      </c>
      <c r="J255" s="21">
        <v>0.35</v>
      </c>
      <c r="K255" s="20">
        <f t="shared" ca="1" si="4"/>
        <v>1.1200000000000001</v>
      </c>
    </row>
    <row r="256" spans="2:11">
      <c r="B256" s="18" t="str">
        <f xml:space="preserve"> TRIM( "9782940447060" )</f>
        <v>9782940447060</v>
      </c>
      <c r="C256" s="18" t="s">
        <v>358</v>
      </c>
      <c r="D256" s="18" t="s">
        <v>359</v>
      </c>
      <c r="E256" s="18" t="s">
        <v>37</v>
      </c>
      <c r="F256" s="18" t="s">
        <v>360</v>
      </c>
      <c r="G256" s="18" t="s">
        <v>39</v>
      </c>
      <c r="H256" s="18">
        <v>0.3</v>
      </c>
      <c r="I256" s="20">
        <v>29.72</v>
      </c>
      <c r="J256" s="21">
        <v>0.3</v>
      </c>
      <c r="K256" s="20">
        <f t="shared" ca="1" si="4"/>
        <v>8.92</v>
      </c>
    </row>
    <row r="257" spans="2:11">
      <c r="B257" s="18" t="str">
        <f xml:space="preserve"> TRIM( "9782940447060" )</f>
        <v>9782940447060</v>
      </c>
      <c r="C257" s="18" t="s">
        <v>358</v>
      </c>
      <c r="D257" s="18" t="s">
        <v>359</v>
      </c>
      <c r="E257" s="18" t="s">
        <v>37</v>
      </c>
      <c r="F257" s="18" t="s">
        <v>360</v>
      </c>
      <c r="G257" s="18" t="s">
        <v>40</v>
      </c>
      <c r="H257" s="18">
        <v>0.35</v>
      </c>
      <c r="I257" s="20">
        <v>2.31</v>
      </c>
      <c r="J257" s="21">
        <v>0.35</v>
      </c>
      <c r="K257" s="20">
        <f t="shared" ca="1" si="4"/>
        <v>0.81</v>
      </c>
    </row>
    <row r="258" spans="2:11">
      <c r="B258" s="18" t="str">
        <f xml:space="preserve"> TRIM( "9782940447077" )</f>
        <v>9782940447077</v>
      </c>
      <c r="C258" s="18" t="s">
        <v>361</v>
      </c>
      <c r="D258" s="18" t="s">
        <v>362</v>
      </c>
      <c r="E258" s="18" t="s">
        <v>37</v>
      </c>
      <c r="F258" s="18" t="s">
        <v>130</v>
      </c>
      <c r="G258" s="18" t="s">
        <v>39</v>
      </c>
      <c r="H258" s="18">
        <v>0.3</v>
      </c>
      <c r="I258" s="20">
        <v>67.05</v>
      </c>
      <c r="J258" s="21">
        <v>0.3</v>
      </c>
      <c r="K258" s="20">
        <f t="shared" ca="1" si="4"/>
        <v>20.12</v>
      </c>
    </row>
    <row r="259" spans="2:11">
      <c r="B259" s="18" t="str">
        <f xml:space="preserve"> TRIM( "9782940447077" )</f>
        <v>9782940447077</v>
      </c>
      <c r="C259" s="18" t="s">
        <v>361</v>
      </c>
      <c r="D259" s="18" t="s">
        <v>362</v>
      </c>
      <c r="E259" s="18" t="s">
        <v>37</v>
      </c>
      <c r="F259" s="18" t="s">
        <v>130</v>
      </c>
      <c r="G259" s="18" t="s">
        <v>40</v>
      </c>
      <c r="H259" s="18">
        <v>0.35</v>
      </c>
      <c r="I259" s="20">
        <v>23.93</v>
      </c>
      <c r="J259" s="21">
        <v>0.35</v>
      </c>
      <c r="K259" s="20">
        <f t="shared" ca="1" si="4"/>
        <v>8.3800000000000008</v>
      </c>
    </row>
    <row r="260" spans="2:11">
      <c r="B260" s="18" t="str">
        <f xml:space="preserve"> TRIM( "9782940447084" )</f>
        <v>9782940447084</v>
      </c>
      <c r="C260" s="18" t="s">
        <v>363</v>
      </c>
      <c r="D260" s="18" t="s">
        <v>364</v>
      </c>
      <c r="E260" s="18" t="s">
        <v>37</v>
      </c>
      <c r="F260" s="18" t="s">
        <v>365</v>
      </c>
      <c r="G260" s="18" t="s">
        <v>39</v>
      </c>
      <c r="H260" s="18">
        <v>0.3</v>
      </c>
      <c r="I260" s="20">
        <v>11.67</v>
      </c>
      <c r="J260" s="21">
        <v>0.3</v>
      </c>
      <c r="K260" s="20">
        <f t="shared" ca="1" si="4"/>
        <v>3.5</v>
      </c>
    </row>
    <row r="261" spans="2:11">
      <c r="B261" s="18" t="str">
        <f xml:space="preserve"> TRIM( "9782940447084" )</f>
        <v>9782940447084</v>
      </c>
      <c r="C261" s="18" t="s">
        <v>363</v>
      </c>
      <c r="D261" s="18" t="s">
        <v>364</v>
      </c>
      <c r="E261" s="18" t="s">
        <v>37</v>
      </c>
      <c r="F261" s="18" t="s">
        <v>365</v>
      </c>
      <c r="G261" s="18" t="s">
        <v>40</v>
      </c>
      <c r="H261" s="18">
        <v>0.35</v>
      </c>
      <c r="I261" s="20">
        <v>3.54</v>
      </c>
      <c r="J261" s="21">
        <v>0.35</v>
      </c>
      <c r="K261" s="20">
        <f t="shared" ca="1" si="4"/>
        <v>1.24</v>
      </c>
    </row>
    <row r="262" spans="2:11">
      <c r="B262" s="18" t="str">
        <f xml:space="preserve"> TRIM( "9782940447107" )</f>
        <v>9782940447107</v>
      </c>
      <c r="C262" s="18" t="s">
        <v>366</v>
      </c>
      <c r="D262" s="18" t="s">
        <v>367</v>
      </c>
      <c r="E262" s="18" t="s">
        <v>37</v>
      </c>
      <c r="F262" s="18" t="s">
        <v>368</v>
      </c>
      <c r="G262" s="18" t="s">
        <v>39</v>
      </c>
      <c r="H262" s="18">
        <v>0.3</v>
      </c>
      <c r="I262" s="20">
        <v>11.58</v>
      </c>
      <c r="J262" s="21">
        <v>0.3</v>
      </c>
      <c r="K262" s="20">
        <f t="shared" ca="1" si="4"/>
        <v>3.47</v>
      </c>
    </row>
    <row r="263" spans="2:11">
      <c r="B263" s="18" t="str">
        <f xml:space="preserve"> TRIM( "9782940447107" )</f>
        <v>9782940447107</v>
      </c>
      <c r="C263" s="18" t="s">
        <v>366</v>
      </c>
      <c r="D263" s="18" t="s">
        <v>367</v>
      </c>
      <c r="E263" s="18" t="s">
        <v>37</v>
      </c>
      <c r="F263" s="18" t="s">
        <v>368</v>
      </c>
      <c r="G263" s="18" t="s">
        <v>40</v>
      </c>
      <c r="H263" s="18">
        <v>0.35</v>
      </c>
      <c r="I263" s="20">
        <v>1.04</v>
      </c>
      <c r="J263" s="21">
        <v>0.35</v>
      </c>
      <c r="K263" s="20">
        <f t="shared" ca="1" si="4"/>
        <v>0.36</v>
      </c>
    </row>
    <row r="264" spans="2:11">
      <c r="B264" s="18" t="str">
        <f xml:space="preserve"> TRIM( "9782940447114" )</f>
        <v>9782940447114</v>
      </c>
      <c r="C264" s="18" t="s">
        <v>369</v>
      </c>
      <c r="D264" s="18" t="s">
        <v>234</v>
      </c>
      <c r="E264" s="18" t="s">
        <v>37</v>
      </c>
      <c r="F264" s="18" t="s">
        <v>370</v>
      </c>
      <c r="G264" s="18" t="s">
        <v>39</v>
      </c>
      <c r="H264" s="18">
        <v>0.3</v>
      </c>
      <c r="I264" s="20">
        <v>141.09</v>
      </c>
      <c r="J264" s="21">
        <v>0.3</v>
      </c>
      <c r="K264" s="20">
        <f t="shared" ca="1" si="4"/>
        <v>42.33</v>
      </c>
    </row>
    <row r="265" spans="2:11">
      <c r="B265" s="18" t="str">
        <f xml:space="preserve"> TRIM( "9782940447114" )</f>
        <v>9782940447114</v>
      </c>
      <c r="C265" s="18" t="s">
        <v>369</v>
      </c>
      <c r="D265" s="18" t="s">
        <v>234</v>
      </c>
      <c r="E265" s="18" t="s">
        <v>37</v>
      </c>
      <c r="F265" s="18" t="s">
        <v>370</v>
      </c>
      <c r="G265" s="18" t="s">
        <v>40</v>
      </c>
      <c r="H265" s="18">
        <v>0.35</v>
      </c>
      <c r="I265" s="20">
        <v>0.09</v>
      </c>
      <c r="J265" s="21">
        <v>0.35</v>
      </c>
      <c r="K265" s="20">
        <f t="shared" ca="1" si="4"/>
        <v>0.03</v>
      </c>
    </row>
    <row r="266" spans="2:11">
      <c r="B266" s="18" t="str">
        <f xml:space="preserve"> TRIM( "9782940447121" )</f>
        <v>9782940447121</v>
      </c>
      <c r="C266" s="18" t="s">
        <v>371</v>
      </c>
      <c r="D266" s="18" t="s">
        <v>372</v>
      </c>
      <c r="E266" s="18" t="s">
        <v>37</v>
      </c>
      <c r="F266" s="18" t="s">
        <v>373</v>
      </c>
      <c r="G266" s="18" t="s">
        <v>39</v>
      </c>
      <c r="H266" s="18">
        <v>0.3</v>
      </c>
      <c r="I266" s="20">
        <v>27.9</v>
      </c>
      <c r="J266" s="21">
        <v>0.3</v>
      </c>
      <c r="K266" s="20">
        <f t="shared" ca="1" si="4"/>
        <v>8.3699999999999992</v>
      </c>
    </row>
    <row r="267" spans="2:11">
      <c r="B267" s="18" t="str">
        <f xml:space="preserve"> TRIM( "9782940447138" )</f>
        <v>9782940447138</v>
      </c>
      <c r="C267" s="18" t="s">
        <v>374</v>
      </c>
      <c r="D267" s="18" t="s">
        <v>375</v>
      </c>
      <c r="E267" s="18" t="s">
        <v>37</v>
      </c>
      <c r="F267" s="18" t="s">
        <v>376</v>
      </c>
      <c r="G267" s="18" t="s">
        <v>39</v>
      </c>
      <c r="H267" s="18">
        <v>0.3</v>
      </c>
      <c r="I267" s="20">
        <v>15.62</v>
      </c>
      <c r="J267" s="21">
        <v>0.3</v>
      </c>
      <c r="K267" s="20">
        <f t="shared" ca="1" si="4"/>
        <v>4.6900000000000004</v>
      </c>
    </row>
    <row r="268" spans="2:11">
      <c r="B268" s="18" t="str">
        <f xml:space="preserve"> TRIM( "9782940447138" )</f>
        <v>9782940447138</v>
      </c>
      <c r="C268" s="18" t="s">
        <v>374</v>
      </c>
      <c r="D268" s="18" t="s">
        <v>375</v>
      </c>
      <c r="E268" s="18" t="s">
        <v>37</v>
      </c>
      <c r="F268" s="18" t="s">
        <v>376</v>
      </c>
      <c r="G268" s="18" t="s">
        <v>40</v>
      </c>
      <c r="H268" s="18">
        <v>0.35</v>
      </c>
      <c r="I268" s="20">
        <v>0.03</v>
      </c>
      <c r="J268" s="21">
        <v>0.35</v>
      </c>
      <c r="K268" s="20">
        <f t="shared" ca="1" si="4"/>
        <v>0.01</v>
      </c>
    </row>
    <row r="269" spans="2:11">
      <c r="B269" s="18" t="str">
        <f xml:space="preserve"> TRIM( "9782940447145" )</f>
        <v>9782940447145</v>
      </c>
      <c r="C269" s="18" t="s">
        <v>377</v>
      </c>
      <c r="D269" s="18" t="s">
        <v>378</v>
      </c>
      <c r="E269" s="18" t="s">
        <v>37</v>
      </c>
      <c r="F269" s="18" t="s">
        <v>118</v>
      </c>
      <c r="G269" s="18" t="s">
        <v>39</v>
      </c>
      <c r="H269" s="18">
        <v>0.3</v>
      </c>
      <c r="I269" s="20">
        <v>62.76</v>
      </c>
      <c r="J269" s="21">
        <v>0.3</v>
      </c>
      <c r="K269" s="20">
        <f t="shared" ca="1" si="4"/>
        <v>18.829999999999998</v>
      </c>
    </row>
    <row r="270" spans="2:11">
      <c r="B270" s="18" t="str">
        <f xml:space="preserve"> TRIM( "9782940447145" )</f>
        <v>9782940447145</v>
      </c>
      <c r="C270" s="18" t="s">
        <v>377</v>
      </c>
      <c r="D270" s="18" t="s">
        <v>378</v>
      </c>
      <c r="E270" s="18" t="s">
        <v>37</v>
      </c>
      <c r="F270" s="18" t="s">
        <v>118</v>
      </c>
      <c r="G270" s="18" t="s">
        <v>40</v>
      </c>
      <c r="H270" s="18">
        <v>0.35</v>
      </c>
      <c r="I270" s="20">
        <v>11.55</v>
      </c>
      <c r="J270" s="21">
        <v>0.35</v>
      </c>
      <c r="K270" s="20">
        <f t="shared" ca="1" si="4"/>
        <v>4.04</v>
      </c>
    </row>
    <row r="271" spans="2:11">
      <c r="B271" s="18" t="str">
        <f xml:space="preserve"> TRIM( "9782940447169" )</f>
        <v>9782940447169</v>
      </c>
      <c r="C271" s="18" t="s">
        <v>379</v>
      </c>
      <c r="D271" s="18" t="s">
        <v>380</v>
      </c>
      <c r="E271" s="18" t="s">
        <v>37</v>
      </c>
      <c r="F271" s="18" t="s">
        <v>68</v>
      </c>
      <c r="G271" s="18" t="s">
        <v>39</v>
      </c>
      <c r="H271" s="18">
        <v>0.3</v>
      </c>
      <c r="I271" s="20">
        <v>131.59</v>
      </c>
      <c r="J271" s="21">
        <v>0.3</v>
      </c>
      <c r="K271" s="20">
        <f t="shared" ref="K271:K284" ca="1" si="5" xml:space="preserve"> ROUND( ( INDIRECT( ADDRESS( ROW(), COLUMN()- 2 ))) * ( INDIRECT( ADDRESS( ROW(), COLUMN()- 1 ))), 2 )</f>
        <v>39.479999999999997</v>
      </c>
    </row>
    <row r="272" spans="2:11">
      <c r="B272" s="18" t="str">
        <f xml:space="preserve"> TRIM( "9782940447169" )</f>
        <v>9782940447169</v>
      </c>
      <c r="C272" s="18" t="s">
        <v>379</v>
      </c>
      <c r="D272" s="18" t="s">
        <v>380</v>
      </c>
      <c r="E272" s="18" t="s">
        <v>37</v>
      </c>
      <c r="F272" s="18" t="s">
        <v>68</v>
      </c>
      <c r="G272" s="18" t="s">
        <v>40</v>
      </c>
      <c r="H272" s="18">
        <v>0.35</v>
      </c>
      <c r="I272" s="20">
        <v>31.16</v>
      </c>
      <c r="J272" s="21">
        <v>0.35</v>
      </c>
      <c r="K272" s="20">
        <f t="shared" ca="1" si="5"/>
        <v>10.91</v>
      </c>
    </row>
    <row r="273" spans="2:11">
      <c r="B273" s="18" t="str">
        <f xml:space="preserve"> TRIM( "9782940447176" )</f>
        <v>9782940447176</v>
      </c>
      <c r="C273" s="18" t="s">
        <v>381</v>
      </c>
      <c r="D273" s="18" t="s">
        <v>382</v>
      </c>
      <c r="E273" s="18" t="s">
        <v>37</v>
      </c>
      <c r="F273" s="18" t="s">
        <v>383</v>
      </c>
      <c r="G273" s="18" t="s">
        <v>39</v>
      </c>
      <c r="H273" s="18">
        <v>0.3</v>
      </c>
      <c r="I273" s="20">
        <v>13.01</v>
      </c>
      <c r="J273" s="21">
        <v>0.3</v>
      </c>
      <c r="K273" s="20">
        <f t="shared" ca="1" si="5"/>
        <v>3.9</v>
      </c>
    </row>
    <row r="274" spans="2:11">
      <c r="B274" s="18" t="str">
        <f xml:space="preserve"> TRIM( "9782940447176" )</f>
        <v>9782940447176</v>
      </c>
      <c r="C274" s="18" t="s">
        <v>381</v>
      </c>
      <c r="D274" s="18" t="s">
        <v>382</v>
      </c>
      <c r="E274" s="18" t="s">
        <v>37</v>
      </c>
      <c r="F274" s="18" t="s">
        <v>383</v>
      </c>
      <c r="G274" s="18" t="s">
        <v>40</v>
      </c>
      <c r="H274" s="18">
        <v>0.35</v>
      </c>
      <c r="I274" s="20">
        <v>8.7200000000000006</v>
      </c>
      <c r="J274" s="21">
        <v>0.35</v>
      </c>
      <c r="K274" s="20">
        <f t="shared" ca="1" si="5"/>
        <v>3.05</v>
      </c>
    </row>
    <row r="275" spans="2:11">
      <c r="B275" s="18" t="str">
        <f xml:space="preserve"> TRIM( "9782940447183" )</f>
        <v>9782940447183</v>
      </c>
      <c r="C275" s="18" t="s">
        <v>384</v>
      </c>
      <c r="D275" s="18" t="s">
        <v>327</v>
      </c>
      <c r="E275" s="18" t="s">
        <v>37</v>
      </c>
      <c r="F275" s="18" t="s">
        <v>328</v>
      </c>
      <c r="G275" s="18" t="s">
        <v>39</v>
      </c>
      <c r="H275" s="18">
        <v>0.3</v>
      </c>
      <c r="I275" s="20">
        <v>26.33</v>
      </c>
      <c r="J275" s="21">
        <v>0.3</v>
      </c>
      <c r="K275" s="20">
        <f t="shared" ca="1" si="5"/>
        <v>7.9</v>
      </c>
    </row>
    <row r="276" spans="2:11">
      <c r="B276" s="18" t="str">
        <f xml:space="preserve"> TRIM( "9782940447183" )</f>
        <v>9782940447183</v>
      </c>
      <c r="C276" s="18" t="s">
        <v>384</v>
      </c>
      <c r="D276" s="18" t="s">
        <v>327</v>
      </c>
      <c r="E276" s="18" t="s">
        <v>37</v>
      </c>
      <c r="F276" s="18" t="s">
        <v>328</v>
      </c>
      <c r="G276" s="18" t="s">
        <v>40</v>
      </c>
      <c r="H276" s="18">
        <v>0.35</v>
      </c>
      <c r="I276" s="20">
        <v>14.23</v>
      </c>
      <c r="J276" s="21">
        <v>0.35</v>
      </c>
      <c r="K276" s="20">
        <f t="shared" ca="1" si="5"/>
        <v>4.9800000000000004</v>
      </c>
    </row>
    <row r="277" spans="2:11">
      <c r="B277" s="18" t="str">
        <f xml:space="preserve"> TRIM( "9782940447244" )</f>
        <v>9782940447244</v>
      </c>
      <c r="C277" s="18" t="s">
        <v>385</v>
      </c>
      <c r="D277" s="18" t="s">
        <v>338</v>
      </c>
      <c r="E277" s="18" t="s">
        <v>37</v>
      </c>
      <c r="F277" s="18" t="s">
        <v>68</v>
      </c>
      <c r="G277" s="18" t="s">
        <v>39</v>
      </c>
      <c r="H277" s="18">
        <v>0.3</v>
      </c>
      <c r="I277" s="20">
        <v>213.82</v>
      </c>
      <c r="J277" s="21">
        <v>0.3</v>
      </c>
      <c r="K277" s="20">
        <f t="shared" ca="1" si="5"/>
        <v>64.150000000000006</v>
      </c>
    </row>
    <row r="278" spans="2:11">
      <c r="B278" s="18" t="str">
        <f xml:space="preserve"> TRIM( "9782940447244" )</f>
        <v>9782940447244</v>
      </c>
      <c r="C278" s="18" t="s">
        <v>385</v>
      </c>
      <c r="D278" s="18" t="s">
        <v>338</v>
      </c>
      <c r="E278" s="18" t="s">
        <v>37</v>
      </c>
      <c r="F278" s="18" t="s">
        <v>68</v>
      </c>
      <c r="G278" s="18" t="s">
        <v>40</v>
      </c>
      <c r="H278" s="18">
        <v>0.35</v>
      </c>
      <c r="I278" s="20">
        <v>63.26</v>
      </c>
      <c r="J278" s="21">
        <v>0.35</v>
      </c>
      <c r="K278" s="20">
        <f t="shared" ca="1" si="5"/>
        <v>22.14</v>
      </c>
    </row>
    <row r="279" spans="2:11">
      <c r="B279" s="18" t="str">
        <f xml:space="preserve"> TRIM( "9782940447251" )</f>
        <v>9782940447251</v>
      </c>
      <c r="C279" s="18" t="s">
        <v>386</v>
      </c>
      <c r="D279" s="18" t="s">
        <v>67</v>
      </c>
      <c r="E279" s="18" t="s">
        <v>37</v>
      </c>
      <c r="F279" s="18" t="s">
        <v>68</v>
      </c>
      <c r="G279" s="18" t="s">
        <v>39</v>
      </c>
      <c r="H279" s="18">
        <v>0.3</v>
      </c>
      <c r="I279" s="20">
        <v>27.06</v>
      </c>
      <c r="J279" s="21">
        <v>0.3</v>
      </c>
      <c r="K279" s="20">
        <f t="shared" ca="1" si="5"/>
        <v>8.1199999999999992</v>
      </c>
    </row>
    <row r="280" spans="2:11">
      <c r="B280" s="18" t="str">
        <f xml:space="preserve"> TRIM( "9782940447251" )</f>
        <v>9782940447251</v>
      </c>
      <c r="C280" s="18" t="s">
        <v>386</v>
      </c>
      <c r="D280" s="18" t="s">
        <v>67</v>
      </c>
      <c r="E280" s="18" t="s">
        <v>37</v>
      </c>
      <c r="F280" s="18" t="s">
        <v>68</v>
      </c>
      <c r="G280" s="18" t="s">
        <v>40</v>
      </c>
      <c r="H280" s="18">
        <v>0.35</v>
      </c>
      <c r="I280" s="20">
        <v>35.57</v>
      </c>
      <c r="J280" s="21">
        <v>0.35</v>
      </c>
      <c r="K280" s="20">
        <f t="shared" ca="1" si="5"/>
        <v>12.45</v>
      </c>
    </row>
    <row r="281" spans="2:11">
      <c r="B281" s="18" t="str">
        <f xml:space="preserve"> TRIM( "9782940447282" )</f>
        <v>9782940447282</v>
      </c>
      <c r="C281" s="18" t="s">
        <v>387</v>
      </c>
      <c r="D281" s="18" t="s">
        <v>388</v>
      </c>
      <c r="E281" s="18" t="s">
        <v>37</v>
      </c>
      <c r="F281" s="18" t="s">
        <v>295</v>
      </c>
      <c r="G281" s="18" t="s">
        <v>39</v>
      </c>
      <c r="H281" s="18">
        <v>0.3</v>
      </c>
      <c r="I281" s="20">
        <v>63.22</v>
      </c>
      <c r="J281" s="21">
        <v>0.3</v>
      </c>
      <c r="K281" s="20">
        <f t="shared" ca="1" si="5"/>
        <v>18.97</v>
      </c>
    </row>
    <row r="282" spans="2:11">
      <c r="B282" s="18" t="str">
        <f xml:space="preserve"> TRIM( "9782940447282" )</f>
        <v>9782940447282</v>
      </c>
      <c r="C282" s="18" t="s">
        <v>387</v>
      </c>
      <c r="D282" s="18" t="s">
        <v>388</v>
      </c>
      <c r="E282" s="18" t="s">
        <v>37</v>
      </c>
      <c r="F282" s="18" t="s">
        <v>295</v>
      </c>
      <c r="G282" s="18" t="s">
        <v>40</v>
      </c>
      <c r="H282" s="18">
        <v>0.35</v>
      </c>
      <c r="I282" s="20">
        <v>13.91</v>
      </c>
      <c r="J282" s="21">
        <v>0.35</v>
      </c>
      <c r="K282" s="20">
        <f t="shared" ca="1" si="5"/>
        <v>4.87</v>
      </c>
    </row>
    <row r="283" spans="2:11">
      <c r="B283" s="18" t="str">
        <f xml:space="preserve"> TRIM( "9782940447329" )</f>
        <v>9782940447329</v>
      </c>
      <c r="C283" s="18" t="s">
        <v>389</v>
      </c>
      <c r="D283" s="18" t="s">
        <v>390</v>
      </c>
      <c r="E283" s="18" t="s">
        <v>37</v>
      </c>
      <c r="F283" s="18" t="s">
        <v>68</v>
      </c>
      <c r="G283" s="18" t="s">
        <v>39</v>
      </c>
      <c r="H283" s="18">
        <v>0.3</v>
      </c>
      <c r="I283" s="20">
        <v>95.82</v>
      </c>
      <c r="J283" s="21">
        <v>0.3</v>
      </c>
      <c r="K283" s="20">
        <f t="shared" ca="1" si="5"/>
        <v>28.75</v>
      </c>
    </row>
    <row r="284" spans="2:11">
      <c r="B284" s="18" t="str">
        <f xml:space="preserve"> TRIM( "9782940447329" )</f>
        <v>9782940447329</v>
      </c>
      <c r="C284" s="18" t="s">
        <v>389</v>
      </c>
      <c r="D284" s="18" t="s">
        <v>390</v>
      </c>
      <c r="E284" s="18" t="s">
        <v>37</v>
      </c>
      <c r="F284" s="18" t="s">
        <v>68</v>
      </c>
      <c r="G284" s="18" t="s">
        <v>40</v>
      </c>
      <c r="H284" s="18">
        <v>0.35</v>
      </c>
      <c r="I284" s="22">
        <v>15.62</v>
      </c>
      <c r="J284" s="23">
        <v>0.35</v>
      </c>
      <c r="K284" s="20">
        <f t="shared" ca="1" si="5"/>
        <v>5.47</v>
      </c>
    </row>
    <row r="287" spans="2:11">
      <c r="D287" s="18"/>
      <c r="I287" s="24" t="str">
        <f xml:space="preserve"> "Payment Due"</f>
        <v>Payment Due</v>
      </c>
      <c r="J287" s="20">
        <v>4560.2299999999996</v>
      </c>
    </row>
    <row r="289" spans="1:21">
      <c r="A289"/>
      <c r="D289" s="18" t="str">
        <f xml:space="preserve"> StatementComment</f>
        <v xml:space="preserve"> </v>
      </c>
      <c r="U289" s="18" t="str">
        <f xml:space="preserve"> "Statement Comment Flag"</f>
        <v>Statement Comment Flag</v>
      </c>
    </row>
  </sheetData>
  <sheetProtection sheet="1" objects="1" scenarios="1" formatCells="0" formatColumns="0" formatRows="0" insertHyperlinks="0"/>
  <hyperlinks>
    <hyperlink ref="B7" r:id="rId1"/>
  </hyperlinks>
  <pageMargins left="0.75" right="0.75" top="1" bottom="1" header="0.5" footer="0.5"/>
  <pageSetup scale="66" fitToHeight="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A_AttentionTo</vt:lpstr>
      <vt:lpstr>A_PublisherAddr1</vt:lpstr>
      <vt:lpstr>A_PublisherAddr2</vt:lpstr>
      <vt:lpstr>A_PublisherAddr3</vt:lpstr>
      <vt:lpstr>A_PublisherCity</vt:lpstr>
      <vt:lpstr>A_PublisherID</vt:lpstr>
      <vt:lpstr>A_PublisherName</vt:lpstr>
      <vt:lpstr>A_PublisherState</vt:lpstr>
      <vt:lpstr>A_PublisherZip</vt:lpstr>
      <vt:lpstr>A_StmtDueDate</vt:lpstr>
      <vt:lpstr>AStmtDueDate</vt:lpstr>
      <vt:lpstr>BPriorPeriodEndDate</vt:lpstr>
      <vt:lpstr>CCurrentPeriodEndDate</vt:lpstr>
      <vt:lpstr>StatementComment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Brackert</dc:creator>
  <cp:lastModifiedBy>Jaime Diaz</cp:lastModifiedBy>
  <dcterms:created xsi:type="dcterms:W3CDTF">1997-08-18T16:59:52Z</dcterms:created>
  <dcterms:modified xsi:type="dcterms:W3CDTF">2014-12-23T19:21:19Z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atement Date">
    <vt:filetime>2014-07-17T20:45:02Z</vt:filetime>
  </property>
</Properties>
</file>