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" windowWidth="15135" windowHeight="9045" firstSheet="1" activeTab="1"/>
  </bookViews>
  <sheets>
    <sheet name="AlliantData" sheetId="465" state="veryHidden" r:id="rId1"/>
    <sheet name="Sheet1" sheetId="1" r:id="rId2"/>
  </sheets>
  <definedNames>
    <definedName name="A_AttentionTo">AlliantData!$B$723</definedName>
    <definedName name="A_PublisherAddr1">AlliantData!$D$723</definedName>
    <definedName name="A_PublisherAddr2">AlliantData!$E$723</definedName>
    <definedName name="A_PublisherAddr3">AlliantData!$F$723</definedName>
    <definedName name="A_PublisherCity">AlliantData!$G$723</definedName>
    <definedName name="A_PublisherID">AlliantData!$A$723</definedName>
    <definedName name="A_PublisherName">AlliantData!$C$723</definedName>
    <definedName name="A_PublisherState">AlliantData!$H$723</definedName>
    <definedName name="A_PublisherZip">AlliantData!$I$723</definedName>
    <definedName name="A_StmtDueDate">AlliantData!$J$723</definedName>
    <definedName name="AccountDescr">#REF!</definedName>
    <definedName name="alliantsort_1">#REF!</definedName>
    <definedName name="Amount">#REF!</definedName>
    <definedName name="ARcptName">#REF!</definedName>
    <definedName name="AStmtDueDate">AlliantData!$A$729</definedName>
    <definedName name="BPriorPeriodEndDate">AlliantData!$B$729</definedName>
    <definedName name="BRcptCompany">#REF!</definedName>
    <definedName name="CCurrentPeriodEndDate">AlliantData!$C$729</definedName>
    <definedName name="Comment">#REF!</definedName>
    <definedName name="CRcptCOName">#REF!</definedName>
    <definedName name="CurStmtDueDate">#REF!</definedName>
    <definedName name="DRcptAttnName">#REF!</definedName>
    <definedName name="ERcptAddr1">#REF!</definedName>
    <definedName name="FRcptAddr2">#REF!</definedName>
    <definedName name="GRcptAddr3">#REF!</definedName>
    <definedName name="HRcptCity">#REF!</definedName>
    <definedName name="IRcptState">#REF!</definedName>
    <definedName name="ISBNFlag">#REF!</definedName>
    <definedName name="JRcptZip">#REF!</definedName>
    <definedName name="KRcptCntry">#REF!</definedName>
    <definedName name="LRcptID">#REF!</definedName>
    <definedName name="PmtRecipientPaymentMinimum">#REF!</definedName>
    <definedName name="PriorStmtPeriodEndDate">#REF!</definedName>
    <definedName name="Rate">#REF!</definedName>
    <definedName name="Rate3">#REF!</definedName>
    <definedName name="RecipientRate">#REF!</definedName>
    <definedName name="StatementComment">AlliantData!$A$726</definedName>
    <definedName name="StatementPeriodEndDate">#REF!</definedName>
    <definedName name="TitleTitleEISBN">#REF!</definedName>
    <definedName name="TitleTitleISBN13">#REF!</definedName>
    <definedName name="TransTypeID">#REF!</definedName>
  </definedNames>
  <calcPr calcId="125725"/>
  <pivotCaches>
    <pivotCache cacheId="0" r:id="rId3"/>
    <pivotCache cacheId="1" r:id="rId4"/>
  </pivotCaches>
</workbook>
</file>

<file path=xl/calcChain.xml><?xml version="1.0" encoding="utf-8"?>
<calcChain xmlns="http://schemas.openxmlformats.org/spreadsheetml/2006/main">
  <c r="U735" i="1"/>
  <c r="D735"/>
  <c r="I733"/>
  <c r="C730"/>
  <c r="B730"/>
  <c r="C729"/>
  <c r="B729"/>
  <c r="C728"/>
  <c r="B728"/>
  <c r="C727"/>
  <c r="B727"/>
  <c r="C726"/>
  <c r="B726"/>
  <c r="C725"/>
  <c r="B725"/>
  <c r="C724"/>
  <c r="B724"/>
  <c r="C723"/>
  <c r="B723"/>
  <c r="C722"/>
  <c r="B722"/>
  <c r="C721"/>
  <c r="B721"/>
  <c r="C720"/>
  <c r="B720"/>
  <c r="C719"/>
  <c r="B719"/>
  <c r="C718"/>
  <c r="B718"/>
  <c r="C717"/>
  <c r="B717"/>
  <c r="C716"/>
  <c r="B716"/>
  <c r="C715"/>
  <c r="B715"/>
  <c r="C714"/>
  <c r="B714"/>
  <c r="C713"/>
  <c r="B713"/>
  <c r="C712"/>
  <c r="B712"/>
  <c r="C711"/>
  <c r="B711"/>
  <c r="C710"/>
  <c r="B710"/>
  <c r="C709"/>
  <c r="B709"/>
  <c r="C708"/>
  <c r="B708"/>
  <c r="C707"/>
  <c r="B707"/>
  <c r="C706"/>
  <c r="B706"/>
  <c r="C705"/>
  <c r="B705"/>
  <c r="C704"/>
  <c r="B704"/>
  <c r="C703"/>
  <c r="B703"/>
  <c r="C702"/>
  <c r="B702"/>
  <c r="C701"/>
  <c r="B701"/>
  <c r="C700"/>
  <c r="B700"/>
  <c r="C699"/>
  <c r="B699"/>
  <c r="C698"/>
  <c r="B698"/>
  <c r="C697"/>
  <c r="B697"/>
  <c r="C696"/>
  <c r="B696"/>
  <c r="C695"/>
  <c r="B695"/>
  <c r="C694"/>
  <c r="B694"/>
  <c r="C693"/>
  <c r="B693"/>
  <c r="C692"/>
  <c r="B692"/>
  <c r="C691"/>
  <c r="B691"/>
  <c r="C690"/>
  <c r="B690"/>
  <c r="C689"/>
  <c r="B689"/>
  <c r="C688"/>
  <c r="B688"/>
  <c r="C687"/>
  <c r="B687"/>
  <c r="C686"/>
  <c r="B686"/>
  <c r="C685"/>
  <c r="B685"/>
  <c r="C684"/>
  <c r="B684"/>
  <c r="C683"/>
  <c r="B683"/>
  <c r="C682"/>
  <c r="B682"/>
  <c r="C681"/>
  <c r="B681"/>
  <c r="C680"/>
  <c r="B680"/>
  <c r="C679"/>
  <c r="B679"/>
  <c r="C678"/>
  <c r="B678"/>
  <c r="C677"/>
  <c r="B677"/>
  <c r="C676"/>
  <c r="B676"/>
  <c r="C675"/>
  <c r="B675"/>
  <c r="C674"/>
  <c r="B674"/>
  <c r="C673"/>
  <c r="B673"/>
  <c r="C672"/>
  <c r="B672"/>
  <c r="C671"/>
  <c r="B671"/>
  <c r="C670"/>
  <c r="B670"/>
  <c r="C669"/>
  <c r="B669"/>
  <c r="C668"/>
  <c r="B668"/>
  <c r="C667"/>
  <c r="B667"/>
  <c r="C666"/>
  <c r="B666"/>
  <c r="C665"/>
  <c r="B665"/>
  <c r="C664"/>
  <c r="B664"/>
  <c r="C663"/>
  <c r="B663"/>
  <c r="C662"/>
  <c r="B662"/>
  <c r="C661"/>
  <c r="B661"/>
  <c r="C660"/>
  <c r="B660"/>
  <c r="C659"/>
  <c r="B659"/>
  <c r="C658"/>
  <c r="B658"/>
  <c r="C657"/>
  <c r="B657"/>
  <c r="C656"/>
  <c r="B656"/>
  <c r="C655"/>
  <c r="B655"/>
  <c r="C654"/>
  <c r="B654"/>
  <c r="C653"/>
  <c r="B653"/>
  <c r="C652"/>
  <c r="B652"/>
  <c r="C651"/>
  <c r="B651"/>
  <c r="C650"/>
  <c r="B650"/>
  <c r="C649"/>
  <c r="B649"/>
  <c r="C648"/>
  <c r="B648"/>
  <c r="C647"/>
  <c r="B647"/>
  <c r="C646"/>
  <c r="B646"/>
  <c r="C645"/>
  <c r="B645"/>
  <c r="C644"/>
  <c r="B644"/>
  <c r="C643"/>
  <c r="B643"/>
  <c r="C642"/>
  <c r="B642"/>
  <c r="C641"/>
  <c r="B641"/>
  <c r="C640"/>
  <c r="B640"/>
  <c r="C639"/>
  <c r="B639"/>
  <c r="C638"/>
  <c r="B638"/>
  <c r="C637"/>
  <c r="B637"/>
  <c r="C636"/>
  <c r="B636"/>
  <c r="C635"/>
  <c r="B635"/>
  <c r="C634"/>
  <c r="B634"/>
  <c r="C633"/>
  <c r="B633"/>
  <c r="C632"/>
  <c r="B632"/>
  <c r="C631"/>
  <c r="B631"/>
  <c r="C630"/>
  <c r="B630"/>
  <c r="C629"/>
  <c r="B629"/>
  <c r="C628"/>
  <c r="B628"/>
  <c r="C627"/>
  <c r="B627"/>
  <c r="C626"/>
  <c r="B626"/>
  <c r="C625"/>
  <c r="B625"/>
  <c r="C624"/>
  <c r="B624"/>
  <c r="C623"/>
  <c r="B623"/>
  <c r="C622"/>
  <c r="B622"/>
  <c r="C621"/>
  <c r="B621"/>
  <c r="C620"/>
  <c r="B620"/>
  <c r="C619"/>
  <c r="B619"/>
  <c r="C618"/>
  <c r="B618"/>
  <c r="C617"/>
  <c r="B617"/>
  <c r="C616"/>
  <c r="B616"/>
  <c r="C615"/>
  <c r="B615"/>
  <c r="C614"/>
  <c r="B614"/>
  <c r="C613"/>
  <c r="B613"/>
  <c r="C612"/>
  <c r="B612"/>
  <c r="C611"/>
  <c r="B611"/>
  <c r="C610"/>
  <c r="B610"/>
  <c r="C609"/>
  <c r="B609"/>
  <c r="C608"/>
  <c r="B608"/>
  <c r="C607"/>
  <c r="B607"/>
  <c r="C606"/>
  <c r="B606"/>
  <c r="C605"/>
  <c r="B605"/>
  <c r="C604"/>
  <c r="B604"/>
  <c r="C603"/>
  <c r="B603"/>
  <c r="C602"/>
  <c r="B602"/>
  <c r="C601"/>
  <c r="B601"/>
  <c r="C600"/>
  <c r="B600"/>
  <c r="C599"/>
  <c r="B599"/>
  <c r="C598"/>
  <c r="B598"/>
  <c r="C597"/>
  <c r="B597"/>
  <c r="C596"/>
  <c r="B596"/>
  <c r="C595"/>
  <c r="B595"/>
  <c r="C594"/>
  <c r="B594"/>
  <c r="C593"/>
  <c r="B593"/>
  <c r="C592"/>
  <c r="B592"/>
  <c r="C591"/>
  <c r="B591"/>
  <c r="C590"/>
  <c r="B590"/>
  <c r="C589"/>
  <c r="B589"/>
  <c r="C588"/>
  <c r="B588"/>
  <c r="C587"/>
  <c r="B587"/>
  <c r="C586"/>
  <c r="B586"/>
  <c r="C585"/>
  <c r="B585"/>
  <c r="C584"/>
  <c r="B584"/>
  <c r="C583"/>
  <c r="B583"/>
  <c r="C582"/>
  <c r="B582"/>
  <c r="C581"/>
  <c r="B581"/>
  <c r="C580"/>
  <c r="B580"/>
  <c r="C579"/>
  <c r="B579"/>
  <c r="C578"/>
  <c r="B578"/>
  <c r="C577"/>
  <c r="B577"/>
  <c r="C576"/>
  <c r="B576"/>
  <c r="C575"/>
  <c r="B575"/>
  <c r="C574"/>
  <c r="B574"/>
  <c r="C573"/>
  <c r="B573"/>
  <c r="C572"/>
  <c r="B572"/>
  <c r="C571"/>
  <c r="B571"/>
  <c r="C570"/>
  <c r="B570"/>
  <c r="C569"/>
  <c r="B569"/>
  <c r="C568"/>
  <c r="B568"/>
  <c r="C567"/>
  <c r="B567"/>
  <c r="C566"/>
  <c r="B566"/>
  <c r="C565"/>
  <c r="B565"/>
  <c r="C564"/>
  <c r="B564"/>
  <c r="C563"/>
  <c r="B563"/>
  <c r="C562"/>
  <c r="B562"/>
  <c r="C561"/>
  <c r="B561"/>
  <c r="C560"/>
  <c r="B560"/>
  <c r="C559"/>
  <c r="B559"/>
  <c r="C558"/>
  <c r="B558"/>
  <c r="C557"/>
  <c r="B557"/>
  <c r="C556"/>
  <c r="B556"/>
  <c r="C555"/>
  <c r="B555"/>
  <c r="C554"/>
  <c r="B554"/>
  <c r="C553"/>
  <c r="B553"/>
  <c r="C552"/>
  <c r="B552"/>
  <c r="C551"/>
  <c r="B551"/>
  <c r="C550"/>
  <c r="B550"/>
  <c r="C549"/>
  <c r="B549"/>
  <c r="C548"/>
  <c r="B548"/>
  <c r="C547"/>
  <c r="B547"/>
  <c r="C546"/>
  <c r="B546"/>
  <c r="C545"/>
  <c r="B545"/>
  <c r="C544"/>
  <c r="B544"/>
  <c r="C543"/>
  <c r="B543"/>
  <c r="C542"/>
  <c r="B542"/>
  <c r="C541"/>
  <c r="B541"/>
  <c r="C540"/>
  <c r="B540"/>
  <c r="C539"/>
  <c r="B539"/>
  <c r="C538"/>
  <c r="B538"/>
  <c r="C537"/>
  <c r="B537"/>
  <c r="C536"/>
  <c r="B536"/>
  <c r="C535"/>
  <c r="B535"/>
  <c r="C534"/>
  <c r="B534"/>
  <c r="C533"/>
  <c r="B533"/>
  <c r="C532"/>
  <c r="B532"/>
  <c r="C531"/>
  <c r="B531"/>
  <c r="C530"/>
  <c r="B530"/>
  <c r="C529"/>
  <c r="B529"/>
  <c r="C528"/>
  <c r="B528"/>
  <c r="C527"/>
  <c r="B527"/>
  <c r="C526"/>
  <c r="B526"/>
  <c r="C525"/>
  <c r="B525"/>
  <c r="C524"/>
  <c r="B524"/>
  <c r="C523"/>
  <c r="B523"/>
  <c r="C522"/>
  <c r="B522"/>
  <c r="C521"/>
  <c r="B521"/>
  <c r="C520"/>
  <c r="B520"/>
  <c r="C519"/>
  <c r="B519"/>
  <c r="C518"/>
  <c r="B518"/>
  <c r="C517"/>
  <c r="B517"/>
  <c r="C516"/>
  <c r="B516"/>
  <c r="C515"/>
  <c r="B515"/>
  <c r="C514"/>
  <c r="B514"/>
  <c r="C513"/>
  <c r="B513"/>
  <c r="C512"/>
  <c r="B512"/>
  <c r="C511"/>
  <c r="B511"/>
  <c r="C510"/>
  <c r="B510"/>
  <c r="C509"/>
  <c r="B509"/>
  <c r="C508"/>
  <c r="B508"/>
  <c r="C507"/>
  <c r="B507"/>
  <c r="C506"/>
  <c r="B506"/>
  <c r="C505"/>
  <c r="B505"/>
  <c r="C504"/>
  <c r="B504"/>
  <c r="C503"/>
  <c r="B503"/>
  <c r="C502"/>
  <c r="B502"/>
  <c r="C501"/>
  <c r="B501"/>
  <c r="C500"/>
  <c r="B500"/>
  <c r="C499"/>
  <c r="B499"/>
  <c r="C498"/>
  <c r="B498"/>
  <c r="C497"/>
  <c r="B497"/>
  <c r="C496"/>
  <c r="B496"/>
  <c r="C495"/>
  <c r="B495"/>
  <c r="C494"/>
  <c r="B494"/>
  <c r="C493"/>
  <c r="B493"/>
  <c r="C492"/>
  <c r="B492"/>
  <c r="C491"/>
  <c r="B491"/>
  <c r="C490"/>
  <c r="B490"/>
  <c r="C489"/>
  <c r="B489"/>
  <c r="C488"/>
  <c r="B488"/>
  <c r="C487"/>
  <c r="B487"/>
  <c r="C486"/>
  <c r="B486"/>
  <c r="C485"/>
  <c r="B485"/>
  <c r="C484"/>
  <c r="B484"/>
  <c r="C483"/>
  <c r="B483"/>
  <c r="C482"/>
  <c r="B482"/>
  <c r="C481"/>
  <c r="B481"/>
  <c r="C480"/>
  <c r="B480"/>
  <c r="C479"/>
  <c r="B479"/>
  <c r="C478"/>
  <c r="B478"/>
  <c r="C477"/>
  <c r="B477"/>
  <c r="C476"/>
  <c r="B476"/>
  <c r="C475"/>
  <c r="B475"/>
  <c r="C474"/>
  <c r="B474"/>
  <c r="C473"/>
  <c r="B473"/>
  <c r="C472"/>
  <c r="B472"/>
  <c r="C471"/>
  <c r="B471"/>
  <c r="C470"/>
  <c r="B470"/>
  <c r="C469"/>
  <c r="B469"/>
  <c r="C468"/>
  <c r="B468"/>
  <c r="C467"/>
  <c r="B467"/>
  <c r="C466"/>
  <c r="B466"/>
  <c r="C465"/>
  <c r="B465"/>
  <c r="C464"/>
  <c r="B464"/>
  <c r="C463"/>
  <c r="B463"/>
  <c r="C462"/>
  <c r="B462"/>
  <c r="C461"/>
  <c r="B461"/>
  <c r="C460"/>
  <c r="B460"/>
  <c r="C459"/>
  <c r="B459"/>
  <c r="C458"/>
  <c r="B458"/>
  <c r="C457"/>
  <c r="B457"/>
  <c r="C456"/>
  <c r="B456"/>
  <c r="C455"/>
  <c r="B455"/>
  <c r="C454"/>
  <c r="B454"/>
  <c r="C453"/>
  <c r="B453"/>
  <c r="C452"/>
  <c r="B452"/>
  <c r="C451"/>
  <c r="B451"/>
  <c r="C450"/>
  <c r="B450"/>
  <c r="C449"/>
  <c r="B449"/>
  <c r="C448"/>
  <c r="B448"/>
  <c r="C447"/>
  <c r="B447"/>
  <c r="C446"/>
  <c r="B446"/>
  <c r="C445"/>
  <c r="B445"/>
  <c r="C444"/>
  <c r="B444"/>
  <c r="C443"/>
  <c r="B443"/>
  <c r="C442"/>
  <c r="B442"/>
  <c r="C441"/>
  <c r="B441"/>
  <c r="C440"/>
  <c r="B440"/>
  <c r="C439"/>
  <c r="B439"/>
  <c r="C438"/>
  <c r="B438"/>
  <c r="C437"/>
  <c r="B437"/>
  <c r="C436"/>
  <c r="B436"/>
  <c r="C435"/>
  <c r="B435"/>
  <c r="C434"/>
  <c r="B434"/>
  <c r="C433"/>
  <c r="B433"/>
  <c r="C432"/>
  <c r="B432"/>
  <c r="C431"/>
  <c r="B431"/>
  <c r="C430"/>
  <c r="B430"/>
  <c r="C429"/>
  <c r="B429"/>
  <c r="C428"/>
  <c r="B428"/>
  <c r="C427"/>
  <c r="B427"/>
  <c r="C426"/>
  <c r="B426"/>
  <c r="C425"/>
  <c r="B425"/>
  <c r="C424"/>
  <c r="B424"/>
  <c r="C423"/>
  <c r="B423"/>
  <c r="C422"/>
  <c r="B422"/>
  <c r="C421"/>
  <c r="B421"/>
  <c r="C420"/>
  <c r="B420"/>
  <c r="C419"/>
  <c r="B419"/>
  <c r="C418"/>
  <c r="B418"/>
  <c r="C417"/>
  <c r="B417"/>
  <c r="C416"/>
  <c r="B416"/>
  <c r="C415"/>
  <c r="B415"/>
  <c r="C414"/>
  <c r="B414"/>
  <c r="C413"/>
  <c r="B413"/>
  <c r="C412"/>
  <c r="B412"/>
  <c r="C411"/>
  <c r="B411"/>
  <c r="C410"/>
  <c r="B410"/>
  <c r="C409"/>
  <c r="B409"/>
  <c r="C408"/>
  <c r="B408"/>
  <c r="C407"/>
  <c r="B407"/>
  <c r="C406"/>
  <c r="B406"/>
  <c r="C405"/>
  <c r="B405"/>
  <c r="C404"/>
  <c r="B404"/>
  <c r="C403"/>
  <c r="B403"/>
  <c r="C402"/>
  <c r="B402"/>
  <c r="C401"/>
  <c r="B401"/>
  <c r="C400"/>
  <c r="B400"/>
  <c r="C399"/>
  <c r="B399"/>
  <c r="C398"/>
  <c r="B398"/>
  <c r="C397"/>
  <c r="B397"/>
  <c r="C396"/>
  <c r="B396"/>
  <c r="C395"/>
  <c r="B395"/>
  <c r="C394"/>
  <c r="B394"/>
  <c r="C393"/>
  <c r="B393"/>
  <c r="C392"/>
  <c r="B392"/>
  <c r="C391"/>
  <c r="B391"/>
  <c r="C390"/>
  <c r="B390"/>
  <c r="C389"/>
  <c r="B389"/>
  <c r="C388"/>
  <c r="B388"/>
  <c r="C387"/>
  <c r="B387"/>
  <c r="C386"/>
  <c r="B386"/>
  <c r="C385"/>
  <c r="B385"/>
  <c r="C384"/>
  <c r="B384"/>
  <c r="C383"/>
  <c r="B383"/>
  <c r="C382"/>
  <c r="B382"/>
  <c r="C381"/>
  <c r="B381"/>
  <c r="C380"/>
  <c r="B380"/>
  <c r="C379"/>
  <c r="B379"/>
  <c r="C378"/>
  <c r="B378"/>
  <c r="C377"/>
  <c r="B377"/>
  <c r="C376"/>
  <c r="B376"/>
  <c r="C375"/>
  <c r="B375"/>
  <c r="C374"/>
  <c r="B374"/>
  <c r="C373"/>
  <c r="B373"/>
  <c r="C372"/>
  <c r="B372"/>
  <c r="C371"/>
  <c r="B371"/>
  <c r="C370"/>
  <c r="B370"/>
  <c r="C369"/>
  <c r="B369"/>
  <c r="C368"/>
  <c r="B368"/>
  <c r="C367"/>
  <c r="B367"/>
  <c r="C366"/>
  <c r="B366"/>
  <c r="C365"/>
  <c r="B365"/>
  <c r="C364"/>
  <c r="B364"/>
  <c r="C363"/>
  <c r="B363"/>
  <c r="C362"/>
  <c r="B362"/>
  <c r="C361"/>
  <c r="B361"/>
  <c r="C360"/>
  <c r="B360"/>
  <c r="C359"/>
  <c r="B359"/>
  <c r="C358"/>
  <c r="B358"/>
  <c r="C357"/>
  <c r="B357"/>
  <c r="C356"/>
  <c r="B356"/>
  <c r="C355"/>
  <c r="B355"/>
  <c r="C354"/>
  <c r="B354"/>
  <c r="C353"/>
  <c r="B353"/>
  <c r="C352"/>
  <c r="B352"/>
  <c r="C351"/>
  <c r="B351"/>
  <c r="C350"/>
  <c r="B350"/>
  <c r="C349"/>
  <c r="B349"/>
  <c r="C348"/>
  <c r="B348"/>
  <c r="C347"/>
  <c r="B347"/>
  <c r="C346"/>
  <c r="B346"/>
  <c r="C345"/>
  <c r="B345"/>
  <c r="C344"/>
  <c r="B344"/>
  <c r="C343"/>
  <c r="B343"/>
  <c r="C342"/>
  <c r="B342"/>
  <c r="C341"/>
  <c r="B341"/>
  <c r="C340"/>
  <c r="B340"/>
  <c r="C339"/>
  <c r="B339"/>
  <c r="C338"/>
  <c r="B338"/>
  <c r="C337"/>
  <c r="B337"/>
  <c r="C336"/>
  <c r="B336"/>
  <c r="C335"/>
  <c r="B335"/>
  <c r="C334"/>
  <c r="B334"/>
  <c r="C333"/>
  <c r="B333"/>
  <c r="C332"/>
  <c r="B332"/>
  <c r="C331"/>
  <c r="B331"/>
  <c r="C330"/>
  <c r="B330"/>
  <c r="C329"/>
  <c r="B329"/>
  <c r="C328"/>
  <c r="B328"/>
  <c r="C327"/>
  <c r="B327"/>
  <c r="C326"/>
  <c r="B326"/>
  <c r="C325"/>
  <c r="B325"/>
  <c r="C324"/>
  <c r="B324"/>
  <c r="C323"/>
  <c r="B323"/>
  <c r="C322"/>
  <c r="B322"/>
  <c r="C321"/>
  <c r="B321"/>
  <c r="C320"/>
  <c r="B320"/>
  <c r="C319"/>
  <c r="B319"/>
  <c r="C318"/>
  <c r="B318"/>
  <c r="C317"/>
  <c r="B317"/>
  <c r="C316"/>
  <c r="B316"/>
  <c r="C315"/>
  <c r="B315"/>
  <c r="C314"/>
  <c r="B314"/>
  <c r="C313"/>
  <c r="B313"/>
  <c r="C312"/>
  <c r="B312"/>
  <c r="C311"/>
  <c r="B311"/>
  <c r="C310"/>
  <c r="B310"/>
  <c r="C309"/>
  <c r="B309"/>
  <c r="C308"/>
  <c r="B308"/>
  <c r="C307"/>
  <c r="B307"/>
  <c r="C306"/>
  <c r="B306"/>
  <c r="C305"/>
  <c r="B305"/>
  <c r="C304"/>
  <c r="B304"/>
  <c r="C303"/>
  <c r="B303"/>
  <c r="C302"/>
  <c r="B302"/>
  <c r="C301"/>
  <c r="B301"/>
  <c r="C300"/>
  <c r="B300"/>
  <c r="C299"/>
  <c r="B299"/>
  <c r="C298"/>
  <c r="B298"/>
  <c r="C297"/>
  <c r="B297"/>
  <c r="C296"/>
  <c r="B296"/>
  <c r="C295"/>
  <c r="B295"/>
  <c r="C294"/>
  <c r="B294"/>
  <c r="C293"/>
  <c r="B293"/>
  <c r="C292"/>
  <c r="B292"/>
  <c r="C291"/>
  <c r="B291"/>
  <c r="C290"/>
  <c r="B290"/>
  <c r="C289"/>
  <c r="B289"/>
  <c r="C288"/>
  <c r="B288"/>
  <c r="C287"/>
  <c r="B287"/>
  <c r="C286"/>
  <c r="B286"/>
  <c r="C285"/>
  <c r="B285"/>
  <c r="C284"/>
  <c r="B284"/>
  <c r="C283"/>
  <c r="B283"/>
  <c r="C282"/>
  <c r="B282"/>
  <c r="C281"/>
  <c r="B281"/>
  <c r="C280"/>
  <c r="B280"/>
  <c r="C279"/>
  <c r="B279"/>
  <c r="C278"/>
  <c r="B278"/>
  <c r="C277"/>
  <c r="B277"/>
  <c r="C276"/>
  <c r="B276"/>
  <c r="C275"/>
  <c r="B275"/>
  <c r="C274"/>
  <c r="B274"/>
  <c r="C273"/>
  <c r="B273"/>
  <c r="C272"/>
  <c r="B272"/>
  <c r="C271"/>
  <c r="B271"/>
  <c r="C270"/>
  <c r="B270"/>
  <c r="C269"/>
  <c r="B269"/>
  <c r="C268"/>
  <c r="B268"/>
  <c r="C267"/>
  <c r="B267"/>
  <c r="C266"/>
  <c r="B266"/>
  <c r="C265"/>
  <c r="B265"/>
  <c r="C264"/>
  <c r="B264"/>
  <c r="C263"/>
  <c r="B263"/>
  <c r="C262"/>
  <c r="B262"/>
  <c r="C261"/>
  <c r="B261"/>
  <c r="C260"/>
  <c r="B260"/>
  <c r="C259"/>
  <c r="B259"/>
  <c r="C258"/>
  <c r="B258"/>
  <c r="C257"/>
  <c r="B257"/>
  <c r="C256"/>
  <c r="B256"/>
  <c r="C255"/>
  <c r="B255"/>
  <c r="C254"/>
  <c r="B254"/>
  <c r="C253"/>
  <c r="B253"/>
  <c r="C252"/>
  <c r="B252"/>
  <c r="C251"/>
  <c r="B251"/>
  <c r="C250"/>
  <c r="B250"/>
  <c r="C249"/>
  <c r="B249"/>
  <c r="C248"/>
  <c r="B248"/>
  <c r="C247"/>
  <c r="B247"/>
  <c r="C246"/>
  <c r="B246"/>
  <c r="C245"/>
  <c r="B245"/>
  <c r="C244"/>
  <c r="B244"/>
  <c r="C243"/>
  <c r="B243"/>
  <c r="C242"/>
  <c r="B242"/>
  <c r="C241"/>
  <c r="B241"/>
  <c r="C240"/>
  <c r="B240"/>
  <c r="C239"/>
  <c r="B239"/>
  <c r="C238"/>
  <c r="B238"/>
  <c r="C237"/>
  <c r="B237"/>
  <c r="C236"/>
  <c r="B236"/>
  <c r="C235"/>
  <c r="B235"/>
  <c r="C234"/>
  <c r="B234"/>
  <c r="C233"/>
  <c r="B233"/>
  <c r="C232"/>
  <c r="B232"/>
  <c r="C231"/>
  <c r="B231"/>
  <c r="C230"/>
  <c r="B230"/>
  <c r="C229"/>
  <c r="B229"/>
  <c r="C228"/>
  <c r="B228"/>
  <c r="C227"/>
  <c r="B227"/>
  <c r="C226"/>
  <c r="B226"/>
  <c r="C225"/>
  <c r="B225"/>
  <c r="C224"/>
  <c r="B224"/>
  <c r="C223"/>
  <c r="B223"/>
  <c r="C222"/>
  <c r="B222"/>
  <c r="C221"/>
  <c r="B221"/>
  <c r="C220"/>
  <c r="B220"/>
  <c r="C219"/>
  <c r="B219"/>
  <c r="C218"/>
  <c r="B218"/>
  <c r="C217"/>
  <c r="B217"/>
  <c r="C216"/>
  <c r="B216"/>
  <c r="C215"/>
  <c r="B215"/>
  <c r="C214"/>
  <c r="B214"/>
  <c r="C213"/>
  <c r="B213"/>
  <c r="C212"/>
  <c r="B212"/>
  <c r="C211"/>
  <c r="B211"/>
  <c r="C210"/>
  <c r="B210"/>
  <c r="C209"/>
  <c r="B209"/>
  <c r="C208"/>
  <c r="B208"/>
  <c r="C207"/>
  <c r="B207"/>
  <c r="C206"/>
  <c r="B206"/>
  <c r="C205"/>
  <c r="B205"/>
  <c r="C204"/>
  <c r="B204"/>
  <c r="C203"/>
  <c r="B203"/>
  <c r="C202"/>
  <c r="B202"/>
  <c r="C201"/>
  <c r="B201"/>
  <c r="C200"/>
  <c r="B200"/>
  <c r="C199"/>
  <c r="B199"/>
  <c r="C198"/>
  <c r="B198"/>
  <c r="C197"/>
  <c r="B197"/>
  <c r="C196"/>
  <c r="B196"/>
  <c r="C195"/>
  <c r="B195"/>
  <c r="C194"/>
  <c r="B194"/>
  <c r="C193"/>
  <c r="B193"/>
  <c r="C192"/>
  <c r="B192"/>
  <c r="C191"/>
  <c r="B191"/>
  <c r="C190"/>
  <c r="B190"/>
  <c r="C189"/>
  <c r="B189"/>
  <c r="C188"/>
  <c r="B188"/>
  <c r="C187"/>
  <c r="B187"/>
  <c r="C186"/>
  <c r="B186"/>
  <c r="C185"/>
  <c r="B185"/>
  <c r="C184"/>
  <c r="B184"/>
  <c r="C183"/>
  <c r="B183"/>
  <c r="C182"/>
  <c r="B182"/>
  <c r="C181"/>
  <c r="B181"/>
  <c r="C180"/>
  <c r="B180"/>
  <c r="C179"/>
  <c r="B179"/>
  <c r="C178"/>
  <c r="B178"/>
  <c r="C177"/>
  <c r="B177"/>
  <c r="C176"/>
  <c r="B176"/>
  <c r="C175"/>
  <c r="B175"/>
  <c r="C174"/>
  <c r="B174"/>
  <c r="C173"/>
  <c r="B173"/>
  <c r="C172"/>
  <c r="B172"/>
  <c r="C171"/>
  <c r="B171"/>
  <c r="C170"/>
  <c r="B170"/>
  <c r="C169"/>
  <c r="B169"/>
  <c r="C168"/>
  <c r="B168"/>
  <c r="C167"/>
  <c r="B167"/>
  <c r="C166"/>
  <c r="B166"/>
  <c r="C165"/>
  <c r="B165"/>
  <c r="C164"/>
  <c r="B164"/>
  <c r="C163"/>
  <c r="B163"/>
  <c r="C162"/>
  <c r="B162"/>
  <c r="C161"/>
  <c r="B161"/>
  <c r="C160"/>
  <c r="B160"/>
  <c r="C159"/>
  <c r="B159"/>
  <c r="C158"/>
  <c r="B158"/>
  <c r="C157"/>
  <c r="B157"/>
  <c r="C156"/>
  <c r="B156"/>
  <c r="C155"/>
  <c r="B155"/>
  <c r="C154"/>
  <c r="B154"/>
  <c r="C153"/>
  <c r="B153"/>
  <c r="C152"/>
  <c r="B152"/>
  <c r="C151"/>
  <c r="B151"/>
  <c r="C150"/>
  <c r="B150"/>
  <c r="C149"/>
  <c r="B149"/>
  <c r="C148"/>
  <c r="B148"/>
  <c r="C147"/>
  <c r="B147"/>
  <c r="C146"/>
  <c r="B146"/>
  <c r="C145"/>
  <c r="B145"/>
  <c r="C144"/>
  <c r="B144"/>
  <c r="C143"/>
  <c r="B143"/>
  <c r="C142"/>
  <c r="B142"/>
  <c r="C141"/>
  <c r="B141"/>
  <c r="C140"/>
  <c r="B140"/>
  <c r="C139"/>
  <c r="B139"/>
  <c r="C138"/>
  <c r="B138"/>
  <c r="C137"/>
  <c r="B137"/>
  <c r="C136"/>
  <c r="B136"/>
  <c r="C135"/>
  <c r="B135"/>
  <c r="C134"/>
  <c r="B134"/>
  <c r="C133"/>
  <c r="B133"/>
  <c r="C132"/>
  <c r="B132"/>
  <c r="C131"/>
  <c r="B131"/>
  <c r="C130"/>
  <c r="B130"/>
  <c r="C129"/>
  <c r="B129"/>
  <c r="C128"/>
  <c r="B128"/>
  <c r="C127"/>
  <c r="B127"/>
  <c r="C126"/>
  <c r="B126"/>
  <c r="C125"/>
  <c r="B125"/>
  <c r="C124"/>
  <c r="B124"/>
  <c r="C123"/>
  <c r="B123"/>
  <c r="C122"/>
  <c r="B122"/>
  <c r="C121"/>
  <c r="B121"/>
  <c r="C120"/>
  <c r="B120"/>
  <c r="C119"/>
  <c r="B119"/>
  <c r="C118"/>
  <c r="B118"/>
  <c r="C117"/>
  <c r="B117"/>
  <c r="C116"/>
  <c r="B116"/>
  <c r="C115"/>
  <c r="B115"/>
  <c r="C114"/>
  <c r="B114"/>
  <c r="C113"/>
  <c r="B113"/>
  <c r="C112"/>
  <c r="B112"/>
  <c r="C111"/>
  <c r="B111"/>
  <c r="C110"/>
  <c r="B110"/>
  <c r="C109"/>
  <c r="B109"/>
  <c r="C108"/>
  <c r="B108"/>
  <c r="C107"/>
  <c r="B107"/>
  <c r="C106"/>
  <c r="B106"/>
  <c r="C105"/>
  <c r="B105"/>
  <c r="C104"/>
  <c r="B104"/>
  <c r="C103"/>
  <c r="B103"/>
  <c r="C102"/>
  <c r="B102"/>
  <c r="C101"/>
  <c r="B101"/>
  <c r="C100"/>
  <c r="B100"/>
  <c r="C99"/>
  <c r="B99"/>
  <c r="C98"/>
  <c r="B98"/>
  <c r="C97"/>
  <c r="B97"/>
  <c r="C96"/>
  <c r="B96"/>
  <c r="C95"/>
  <c r="B95"/>
  <c r="C94"/>
  <c r="B94"/>
  <c r="C93"/>
  <c r="B93"/>
  <c r="C92"/>
  <c r="B92"/>
  <c r="C91"/>
  <c r="B91"/>
  <c r="C90"/>
  <c r="B90"/>
  <c r="C89"/>
  <c r="B89"/>
  <c r="C88"/>
  <c r="B88"/>
  <c r="C87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C16"/>
  <c r="B16"/>
  <c r="B13"/>
  <c r="B12"/>
  <c r="B11"/>
  <c r="B10"/>
  <c r="B9"/>
  <c r="F5"/>
  <c r="F4"/>
  <c r="K667"/>
  <c r="K603"/>
  <c r="K539"/>
  <c r="K475"/>
  <c r="K411"/>
  <c r="K347"/>
  <c r="K283"/>
  <c r="K219"/>
  <c r="K155"/>
  <c r="K91"/>
  <c r="K27"/>
  <c r="K686"/>
  <c r="K622"/>
  <c r="K558"/>
  <c r="K494"/>
  <c r="K430"/>
  <c r="K366"/>
  <c r="K302"/>
  <c r="K238"/>
  <c r="K174"/>
  <c r="K110"/>
  <c r="K46"/>
  <c r="K81"/>
  <c r="K23"/>
  <c r="K673"/>
  <c r="K609"/>
  <c r="K545"/>
  <c r="K481"/>
  <c r="K417"/>
  <c r="K353"/>
  <c r="K289"/>
  <c r="K225"/>
  <c r="K161"/>
  <c r="K33"/>
  <c r="K708"/>
  <c r="K644"/>
  <c r="K580"/>
  <c r="K516"/>
  <c r="K452"/>
  <c r="K388"/>
  <c r="K324"/>
  <c r="K260"/>
  <c r="K196"/>
  <c r="K132"/>
  <c r="K68"/>
  <c r="K15"/>
  <c r="K671"/>
  <c r="K607"/>
  <c r="K543"/>
  <c r="K479"/>
  <c r="K415"/>
  <c r="K351"/>
  <c r="K287"/>
  <c r="K223"/>
  <c r="K143"/>
  <c r="K698"/>
  <c r="K634"/>
  <c r="K570"/>
  <c r="K506"/>
  <c r="K442"/>
  <c r="K378"/>
  <c r="K314"/>
  <c r="K250"/>
  <c r="K186"/>
  <c r="K122"/>
  <c r="K58"/>
  <c r="K101"/>
  <c r="K56"/>
  <c r="K693"/>
  <c r="K629"/>
  <c r="K565"/>
  <c r="K501"/>
  <c r="K437"/>
  <c r="K373"/>
  <c r="K309"/>
  <c r="K245"/>
  <c r="K181"/>
  <c r="K109"/>
  <c r="K55"/>
  <c r="K680"/>
  <c r="K616"/>
  <c r="K552"/>
  <c r="K488"/>
  <c r="K424"/>
  <c r="K360"/>
  <c r="K296"/>
  <c r="K232"/>
  <c r="K168"/>
  <c r="K104"/>
  <c r="K32"/>
  <c r="K450"/>
  <c r="K573"/>
  <c r="K381"/>
  <c r="K189"/>
  <c r="K71"/>
  <c r="K624"/>
  <c r="K496"/>
  <c r="K432"/>
  <c r="K304"/>
  <c r="K176"/>
  <c r="K40"/>
  <c r="K635"/>
  <c r="K443"/>
  <c r="K315"/>
  <c r="K59"/>
  <c r="K654"/>
  <c r="K526"/>
  <c r="K334"/>
  <c r="K206"/>
  <c r="K78"/>
  <c r="K41"/>
  <c r="K641"/>
  <c r="K513"/>
  <c r="K385"/>
  <c r="K121"/>
  <c r="K676"/>
  <c r="K548"/>
  <c r="K420"/>
  <c r="K292"/>
  <c r="K164"/>
  <c r="K36"/>
  <c r="K639"/>
  <c r="K383"/>
  <c r="K255"/>
  <c r="K730"/>
  <c r="K602"/>
  <c r="K474"/>
  <c r="K346"/>
  <c r="K90"/>
  <c r="K53"/>
  <c r="K661"/>
  <c r="K469"/>
  <c r="K277"/>
  <c r="K149"/>
  <c r="K584"/>
  <c r="K328"/>
  <c r="K136"/>
  <c r="K103"/>
  <c r="K229"/>
  <c r="K600"/>
  <c r="K408"/>
  <c r="K88"/>
  <c r="K467"/>
  <c r="K211"/>
  <c r="K614"/>
  <c r="K294"/>
  <c r="K73"/>
  <c r="K537"/>
  <c r="K345"/>
  <c r="K700"/>
  <c r="K380"/>
  <c r="K60"/>
  <c r="K407"/>
  <c r="K690"/>
  <c r="K370"/>
  <c r="K114"/>
  <c r="K685"/>
  <c r="K365"/>
  <c r="J15"/>
  <c r="K416"/>
  <c r="K96"/>
  <c r="K675"/>
  <c r="K611"/>
  <c r="K547"/>
  <c r="K483"/>
  <c r="K419"/>
  <c r="K355"/>
  <c r="K291"/>
  <c r="K227"/>
  <c r="K163"/>
  <c r="K99"/>
  <c r="K35"/>
  <c r="K694"/>
  <c r="K630"/>
  <c r="K566"/>
  <c r="K502"/>
  <c r="K438"/>
  <c r="K374"/>
  <c r="K310"/>
  <c r="K246"/>
  <c r="K182"/>
  <c r="K118"/>
  <c r="K54"/>
  <c r="K89"/>
  <c r="K151"/>
  <c r="K681"/>
  <c r="K617"/>
  <c r="K553"/>
  <c r="K489"/>
  <c r="K425"/>
  <c r="K361"/>
  <c r="K297"/>
  <c r="K233"/>
  <c r="K169"/>
  <c r="K65"/>
  <c r="K716"/>
  <c r="K652"/>
  <c r="K588"/>
  <c r="K524"/>
  <c r="K460"/>
  <c r="K396"/>
  <c r="K332"/>
  <c r="K268"/>
  <c r="K204"/>
  <c r="K140"/>
  <c r="K76"/>
  <c r="C15"/>
  <c r="K679"/>
  <c r="K615"/>
  <c r="K551"/>
  <c r="K487"/>
  <c r="K423"/>
  <c r="K359"/>
  <c r="K295"/>
  <c r="K231"/>
  <c r="K167"/>
  <c r="K706"/>
  <c r="K642"/>
  <c r="K578"/>
  <c r="K514"/>
  <c r="K386"/>
  <c r="K322"/>
  <c r="K258"/>
  <c r="K194"/>
  <c r="K130"/>
  <c r="K66"/>
  <c r="K117"/>
  <c r="H15"/>
  <c r="K701"/>
  <c r="K637"/>
  <c r="K509"/>
  <c r="K445"/>
  <c r="K317"/>
  <c r="K253"/>
  <c r="K125"/>
  <c r="K688"/>
  <c r="K560"/>
  <c r="K368"/>
  <c r="K240"/>
  <c r="K112"/>
  <c r="K187"/>
  <c r="K257"/>
  <c r="K511"/>
  <c r="K218"/>
  <c r="K533"/>
  <c r="K37"/>
  <c r="K456"/>
  <c r="K200"/>
  <c r="K549"/>
  <c r="K664"/>
  <c r="K216"/>
  <c r="K723"/>
  <c r="K403"/>
  <c r="K83"/>
  <c r="K486"/>
  <c r="K166"/>
  <c r="K665"/>
  <c r="K281"/>
  <c r="K508"/>
  <c r="K188"/>
  <c r="K599"/>
  <c r="K279"/>
  <c r="K562"/>
  <c r="K242"/>
  <c r="K621"/>
  <c r="K237"/>
  <c r="K608"/>
  <c r="K224"/>
  <c r="K683"/>
  <c r="K619"/>
  <c r="K555"/>
  <c r="K491"/>
  <c r="K427"/>
  <c r="K363"/>
  <c r="K299"/>
  <c r="K235"/>
  <c r="K171"/>
  <c r="K107"/>
  <c r="K43"/>
  <c r="K702"/>
  <c r="K638"/>
  <c r="K574"/>
  <c r="K510"/>
  <c r="K446"/>
  <c r="K382"/>
  <c r="K318"/>
  <c r="K254"/>
  <c r="K190"/>
  <c r="K126"/>
  <c r="K62"/>
  <c r="K113"/>
  <c r="K17"/>
  <c r="K689"/>
  <c r="K625"/>
  <c r="K561"/>
  <c r="K497"/>
  <c r="K433"/>
  <c r="K369"/>
  <c r="K305"/>
  <c r="K241"/>
  <c r="K177"/>
  <c r="K97"/>
  <c r="K724"/>
  <c r="K660"/>
  <c r="K596"/>
  <c r="K532"/>
  <c r="K468"/>
  <c r="K404"/>
  <c r="K340"/>
  <c r="K276"/>
  <c r="K212"/>
  <c r="K148"/>
  <c r="K84"/>
  <c r="K20"/>
  <c r="K687"/>
  <c r="K623"/>
  <c r="K559"/>
  <c r="K495"/>
  <c r="K431"/>
  <c r="K367"/>
  <c r="K303"/>
  <c r="K239"/>
  <c r="K175"/>
  <c r="K714"/>
  <c r="K650"/>
  <c r="K586"/>
  <c r="K522"/>
  <c r="K458"/>
  <c r="K394"/>
  <c r="K330"/>
  <c r="K266"/>
  <c r="K202"/>
  <c r="K138"/>
  <c r="K74"/>
  <c r="I15"/>
  <c r="K21"/>
  <c r="K709"/>
  <c r="K645"/>
  <c r="K581"/>
  <c r="K517"/>
  <c r="K453"/>
  <c r="K389"/>
  <c r="K325"/>
  <c r="K261"/>
  <c r="K197"/>
  <c r="K133"/>
  <c r="K79"/>
  <c r="K696"/>
  <c r="K632"/>
  <c r="K568"/>
  <c r="K504"/>
  <c r="K440"/>
  <c r="K376"/>
  <c r="K312"/>
  <c r="K248"/>
  <c r="K184"/>
  <c r="K120"/>
  <c r="K48"/>
  <c r="K540"/>
  <c r="K28"/>
  <c r="K567"/>
  <c r="K439"/>
  <c r="K375"/>
  <c r="K247"/>
  <c r="K183"/>
  <c r="K658"/>
  <c r="K594"/>
  <c r="K466"/>
  <c r="K402"/>
  <c r="K274"/>
  <c r="K146"/>
  <c r="K18"/>
  <c r="K717"/>
  <c r="K653"/>
  <c r="K525"/>
  <c r="K397"/>
  <c r="K269"/>
  <c r="K141"/>
  <c r="K704"/>
  <c r="K576"/>
  <c r="K448"/>
  <c r="K320"/>
  <c r="K192"/>
  <c r="K31"/>
  <c r="K699"/>
  <c r="K571"/>
  <c r="K507"/>
  <c r="K379"/>
  <c r="K251"/>
  <c r="K718"/>
  <c r="K590"/>
  <c r="K462"/>
  <c r="K398"/>
  <c r="K270"/>
  <c r="K142"/>
  <c r="E15"/>
  <c r="K705"/>
  <c r="K577"/>
  <c r="K449"/>
  <c r="K321"/>
  <c r="K111"/>
  <c r="K612"/>
  <c r="K484"/>
  <c r="K356"/>
  <c r="K228"/>
  <c r="K100"/>
  <c r="K703"/>
  <c r="K575"/>
  <c r="K319"/>
  <c r="K191"/>
  <c r="K666"/>
  <c r="K538"/>
  <c r="K410"/>
  <c r="K282"/>
  <c r="K26"/>
  <c r="K725"/>
  <c r="K597"/>
  <c r="K341"/>
  <c r="K213"/>
  <c r="K712"/>
  <c r="K520"/>
  <c r="K264"/>
  <c r="K72"/>
  <c r="K677"/>
  <c r="K293"/>
  <c r="K728"/>
  <c r="K472"/>
  <c r="K152"/>
  <c r="K531"/>
  <c r="K147"/>
  <c r="K550"/>
  <c r="K230"/>
  <c r="K729"/>
  <c r="K409"/>
  <c r="D15"/>
  <c r="K572"/>
  <c r="K252"/>
  <c r="K663"/>
  <c r="K343"/>
  <c r="K626"/>
  <c r="K306"/>
  <c r="K85"/>
  <c r="K557"/>
  <c r="K301"/>
  <c r="K672"/>
  <c r="K352"/>
  <c r="K16"/>
  <c r="K691"/>
  <c r="K627"/>
  <c r="K563"/>
  <c r="K499"/>
  <c r="K435"/>
  <c r="K371"/>
  <c r="K307"/>
  <c r="K243"/>
  <c r="K179"/>
  <c r="K115"/>
  <c r="K51"/>
  <c r="K710"/>
  <c r="K646"/>
  <c r="K582"/>
  <c r="K518"/>
  <c r="K454"/>
  <c r="K390"/>
  <c r="K326"/>
  <c r="K262"/>
  <c r="K198"/>
  <c r="K134"/>
  <c r="K70"/>
  <c r="K129"/>
  <c r="K25"/>
  <c r="K697"/>
  <c r="K633"/>
  <c r="K569"/>
  <c r="K505"/>
  <c r="K441"/>
  <c r="K377"/>
  <c r="K313"/>
  <c r="K249"/>
  <c r="K185"/>
  <c r="K105"/>
  <c r="B15"/>
  <c r="K668"/>
  <c r="K604"/>
  <c r="K476"/>
  <c r="K412"/>
  <c r="K348"/>
  <c r="K284"/>
  <c r="K220"/>
  <c r="K156"/>
  <c r="K92"/>
  <c r="K695"/>
  <c r="K631"/>
  <c r="K503"/>
  <c r="K311"/>
  <c r="K722"/>
  <c r="K530"/>
  <c r="K338"/>
  <c r="K210"/>
  <c r="K82"/>
  <c r="K29"/>
  <c r="K589"/>
  <c r="K461"/>
  <c r="K333"/>
  <c r="K205"/>
  <c r="K95"/>
  <c r="K640"/>
  <c r="K512"/>
  <c r="K384"/>
  <c r="K256"/>
  <c r="K128"/>
  <c r="K64"/>
  <c r="K123"/>
  <c r="K193"/>
  <c r="K447"/>
  <c r="K154"/>
  <c r="K405"/>
  <c r="K648"/>
  <c r="K392"/>
  <c r="K47"/>
  <c r="K485"/>
  <c r="K77"/>
  <c r="K280"/>
  <c r="K595"/>
  <c r="K275"/>
  <c r="K678"/>
  <c r="K422"/>
  <c r="K102"/>
  <c r="K601"/>
  <c r="K153"/>
  <c r="K444"/>
  <c r="K727"/>
  <c r="K471"/>
  <c r="K215"/>
  <c r="K498"/>
  <c r="K50"/>
  <c r="K493"/>
  <c r="K93"/>
  <c r="K480"/>
  <c r="K160"/>
  <c r="K707"/>
  <c r="K643"/>
  <c r="K579"/>
  <c r="K515"/>
  <c r="K451"/>
  <c r="K387"/>
  <c r="K323"/>
  <c r="K259"/>
  <c r="K195"/>
  <c r="K131"/>
  <c r="K67"/>
  <c r="K726"/>
  <c r="K662"/>
  <c r="K598"/>
  <c r="K534"/>
  <c r="K470"/>
  <c r="K406"/>
  <c r="K342"/>
  <c r="K278"/>
  <c r="K214"/>
  <c r="K150"/>
  <c r="K86"/>
  <c r="K22"/>
  <c r="K49"/>
  <c r="K713"/>
  <c r="K649"/>
  <c r="K585"/>
  <c r="K521"/>
  <c r="K457"/>
  <c r="K393"/>
  <c r="K329"/>
  <c r="K265"/>
  <c r="K201"/>
  <c r="K137"/>
  <c r="K119"/>
  <c r="K684"/>
  <c r="K620"/>
  <c r="K556"/>
  <c r="K492"/>
  <c r="K428"/>
  <c r="K364"/>
  <c r="K300"/>
  <c r="K236"/>
  <c r="K172"/>
  <c r="K108"/>
  <c r="K44"/>
  <c r="K711"/>
  <c r="K647"/>
  <c r="K583"/>
  <c r="K519"/>
  <c r="K455"/>
  <c r="K391"/>
  <c r="K327"/>
  <c r="K263"/>
  <c r="K199"/>
  <c r="K63"/>
  <c r="K674"/>
  <c r="K610"/>
  <c r="K546"/>
  <c r="K482"/>
  <c r="K418"/>
  <c r="K354"/>
  <c r="K290"/>
  <c r="K226"/>
  <c r="K162"/>
  <c r="K98"/>
  <c r="K34"/>
  <c r="K61"/>
  <c r="K39"/>
  <c r="K669"/>
  <c r="K605"/>
  <c r="K541"/>
  <c r="K477"/>
  <c r="K413"/>
  <c r="K349"/>
  <c r="K285"/>
  <c r="K221"/>
  <c r="K157"/>
  <c r="K45"/>
  <c r="K720"/>
  <c r="K656"/>
  <c r="K592"/>
  <c r="K528"/>
  <c r="K464"/>
  <c r="K400"/>
  <c r="K336"/>
  <c r="K272"/>
  <c r="K208"/>
  <c r="K144"/>
  <c r="K80"/>
  <c r="K127"/>
  <c r="K715"/>
  <c r="K651"/>
  <c r="K587"/>
  <c r="K523"/>
  <c r="K459"/>
  <c r="K395"/>
  <c r="K331"/>
  <c r="K267"/>
  <c r="K203"/>
  <c r="K139"/>
  <c r="K75"/>
  <c r="F15"/>
  <c r="K670"/>
  <c r="K606"/>
  <c r="K542"/>
  <c r="K478"/>
  <c r="K414"/>
  <c r="K350"/>
  <c r="K286"/>
  <c r="K222"/>
  <c r="K158"/>
  <c r="K94"/>
  <c r="K30"/>
  <c r="K57"/>
  <c r="K721"/>
  <c r="K657"/>
  <c r="K593"/>
  <c r="K529"/>
  <c r="K465"/>
  <c r="K401"/>
  <c r="K337"/>
  <c r="K273"/>
  <c r="K209"/>
  <c r="K145"/>
  <c r="K159"/>
  <c r="K692"/>
  <c r="K628"/>
  <c r="K564"/>
  <c r="K500"/>
  <c r="K436"/>
  <c r="K372"/>
  <c r="K308"/>
  <c r="K244"/>
  <c r="K180"/>
  <c r="K116"/>
  <c r="K52"/>
  <c r="K719"/>
  <c r="K655"/>
  <c r="K591"/>
  <c r="K527"/>
  <c r="K463"/>
  <c r="K399"/>
  <c r="K335"/>
  <c r="K271"/>
  <c r="K207"/>
  <c r="K87"/>
  <c r="K682"/>
  <c r="K618"/>
  <c r="K554"/>
  <c r="K490"/>
  <c r="K426"/>
  <c r="K362"/>
  <c r="K298"/>
  <c r="K234"/>
  <c r="K170"/>
  <c r="K106"/>
  <c r="K42"/>
  <c r="K69"/>
  <c r="K613"/>
  <c r="K421"/>
  <c r="K357"/>
  <c r="K165"/>
  <c r="K536"/>
  <c r="K344"/>
  <c r="G15"/>
  <c r="K659"/>
  <c r="K339"/>
  <c r="K19"/>
  <c r="K358"/>
  <c r="K38"/>
  <c r="K473"/>
  <c r="K217"/>
  <c r="K636"/>
  <c r="K316"/>
  <c r="K124"/>
  <c r="K535"/>
  <c r="K135"/>
  <c r="K434"/>
  <c r="K178"/>
  <c r="K24"/>
  <c r="K429"/>
  <c r="K173"/>
  <c r="K544"/>
  <c r="K288"/>
</calcChain>
</file>

<file path=xl/sharedStrings.xml><?xml version="1.0" encoding="utf-8"?>
<sst xmlns="http://schemas.openxmlformats.org/spreadsheetml/2006/main" count="6078" uniqueCount="1582">
  <si>
    <t xml:space="preserve"> </t>
  </si>
  <si>
    <t>AStmtDueDate</t>
  </si>
  <si>
    <t>BPriorPeriodEndDate</t>
  </si>
  <si>
    <t>CCurrentPeriodEndDate</t>
  </si>
  <si>
    <t>Safari Books Online</t>
  </si>
  <si>
    <t>www.safaribooksonline.com</t>
  </si>
  <si>
    <t>Safari Quarterly Commission Statement</t>
  </si>
  <si>
    <t>A_PublisherID</t>
  </si>
  <si>
    <t>A_AttentionTo</t>
  </si>
  <si>
    <t>A_PublisherName</t>
  </si>
  <si>
    <t>A_PublisherAddr1</t>
  </si>
  <si>
    <t>A_PublisherAddr2</t>
  </si>
  <si>
    <t>A_PublisherAddr3</t>
  </si>
  <si>
    <t>A_PublisherCity</t>
  </si>
  <si>
    <t>A_PublisherState</t>
  </si>
  <si>
    <t>A_PublisherZip</t>
  </si>
  <si>
    <t>ISBN</t>
  </si>
  <si>
    <t>Title</t>
  </si>
  <si>
    <t>Publisher</t>
  </si>
  <si>
    <t>Author</t>
  </si>
  <si>
    <t>Channel</t>
  </si>
  <si>
    <t>Sales</t>
  </si>
  <si>
    <t>Commission Rate</t>
  </si>
  <si>
    <t>Commission Earned</t>
  </si>
  <si>
    <t>CommissionRate</t>
  </si>
  <si>
    <t>Sum of Amount</t>
  </si>
  <si>
    <t>alliantsort_1</t>
  </si>
  <si>
    <t>AccountType</t>
  </si>
  <si>
    <t>DummyCol</t>
  </si>
  <si>
    <t>DummyRow</t>
  </si>
  <si>
    <t>StatementComment</t>
  </si>
  <si>
    <t>A_StmtDueDate</t>
  </si>
  <si>
    <t>eISBN</t>
  </si>
  <si>
    <t>2 Avenue de Lafayette, 6th Floor</t>
  </si>
  <si>
    <t>Boston, MA 02111</t>
  </si>
  <si>
    <t>1576750698</t>
  </si>
  <si>
    <t>101 Tips for Telecommuters—Suc</t>
  </si>
  <si>
    <t>CDA_Berrett-Ko</t>
  </si>
  <si>
    <t>Debra A. Dinnocenzo.</t>
  </si>
  <si>
    <t>B2B</t>
  </si>
  <si>
    <t>B2C</t>
  </si>
  <si>
    <t>1576750795</t>
  </si>
  <si>
    <t>Emotional Value—Creating Stron</t>
  </si>
  <si>
    <t>Janelle Barlow. Dianna Maul. M</t>
  </si>
  <si>
    <t>1576751244</t>
  </si>
  <si>
    <t>Attracting Perfect Customers—T</t>
  </si>
  <si>
    <t>Stacey Hall. Jan Brogniez.</t>
  </si>
  <si>
    <t>1576751724</t>
  </si>
  <si>
    <t>Getting Things Done When You A</t>
  </si>
  <si>
    <t>Geoffrey M Bellman.</t>
  </si>
  <si>
    <t>157675183X</t>
  </si>
  <si>
    <t>Accountability—Freedom and Res</t>
  </si>
  <si>
    <t>Rob LeBow. Randy Spitzer.</t>
  </si>
  <si>
    <t>1576751902</t>
  </si>
  <si>
    <t>Change Is Every-Body's Busines</t>
  </si>
  <si>
    <t>Patricia McLagan.</t>
  </si>
  <si>
    <t>1576752720</t>
  </si>
  <si>
    <t>Be Your Own Brand—A Breakthrou</t>
  </si>
  <si>
    <t>David McNally. Karl D Speak.</t>
  </si>
  <si>
    <t>1576752739</t>
  </si>
  <si>
    <t>Be a Sales Superstar—21 Great</t>
  </si>
  <si>
    <t>Brian Tracy.</t>
  </si>
  <si>
    <t>1576752984</t>
  </si>
  <si>
    <t>Branded Customer Service—The N</t>
  </si>
  <si>
    <t>Janelle Barlow. Paul Stewart.</t>
  </si>
  <si>
    <t>1576753107</t>
  </si>
  <si>
    <t>Formula 2+2—The Simple Solutio</t>
  </si>
  <si>
    <t>Douglas B Allen. Dwight W Alle</t>
  </si>
  <si>
    <t>9781576750025</t>
  </si>
  <si>
    <t>9781609941321</t>
  </si>
  <si>
    <t>The Fourth Wave</t>
  </si>
  <si>
    <t>Herman Maynard. Susan E. Mehrt</t>
  </si>
  <si>
    <t>9781576750308</t>
  </si>
  <si>
    <t>9781609941437</t>
  </si>
  <si>
    <t>Real Time Strategic Change</t>
  </si>
  <si>
    <t>Robert H. Jacobs.</t>
  </si>
  <si>
    <t>9781576750322</t>
  </si>
  <si>
    <t>9781609941444</t>
  </si>
  <si>
    <t>The New Management</t>
  </si>
  <si>
    <t>William E. Halal.</t>
  </si>
  <si>
    <t>9781576750353</t>
  </si>
  <si>
    <t>9781626563926</t>
  </si>
  <si>
    <t>The Power of Servant-Leadershi</t>
  </si>
  <si>
    <t>Robert K. Greenleaf. Larry C.</t>
  </si>
  <si>
    <t>9781576750438</t>
  </si>
  <si>
    <t>9781609941505</t>
  </si>
  <si>
    <t>Dance Lessons</t>
  </si>
  <si>
    <t>Chip R. Bell. Heather Shea-Sch</t>
  </si>
  <si>
    <t>9781576750452</t>
  </si>
  <si>
    <t>9781609941529</t>
  </si>
  <si>
    <t>Corporate Social Investing</t>
  </si>
  <si>
    <t>Curt Weeden.</t>
  </si>
  <si>
    <t>9781576750674</t>
  </si>
  <si>
    <t>9781609941598</t>
  </si>
  <si>
    <t>Managing Your Own Learning</t>
  </si>
  <si>
    <t>James R. Davis. Adelaide B. Da</t>
  </si>
  <si>
    <t>9781576750780</t>
  </si>
  <si>
    <t>9781609941611</t>
  </si>
  <si>
    <t>Taking Back Our Lives in the A</t>
  </si>
  <si>
    <t>Ellen Augustine. Suzanne Stodd</t>
  </si>
  <si>
    <t>9781576751077</t>
  </si>
  <si>
    <t>The 100 Absolutely Unbreakable</t>
  </si>
  <si>
    <t>9781576751572</t>
  </si>
  <si>
    <t>9781609941826</t>
  </si>
  <si>
    <t>Training Across Multiple Locat</t>
  </si>
  <si>
    <t>Stephen Krempl. R. Wayne Pace.</t>
  </si>
  <si>
    <t>9781576751695</t>
  </si>
  <si>
    <t>9781609941864</t>
  </si>
  <si>
    <t>Hire and Keep the Best People</t>
  </si>
  <si>
    <t>9781576751732</t>
  </si>
  <si>
    <t>A Peacock in the Land of Pengu</t>
  </si>
  <si>
    <t>Warren H. Schmidt. BJ Gallaghe</t>
  </si>
  <si>
    <t>9781576751749</t>
  </si>
  <si>
    <t>Leadership and Self-Deception:</t>
  </si>
  <si>
    <t>The Arbinger Institute.</t>
  </si>
  <si>
    <t>9781576751787</t>
  </si>
  <si>
    <t>Macroshift</t>
  </si>
  <si>
    <t>Ervin Laszlo. Arthur Clarke Ch</t>
  </si>
  <si>
    <t>9781576751855</t>
  </si>
  <si>
    <t>9781605093888</t>
  </si>
  <si>
    <t>The Success Case Method</t>
  </si>
  <si>
    <t>Robert Brinkerhoff.</t>
  </si>
  <si>
    <t>9781576751886</t>
  </si>
  <si>
    <t>9781605094618</t>
  </si>
  <si>
    <t>Big Vision, Small Business</t>
  </si>
  <si>
    <t>Jamie S. Walters.</t>
  </si>
  <si>
    <t>9781576751930</t>
  </si>
  <si>
    <t>9781626563919</t>
  </si>
  <si>
    <t>Leadership That Matters</t>
  </si>
  <si>
    <t>Marshall Sashkin. Molly G. Sas</t>
  </si>
  <si>
    <t>9781576752500</t>
  </si>
  <si>
    <t>9781576758755</t>
  </si>
  <si>
    <t>Love It, Don't Leave It</t>
  </si>
  <si>
    <t>Beverly Kaye. Sharon Jordan-Ev</t>
  </si>
  <si>
    <t>9781576752579</t>
  </si>
  <si>
    <t>9781609941970</t>
  </si>
  <si>
    <t>Moral Capitalism</t>
  </si>
  <si>
    <t>Stephen Young.</t>
  </si>
  <si>
    <t>9781576753026</t>
  </si>
  <si>
    <t>9781609942045</t>
  </si>
  <si>
    <t>The Art of Business</t>
  </si>
  <si>
    <t>Stan Davis. David McIntosh.</t>
  </si>
  <si>
    <t>9781576753071</t>
  </si>
  <si>
    <t>Goals!: How to Get Everything</t>
  </si>
  <si>
    <t>9781576753217</t>
  </si>
  <si>
    <t>The Referral of a Lifetime: Th</t>
  </si>
  <si>
    <t>Tim Templeton. Ken Blanchard.</t>
  </si>
  <si>
    <t>9781576753613</t>
  </si>
  <si>
    <t>9781605091648</t>
  </si>
  <si>
    <t>Capitalism 3.0</t>
  </si>
  <si>
    <t>Peter Barnes.</t>
  </si>
  <si>
    <t>9781576753743</t>
  </si>
  <si>
    <t>Ideas Are Free: How the Idea R</t>
  </si>
  <si>
    <t>Alan G Robinson. Dean M Schroe</t>
  </si>
  <si>
    <t>9781576754221</t>
  </si>
  <si>
    <t>9781576755044</t>
  </si>
  <si>
    <t>Eat That Frog!</t>
  </si>
  <si>
    <t>9781576754276</t>
  </si>
  <si>
    <t>You’re Addicted to You: Why It</t>
  </si>
  <si>
    <t>Noah Blumenthal.</t>
  </si>
  <si>
    <t>9781576754627</t>
  </si>
  <si>
    <t>9781576755365</t>
  </si>
  <si>
    <t>The Connect Effect</t>
  </si>
  <si>
    <t>Michael Dulworth. Mike Dulwort</t>
  </si>
  <si>
    <t>9781576754672</t>
  </si>
  <si>
    <t>The Laws of Lifetime Growth Al</t>
  </si>
  <si>
    <t>Dan Sullivan. Catherine Nomura</t>
  </si>
  <si>
    <t>9781576754832</t>
  </si>
  <si>
    <t>Winning the Global Talent Show</t>
  </si>
  <si>
    <t>Edward E. Gordon.</t>
  </si>
  <si>
    <t>9781576755112</t>
  </si>
  <si>
    <t>Managers Not MBAs</t>
  </si>
  <si>
    <t>Henry Mintzberg.</t>
  </si>
  <si>
    <t>9781576755129</t>
  </si>
  <si>
    <t>9781605095295</t>
  </si>
  <si>
    <t>Confessions of an Economic Hit</t>
  </si>
  <si>
    <t>John Perkins.</t>
  </si>
  <si>
    <t>9781576755136</t>
  </si>
  <si>
    <t>Appreciative Intelligence</t>
  </si>
  <si>
    <t>Tojo Thatchenkery. Carol Metzk</t>
  </si>
  <si>
    <t>9781576755143</t>
  </si>
  <si>
    <t>The Real Wealth of Nations</t>
  </si>
  <si>
    <t>Riane Eisler.</t>
  </si>
  <si>
    <t>9781576755150</t>
  </si>
  <si>
    <t>Don't Just Do Something, Stand</t>
  </si>
  <si>
    <t>Marvin Weisbord. Sandra Janoff</t>
  </si>
  <si>
    <t>9781576755174</t>
  </si>
  <si>
    <t>Speechless</t>
  </si>
  <si>
    <t>Bruce Barry.</t>
  </si>
  <si>
    <t>9781576755181</t>
  </si>
  <si>
    <t>Fun Works</t>
  </si>
  <si>
    <t>Leslie Yerkes. Jim Kouzes.</t>
  </si>
  <si>
    <t>9781576755204</t>
  </si>
  <si>
    <t>Values Sell</t>
  </si>
  <si>
    <t>Nadine Thompson. Angela Soper.</t>
  </si>
  <si>
    <t>9781576755228</t>
  </si>
  <si>
    <t>Salsa, Soul, and Spirit</t>
  </si>
  <si>
    <t>Juana Bordas.</t>
  </si>
  <si>
    <t>9781576755266</t>
  </si>
  <si>
    <t>Our Day to End Poverty</t>
  </si>
  <si>
    <t>Shannon Daley-Harris. Jeffrey</t>
  </si>
  <si>
    <t>9781576755273</t>
  </si>
  <si>
    <t>Mayday!</t>
  </si>
  <si>
    <t>M. Nora Klaver.</t>
  </si>
  <si>
    <t>9781576755280</t>
  </si>
  <si>
    <t>Ten Thousand Horses</t>
  </si>
  <si>
    <t>John Stahl-Wert. Ken Jennings.</t>
  </si>
  <si>
    <t>9781576755297</t>
  </si>
  <si>
    <t>Screwed</t>
  </si>
  <si>
    <t>Thom Hartmann. Greg Palast.</t>
  </si>
  <si>
    <t>9781576755310</t>
  </si>
  <si>
    <t>Get There Early</t>
  </si>
  <si>
    <t>Bob Johansen.</t>
  </si>
  <si>
    <t>9781576755334</t>
  </si>
  <si>
    <t>Cracking the Code</t>
  </si>
  <si>
    <t>Thom Hartmann.</t>
  </si>
  <si>
    <t>9781576755358</t>
  </si>
  <si>
    <t>Seeing Systems</t>
  </si>
  <si>
    <t>Barry Oshry.</t>
  </si>
  <si>
    <t>9781576755396</t>
  </si>
  <si>
    <t>The Great Turning</t>
  </si>
  <si>
    <t>David C. Korten.</t>
  </si>
  <si>
    <t>9781576755426</t>
  </si>
  <si>
    <t>The Small-Mart Revolution</t>
  </si>
  <si>
    <t>Michael H. Shuman.</t>
  </si>
  <si>
    <t>9781576755433</t>
  </si>
  <si>
    <t>Gifts from the Mountain</t>
  </si>
  <si>
    <t>Eileen McDargh. Roderick MacIv</t>
  </si>
  <si>
    <t>9781576755464</t>
  </si>
  <si>
    <t>Making Waves and Riding the Cu</t>
  </si>
  <si>
    <t>Charles Halpern.</t>
  </si>
  <si>
    <t>9781576755471</t>
  </si>
  <si>
    <t>Framing the Future</t>
  </si>
  <si>
    <t>Bernie Horn.</t>
  </si>
  <si>
    <t>9781576755488</t>
  </si>
  <si>
    <t>Out of Poverty</t>
  </si>
  <si>
    <t>Paul Polak.</t>
  </si>
  <si>
    <t>9781576755495</t>
  </si>
  <si>
    <t>Zenobia</t>
  </si>
  <si>
    <t>Matthew Emmens. Beth Kephart.</t>
  </si>
  <si>
    <t>9781576755501</t>
  </si>
  <si>
    <t>Crunch</t>
  </si>
  <si>
    <t>Jared Bernstein.</t>
  </si>
  <si>
    <t>9781576755518</t>
  </si>
  <si>
    <t>The Five Secrets You Must Disc</t>
  </si>
  <si>
    <t>John Izzo.</t>
  </si>
  <si>
    <t>9781576755549</t>
  </si>
  <si>
    <t>Driving Growth Through Innovat</t>
  </si>
  <si>
    <t>Robert B. Tucker.</t>
  </si>
  <si>
    <t>9781576755563</t>
  </si>
  <si>
    <t>Flight Plan</t>
  </si>
  <si>
    <t>9781576755754</t>
  </si>
  <si>
    <t>The Hamster Revolution</t>
  </si>
  <si>
    <t>Mike Song. Vicki Halsey. Tim B</t>
  </si>
  <si>
    <t>9781576755822</t>
  </si>
  <si>
    <t>A Complaint Is a Gift: Recover</t>
  </si>
  <si>
    <t>Janelle Barlow. Claus Moller.</t>
  </si>
  <si>
    <t>9781576755884</t>
  </si>
  <si>
    <t>Making the Good Life Last</t>
  </si>
  <si>
    <t>Michael Schuler.</t>
  </si>
  <si>
    <t>9781576755921</t>
  </si>
  <si>
    <t>Intrinsic Motivation at Work</t>
  </si>
  <si>
    <t>Kenneth W. Thomas.</t>
  </si>
  <si>
    <t>9781576755938</t>
  </si>
  <si>
    <t>The Compassionate Life</t>
  </si>
  <si>
    <t>Marc Barasch Ian.</t>
  </si>
  <si>
    <t>9781576756188</t>
  </si>
  <si>
    <t>Mission, Inc.</t>
  </si>
  <si>
    <t>Kevin Lynch. Julius Walls Juli</t>
  </si>
  <si>
    <t>9781576756201</t>
  </si>
  <si>
    <t>Make Their Day!</t>
  </si>
  <si>
    <t>Cindy Ventrice.</t>
  </si>
  <si>
    <t>9781576757703</t>
  </si>
  <si>
    <t>Dignity for All</t>
  </si>
  <si>
    <t>Robert W. Fuller. Pamela Gerlo</t>
  </si>
  <si>
    <t>9781576757734</t>
  </si>
  <si>
    <t>Community</t>
  </si>
  <si>
    <t>Peter Block.</t>
  </si>
  <si>
    <t>9781576757741</t>
  </si>
  <si>
    <t>The Nonverbal Advantage</t>
  </si>
  <si>
    <t>Carol Goman Kinsey.</t>
  </si>
  <si>
    <t>9781576757758</t>
  </si>
  <si>
    <t>Open Space Technology, 3rd Edi</t>
  </si>
  <si>
    <t>Harrison H. Owen.</t>
  </si>
  <si>
    <t>9781576757765</t>
  </si>
  <si>
    <t>Love 'Em or Lose 'Em, 4th Edit</t>
  </si>
  <si>
    <t>9781576757796</t>
  </si>
  <si>
    <t>Family Activism</t>
  </si>
  <si>
    <t>Roberto Vargas.</t>
  </si>
  <si>
    <t>9781576757802</t>
  </si>
  <si>
    <t>Courageous Training</t>
  </si>
  <si>
    <t>Tim Mooney. Robert Brinkerhoff</t>
  </si>
  <si>
    <t>9781576757819</t>
  </si>
  <si>
    <t>Putting Our Differences to Wor</t>
  </si>
  <si>
    <t>Debbe Kennedy. Joel Barker.</t>
  </si>
  <si>
    <t>9781576757826</t>
  </si>
  <si>
    <t>The Change Cycle</t>
  </si>
  <si>
    <t>Ann Salerno. Lillie Brock.</t>
  </si>
  <si>
    <t>9781576757833</t>
  </si>
  <si>
    <t>The She Spot</t>
  </si>
  <si>
    <t>Lisa Witter. Lisa Chen.</t>
  </si>
  <si>
    <t>9781576757888</t>
  </si>
  <si>
    <t>Getting to Resolution</t>
  </si>
  <si>
    <t>Stewart Levine.</t>
  </si>
  <si>
    <t>9781576757932</t>
  </si>
  <si>
    <t>Breakdown, Breakthrough</t>
  </si>
  <si>
    <t>Kathy Caprino.</t>
  </si>
  <si>
    <t>9781576757956</t>
  </si>
  <si>
    <t>Covert Processes at Work</t>
  </si>
  <si>
    <t>Robert Marshak. Ed Schein.</t>
  </si>
  <si>
    <t>9781576757987</t>
  </si>
  <si>
    <t>A Game As Old As Empire</t>
  </si>
  <si>
    <t>Steven Hiatt. John Perkins.</t>
  </si>
  <si>
    <t>9781576758007</t>
  </si>
  <si>
    <t>Future Hype</t>
  </si>
  <si>
    <t>Bob Seidensticker.</t>
  </si>
  <si>
    <t>9781576758021</t>
  </si>
  <si>
    <t>Get Paid More and Promoted Fas</t>
  </si>
  <si>
    <t>9781576758557</t>
  </si>
  <si>
    <t>Right Relationship</t>
  </si>
  <si>
    <t>Peter Brown. Geoffrey Garver.</t>
  </si>
  <si>
    <t>9781576758687</t>
  </si>
  <si>
    <t>Dealing With the Tough Stuff</t>
  </si>
  <si>
    <t>Margot Fraser. Lisa Lorimer.</t>
  </si>
  <si>
    <t>9781576758748</t>
  </si>
  <si>
    <t>Citizen Wealth</t>
  </si>
  <si>
    <t>Wade Rathke.</t>
  </si>
  <si>
    <t>9781576758762</t>
  </si>
  <si>
    <t>Repacking Your Bags</t>
  </si>
  <si>
    <t>Richard Leider. David Shapiro.</t>
  </si>
  <si>
    <t>9781576758779</t>
  </si>
  <si>
    <t>Claiming Your Place at the Fir</t>
  </si>
  <si>
    <t>Richard Leider J.. David Shapi</t>
  </si>
  <si>
    <t>9781576758793</t>
  </si>
  <si>
    <t>You Don't Have to Do It Alone</t>
  </si>
  <si>
    <t>Richard Axelrod.</t>
  </si>
  <si>
    <t>9781576758809</t>
  </si>
  <si>
    <t>Changing How the World Does Bu</t>
  </si>
  <si>
    <t>Roger Frock.</t>
  </si>
  <si>
    <t>9781576758816</t>
  </si>
  <si>
    <t>My Way or the Highway</t>
  </si>
  <si>
    <t>Harry Chambers.</t>
  </si>
  <si>
    <t>9781576758854</t>
  </si>
  <si>
    <t>Right Risk</t>
  </si>
  <si>
    <t>Bill Treasurer.</t>
  </si>
  <si>
    <t>9781576758922</t>
  </si>
  <si>
    <t>The Accidental American</t>
  </si>
  <si>
    <t>Rinku Sen. Fekkak Mamdouh.</t>
  </si>
  <si>
    <t>9781576758946</t>
  </si>
  <si>
    <t>The Female Vision</t>
  </si>
  <si>
    <t>Sally Helgesen. Julie Johnson.</t>
  </si>
  <si>
    <t>9781576758953</t>
  </si>
  <si>
    <t>Managing</t>
  </si>
  <si>
    <t>9781576758991</t>
  </si>
  <si>
    <t>Just Good Business</t>
  </si>
  <si>
    <t>Kellie McElhaney.</t>
  </si>
  <si>
    <t>9781576759004</t>
  </si>
  <si>
    <t>The Power of Collective Wisdom</t>
  </si>
  <si>
    <t>Alan Briskin. Sheryl Erickson.</t>
  </si>
  <si>
    <t>9781576759035</t>
  </si>
  <si>
    <t>Something to Live For</t>
  </si>
  <si>
    <t>9781576759042</t>
  </si>
  <si>
    <t>9781576759059</t>
  </si>
  <si>
    <t>Source</t>
  </si>
  <si>
    <t>Joseph Jaworski.</t>
  </si>
  <si>
    <t>9781576759080</t>
  </si>
  <si>
    <t>Blind Faith</t>
  </si>
  <si>
    <t>Edward Winslow.</t>
  </si>
  <si>
    <t>9781576759189</t>
  </si>
  <si>
    <t>The 21 Success Secrets of Self</t>
  </si>
  <si>
    <t>9781576759219</t>
  </si>
  <si>
    <t>The Four Conversations</t>
  </si>
  <si>
    <t>Jeffrey Ford. Laurie Ford.</t>
  </si>
  <si>
    <t>9781576759356</t>
  </si>
  <si>
    <t>Consensus Through Conversation</t>
  </si>
  <si>
    <t>Larry Dressler.</t>
  </si>
  <si>
    <t>9781576759363</t>
  </si>
  <si>
    <t>Prescription for Survival</t>
  </si>
  <si>
    <t>Bernard Lown.</t>
  </si>
  <si>
    <t>9781576759479</t>
  </si>
  <si>
    <t>Peace First</t>
  </si>
  <si>
    <t>Uri Savir. Abu Ala.</t>
  </si>
  <si>
    <t>9781576759486</t>
  </si>
  <si>
    <t>All Together Now</t>
  </si>
  <si>
    <t>9781576759493</t>
  </si>
  <si>
    <t>Trust and Betrayal in the Work</t>
  </si>
  <si>
    <t>Dennis S. Reina. Michelle L. R</t>
  </si>
  <si>
    <t>9781576759509</t>
  </si>
  <si>
    <t>True to Yourself</t>
  </si>
  <si>
    <t>Mark Albion.</t>
  </si>
  <si>
    <t>9781576759516</t>
  </si>
  <si>
    <t>Values-Driven Business</t>
  </si>
  <si>
    <t>Ben Cohen. Mal Warwick.</t>
  </si>
  <si>
    <t>9781576759523</t>
  </si>
  <si>
    <t>Whistle While You Work</t>
  </si>
  <si>
    <t>9781576759554</t>
  </si>
  <si>
    <t>9781605098999</t>
  </si>
  <si>
    <t>The Anatomy of Peace</t>
  </si>
  <si>
    <t>Arbinger Institute.</t>
  </si>
  <si>
    <t>9781576759585</t>
  </si>
  <si>
    <t>Positive Leadership</t>
  </si>
  <si>
    <t>Kim Cameron.</t>
  </si>
  <si>
    <t>9781576759592</t>
  </si>
  <si>
    <t>Answering Your Call</t>
  </si>
  <si>
    <t>John Schuster.</t>
  </si>
  <si>
    <t>9781576759608</t>
  </si>
  <si>
    <t>Growing Local Value</t>
  </si>
  <si>
    <t>Laury Hammel. Gun Denhart.</t>
  </si>
  <si>
    <t>9781576759615</t>
  </si>
  <si>
    <t>The Pebble and the Avalanche</t>
  </si>
  <si>
    <t>Moshe Yudkowsky.</t>
  </si>
  <si>
    <t>9781576759622</t>
  </si>
  <si>
    <t>Emotional Discipline</t>
  </si>
  <si>
    <t>Charles Manz.</t>
  </si>
  <si>
    <t>9781576759677</t>
  </si>
  <si>
    <t>The Power of Serving Others</t>
  </si>
  <si>
    <t>Gary Morsch. Dean Nelson.</t>
  </si>
  <si>
    <t>9781576759684</t>
  </si>
  <si>
    <t>Living in More Than One World:</t>
  </si>
  <si>
    <t>Bruce Rosenstein.</t>
  </si>
  <si>
    <t>9781576759721</t>
  </si>
  <si>
    <t>Managing Hispanic and Latino E</t>
  </si>
  <si>
    <t>Louis Nevaer.</t>
  </si>
  <si>
    <t>9781576759745</t>
  </si>
  <si>
    <t>Loyal to the Sky</t>
  </si>
  <si>
    <t>Marisa Handler.</t>
  </si>
  <si>
    <t>9781576759769</t>
  </si>
  <si>
    <t>Shifting Sands</t>
  </si>
  <si>
    <t>Steve Donahue.</t>
  </si>
  <si>
    <t>9781576759783</t>
  </si>
  <si>
    <t>Leadership and Self-Deception</t>
  </si>
  <si>
    <t>9781576759806</t>
  </si>
  <si>
    <t>9781605098906</t>
  </si>
  <si>
    <t>Leadership from the Inside Out</t>
  </si>
  <si>
    <t>Kevin Cashman.</t>
  </si>
  <si>
    <t>9781576759820</t>
  </si>
  <si>
    <t>Courage Goes to Work</t>
  </si>
  <si>
    <t>9781576759837</t>
  </si>
  <si>
    <t>More Than Money</t>
  </si>
  <si>
    <t>9781576759875</t>
  </si>
  <si>
    <t>Wave Rider</t>
  </si>
  <si>
    <t>Harrison Owen.</t>
  </si>
  <si>
    <t>9781576759882</t>
  </si>
  <si>
    <t>The Living Universe</t>
  </si>
  <si>
    <t>Duane Elgin. Deepak Chopra.</t>
  </si>
  <si>
    <t>9781576759905</t>
  </si>
  <si>
    <t>Downshifting</t>
  </si>
  <si>
    <t>John Drake.</t>
  </si>
  <si>
    <t>9781605090030</t>
  </si>
  <si>
    <t>Leaders Make the Future</t>
  </si>
  <si>
    <t>Robert Johansen.</t>
  </si>
  <si>
    <t>9781605090054</t>
  </si>
  <si>
    <t>Unite and Conquer</t>
  </si>
  <si>
    <t>Kyrsten Sinema. Janet Napolita</t>
  </si>
  <si>
    <t>9781605090085</t>
  </si>
  <si>
    <t>The Hamster Revolution for Mee</t>
  </si>
  <si>
    <t>Mike Song. Vicki Halsey.</t>
  </si>
  <si>
    <t>9781605090108</t>
  </si>
  <si>
    <t>Standing in the Fire</t>
  </si>
  <si>
    <t>Larry Dressler. Roger Schwarz.</t>
  </si>
  <si>
    <t>9781605090153</t>
  </si>
  <si>
    <t>Getting to Scale</t>
  </si>
  <si>
    <t>Jill Bamburg.</t>
  </si>
  <si>
    <t>9781605091365</t>
  </si>
  <si>
    <t>Women Lead the Way</t>
  </si>
  <si>
    <t>Linda Tarr-Whelan.</t>
  </si>
  <si>
    <t>9781605091389</t>
  </si>
  <si>
    <t>The Death of "Why?"</t>
  </si>
  <si>
    <t>Andrea Batista Schlesinger.</t>
  </si>
  <si>
    <t>9781605091396</t>
  </si>
  <si>
    <t>Effective Apology</t>
  </si>
  <si>
    <t>John Kador.</t>
  </si>
  <si>
    <t>9781605091457</t>
  </si>
  <si>
    <t>Aligned Thinking</t>
  </si>
  <si>
    <t>Jim Steffen. Ken Blanchard.</t>
  </si>
  <si>
    <t>9781605091464</t>
  </si>
  <si>
    <t>Finding Our Way</t>
  </si>
  <si>
    <t>Margaret Wheatley.</t>
  </si>
  <si>
    <t>9781605091471</t>
  </si>
  <si>
    <t>Leadership and the New Science</t>
  </si>
  <si>
    <t>9781605091501</t>
  </si>
  <si>
    <t>The Resiliency Advantage</t>
  </si>
  <si>
    <t>Al Siebert.</t>
  </si>
  <si>
    <t>9781605092515</t>
  </si>
  <si>
    <t>The World Café</t>
  </si>
  <si>
    <t>Juanita Brown. David Isaacs. W</t>
  </si>
  <si>
    <t>9781605092539</t>
  </si>
  <si>
    <t>Leading People Through Disaste</t>
  </si>
  <si>
    <t>Kathryn McKee, SPHR. Liz Guthr</t>
  </si>
  <si>
    <t>9781605092584</t>
  </si>
  <si>
    <t>The Circle Way</t>
  </si>
  <si>
    <t>Christina Baldwin. Ann Linnea.</t>
  </si>
  <si>
    <t>9781605092638</t>
  </si>
  <si>
    <t>Trauma Stewardship</t>
  </si>
  <si>
    <t>Laura Lipsky Van. Connie Burk.</t>
  </si>
  <si>
    <t>9781605092669</t>
  </si>
  <si>
    <t>The Art of Quantum Planning</t>
  </si>
  <si>
    <t>Gerald Harris. Peter Schwartz.</t>
  </si>
  <si>
    <t>9781605092690</t>
  </si>
  <si>
    <t>301 Ways to Have Fun At Work</t>
  </si>
  <si>
    <t>Dave Hemsath. David Hemsath.</t>
  </si>
  <si>
    <t>9781605092713</t>
  </si>
  <si>
    <t>The Fox in the Henhouse</t>
  </si>
  <si>
    <t>Si Kanh. Elizabeth Minnich.</t>
  </si>
  <si>
    <t>9781605092744</t>
  </si>
  <si>
    <t>The Courageous Follower, 3rd E</t>
  </si>
  <si>
    <t>Ira Chaleff.</t>
  </si>
  <si>
    <t>9781605092782</t>
  </si>
  <si>
    <t>Thinking Big</t>
  </si>
  <si>
    <t>Progressive Network Ideas.</t>
  </si>
  <si>
    <t>9781605092812</t>
  </si>
  <si>
    <t>Appreciative Inquiry</t>
  </si>
  <si>
    <t>David Cooperrider. Diana Whitn</t>
  </si>
  <si>
    <t>9781605092829</t>
  </si>
  <si>
    <t>Second Innocence</t>
  </si>
  <si>
    <t>9781605092836</t>
  </si>
  <si>
    <t>Sprout!</t>
  </si>
  <si>
    <t>Greg Wright. Alan Vengel.</t>
  </si>
  <si>
    <t>9781605092850</t>
  </si>
  <si>
    <t>How to Make Collaboration Work</t>
  </si>
  <si>
    <t>David A. Straus.</t>
  </si>
  <si>
    <t>9781605092874</t>
  </si>
  <si>
    <t>Hands-On Training</t>
  </si>
  <si>
    <t>Gary Sisson.</t>
  </si>
  <si>
    <t>9781605092911</t>
  </si>
  <si>
    <t>Three Deep Breaths</t>
  </si>
  <si>
    <t>Thomas Crum. Mark Hansen Victo</t>
  </si>
  <si>
    <t>9781605092935</t>
  </si>
  <si>
    <t>Dreamcrafting</t>
  </si>
  <si>
    <t>Paul Levesque. Art McNeil.</t>
  </si>
  <si>
    <t>9781605092942</t>
  </si>
  <si>
    <t>Regime Change Begins at Home</t>
  </si>
  <si>
    <t>Charles Derber.</t>
  </si>
  <si>
    <t>9781605092959</t>
  </si>
  <si>
    <t>Hidden Power</t>
  </si>
  <si>
    <t>9781605092973</t>
  </si>
  <si>
    <t>Hot Spots</t>
  </si>
  <si>
    <t>Lynda Gratton.</t>
  </si>
  <si>
    <t>9781605092980</t>
  </si>
  <si>
    <t>Working at Warp Speed</t>
  </si>
  <si>
    <t>Barry Flicker.</t>
  </si>
  <si>
    <t>9781605093000</t>
  </si>
  <si>
    <t>All Rise</t>
  </si>
  <si>
    <t>Robert Fuller.</t>
  </si>
  <si>
    <t>9781605093017</t>
  </si>
  <si>
    <t>How to Get Ideas</t>
  </si>
  <si>
    <t>Jack Foster. Larry Corby.</t>
  </si>
  <si>
    <t>9781605093055</t>
  </si>
  <si>
    <t>Power and Love</t>
  </si>
  <si>
    <t>Adam Kahane. Jeff Barnum.</t>
  </si>
  <si>
    <t>9781605093086</t>
  </si>
  <si>
    <t>Invisible Capital</t>
  </si>
  <si>
    <t>Chris Rabb.</t>
  </si>
  <si>
    <t>9781605093109</t>
  </si>
  <si>
    <t>9781609945220</t>
  </si>
  <si>
    <t>Owning Our Future</t>
  </si>
  <si>
    <t>Marjorie Kelly.</t>
  </si>
  <si>
    <t>9781605093291</t>
  </si>
  <si>
    <t>The Power of Appreciative Inqu</t>
  </si>
  <si>
    <t>Diana Whitney. Amanda Trosten-</t>
  </si>
  <si>
    <t>9781605093314</t>
  </si>
  <si>
    <t>2048</t>
  </si>
  <si>
    <t>J. Boyd Kirk.</t>
  </si>
  <si>
    <t>9781605093352</t>
  </si>
  <si>
    <t>The Book of Agreement</t>
  </si>
  <si>
    <t>9781605093369</t>
  </si>
  <si>
    <t>Ideaship</t>
  </si>
  <si>
    <t>9781605093376</t>
  </si>
  <si>
    <t>Know Can Do!</t>
  </si>
  <si>
    <t>Ken Blanchard. Paul Meyer.</t>
  </si>
  <si>
    <t>9781605093390</t>
  </si>
  <si>
    <t>Empowerment Takes More Than a</t>
  </si>
  <si>
    <t>Ken Blanchard. John Carlos.</t>
  </si>
  <si>
    <t>9781605093406</t>
  </si>
  <si>
    <t>The 3 Keys to Empowerment</t>
  </si>
  <si>
    <t>9781605093413</t>
  </si>
  <si>
    <t>Go Team!</t>
  </si>
  <si>
    <t>Ken Blanchard. Alan Randolph.</t>
  </si>
  <si>
    <t>9781605093475</t>
  </si>
  <si>
    <t>Bootstrap Leadership</t>
  </si>
  <si>
    <t>Steve Arneson.</t>
  </si>
  <si>
    <t>9781605093505</t>
  </si>
  <si>
    <t>Whale Done Parenting</t>
  </si>
  <si>
    <t>Ken Blanchard. Thad Lacinak.</t>
  </si>
  <si>
    <t>9781605093536</t>
  </si>
  <si>
    <t>Wander Woman</t>
  </si>
  <si>
    <t>Marcia Reynolds.</t>
  </si>
  <si>
    <t>9781605093741</t>
  </si>
  <si>
    <t>Rebuilding Trust in the Workpl</t>
  </si>
  <si>
    <t>Dennis Reina.</t>
  </si>
  <si>
    <t>9781605093765</t>
  </si>
  <si>
    <t>Agenda for a New Economy, 2nd</t>
  </si>
  <si>
    <t>9781605093796</t>
  </si>
  <si>
    <t>Small Change</t>
  </si>
  <si>
    <t>Michael Edwards.</t>
  </si>
  <si>
    <t>9781605093802</t>
  </si>
  <si>
    <t>Catch!</t>
  </si>
  <si>
    <t>Cyndi Crother.</t>
  </si>
  <si>
    <t>9781605093826</t>
  </si>
  <si>
    <t>Making Sustainability Work</t>
  </si>
  <si>
    <t>Marc J. Epstein.</t>
  </si>
  <si>
    <t>9781605093833</t>
  </si>
  <si>
    <t>The Compromise Trap</t>
  </si>
  <si>
    <t>Elizabeth Doty. Art Kleiner.</t>
  </si>
  <si>
    <t>9781605093840</t>
  </si>
  <si>
    <t>We Are All Self-Employed</t>
  </si>
  <si>
    <t>Cliff Hakim.</t>
  </si>
  <si>
    <t>9781605093857</t>
  </si>
  <si>
    <t>The New Why Teams Don't Work</t>
  </si>
  <si>
    <t>Harvey Robbins. Michael Finley</t>
  </si>
  <si>
    <t>9781605093864</t>
  </si>
  <si>
    <t>The Speculation Economy</t>
  </si>
  <si>
    <t>Lawrence E. Mitchell.</t>
  </si>
  <si>
    <t>9781605093895</t>
  </si>
  <si>
    <t>The Power of Failure</t>
  </si>
  <si>
    <t>9781605093918</t>
  </si>
  <si>
    <t>The Big Investment Lie</t>
  </si>
  <si>
    <t>Michael Edesess.</t>
  </si>
  <si>
    <t>9781605093949</t>
  </si>
  <si>
    <t>The Answer to How Is Yes</t>
  </si>
  <si>
    <t>9781605093956</t>
  </si>
  <si>
    <t>Abolishing Performance Apprais</t>
  </si>
  <si>
    <t>Tom Coens. Mary Jenkins.</t>
  </si>
  <si>
    <t>9781605094069</t>
  </si>
  <si>
    <t>Creating a World That Works fo</t>
  </si>
  <si>
    <t>Sharif M Abdullah.</t>
  </si>
  <si>
    <t>9781605094076</t>
  </si>
  <si>
    <t>Lean and Green</t>
  </si>
  <si>
    <t>Pamela Gordon.</t>
  </si>
  <si>
    <t>9781605094083</t>
  </si>
  <si>
    <t>DEC Is Dead, Long Live DEC</t>
  </si>
  <si>
    <t>Edgar Schein. Paul Kampas.</t>
  </si>
  <si>
    <t>9781605094090</t>
  </si>
  <si>
    <t>Alternatives to Economic Globa</t>
  </si>
  <si>
    <t>John Cavanagh. Jerry Mander.</t>
  </si>
  <si>
    <t>9781605094106</t>
  </si>
  <si>
    <t>Teamwork Is an Individual Skil</t>
  </si>
  <si>
    <t>Christopher M. Avery. Meri A.</t>
  </si>
  <si>
    <t>9781605094120</t>
  </si>
  <si>
    <t>Goals!</t>
  </si>
  <si>
    <t>9781605094144</t>
  </si>
  <si>
    <t>Scenario Planning in Organizat</t>
  </si>
  <si>
    <t>Thomas Chermack.</t>
  </si>
  <si>
    <t>9781605094175</t>
  </si>
  <si>
    <t>Share This!</t>
  </si>
  <si>
    <t>Deanna Zandt.</t>
  </si>
  <si>
    <t>9781605094236</t>
  </si>
  <si>
    <t>Brilliance by Design</t>
  </si>
  <si>
    <t>Vicki Halsey.</t>
  </si>
  <si>
    <t>9781605094250</t>
  </si>
  <si>
    <t>Insult to Injury</t>
  </si>
  <si>
    <t>Ray Bourhis.</t>
  </si>
  <si>
    <t>9781605094267</t>
  </si>
  <si>
    <t>Time and the Soul</t>
  </si>
  <si>
    <t>Jacob Needleman. John Cleese.</t>
  </si>
  <si>
    <t>9781605094274</t>
  </si>
  <si>
    <t>Inclusion Breakthrough</t>
  </si>
  <si>
    <t>Frederick Miller. Judith Katz.</t>
  </si>
  <si>
    <t>9781605094298</t>
  </si>
  <si>
    <t>Future Search</t>
  </si>
  <si>
    <t>9781605094311</t>
  </si>
  <si>
    <t>The Trance of Scarcity</t>
  </si>
  <si>
    <t>Victoria Castle.</t>
  </si>
  <si>
    <t>9781605094458</t>
  </si>
  <si>
    <t>Creative Community Organizing</t>
  </si>
  <si>
    <t>Si Kahn. Angela Davis.</t>
  </si>
  <si>
    <t>9781605094489</t>
  </si>
  <si>
    <t>Terms of Engagement</t>
  </si>
  <si>
    <t>9781605094519</t>
  </si>
  <si>
    <t>World Class Diversity Manageme</t>
  </si>
  <si>
    <t>Roosevelt Thomas.</t>
  </si>
  <si>
    <t>9781605094663</t>
  </si>
  <si>
    <t>Green Deen</t>
  </si>
  <si>
    <t>Ibrahim Abdul-Matin. Keith Ell</t>
  </si>
  <si>
    <t>9781605094687</t>
  </si>
  <si>
    <t>Street Smart Sustainability</t>
  </si>
  <si>
    <t>David Mager. Joe Sibilia.</t>
  </si>
  <si>
    <t>9781605094700</t>
  </si>
  <si>
    <t>The Secret, 2nd Edition</t>
  </si>
  <si>
    <t>Ken Blanchard. Mark Miller.</t>
  </si>
  <si>
    <t>9781605095264</t>
  </si>
  <si>
    <t>Prisoners of Our Thoughts, 2nd</t>
  </si>
  <si>
    <t>Alex Pattakos. Stephen Covey.</t>
  </si>
  <si>
    <t>9781605095271</t>
  </si>
  <si>
    <t>The Power of Purpose, 2nd Edit</t>
  </si>
  <si>
    <t>Richard Leider.</t>
  </si>
  <si>
    <t>9781605095608</t>
  </si>
  <si>
    <t>Unequal Protection</t>
  </si>
  <si>
    <t>9781605095646</t>
  </si>
  <si>
    <t>Infinite Possibility</t>
  </si>
  <si>
    <t>B. Joseph Pine II.</t>
  </si>
  <si>
    <t>9781605095677</t>
  </si>
  <si>
    <t>Responsible Restructuring</t>
  </si>
  <si>
    <t>Wayne Cascio.</t>
  </si>
  <si>
    <t>9781605095707</t>
  </si>
  <si>
    <t>The Moral Advantage</t>
  </si>
  <si>
    <t>William Damon.</t>
  </si>
  <si>
    <t>9781605096018</t>
  </si>
  <si>
    <t>Useful Research</t>
  </si>
  <si>
    <t>Susan Albers Mohrman. Edward E</t>
  </si>
  <si>
    <t>9781605096049</t>
  </si>
  <si>
    <t>Engaging Emergence</t>
  </si>
  <si>
    <t>Peggy Holman.</t>
  </si>
  <si>
    <t>9781605096070</t>
  </si>
  <si>
    <t>Networking for People Who Hate</t>
  </si>
  <si>
    <t>Devora Zack.</t>
  </si>
  <si>
    <t>9781605096117</t>
  </si>
  <si>
    <t>Smart Videoconferencing</t>
  </si>
  <si>
    <t>Janelle Barlow. Peta Peter. Le</t>
  </si>
  <si>
    <t>9781605096124</t>
  </si>
  <si>
    <t>The Blind Men and the Elephant</t>
  </si>
  <si>
    <t>David Schmaltz.</t>
  </si>
  <si>
    <t>9781605096148</t>
  </si>
  <si>
    <t>The Great American Jobs Scam</t>
  </si>
  <si>
    <t>Greg LeRoy.</t>
  </si>
  <si>
    <t>9781605096162</t>
  </si>
  <si>
    <t>Stirring of Soul in the Workpl</t>
  </si>
  <si>
    <t>Alan Briskin.</t>
  </si>
  <si>
    <t>9781605096179</t>
  </si>
  <si>
    <t>Bringing Your Soul to Work</t>
  </si>
  <si>
    <t>Alan Briskin. Cheryl Peppers.</t>
  </si>
  <si>
    <t>9781605096186</t>
  </si>
  <si>
    <t>Real Leadership</t>
  </si>
  <si>
    <t>Dean Williams.</t>
  </si>
  <si>
    <t>9781605096209</t>
  </si>
  <si>
    <t>The One Minute Negotiator</t>
  </si>
  <si>
    <t>Don Hutson. George H. Lucas.</t>
  </si>
  <si>
    <t>9781605096230</t>
  </si>
  <si>
    <t>Expanding Our Now</t>
  </si>
  <si>
    <t>9781605096247</t>
  </si>
  <si>
    <t>The Spirit of Leadership</t>
  </si>
  <si>
    <t>9781605096254</t>
  </si>
  <si>
    <t>The Power of Spirit</t>
  </si>
  <si>
    <t>9781605096261</t>
  </si>
  <si>
    <t>The Abundant Community</t>
  </si>
  <si>
    <t>John McKnight. Peter Block.</t>
  </si>
  <si>
    <t>9781605096308</t>
  </si>
  <si>
    <t>Your Leadership Legacy</t>
  </si>
  <si>
    <t>Marta Brooks. Julie Stark.</t>
  </si>
  <si>
    <t>9781605096339</t>
  </si>
  <si>
    <t>Action Inquiry</t>
  </si>
  <si>
    <t>William Torbert.</t>
  </si>
  <si>
    <t>9781605096353</t>
  </si>
  <si>
    <t>The Restoration Economy</t>
  </si>
  <si>
    <t>Storm Cunningham.</t>
  </si>
  <si>
    <t>9781605096384</t>
  </si>
  <si>
    <t>Take Back Your Time</t>
  </si>
  <si>
    <t>John de Graaf.</t>
  </si>
  <si>
    <t>9781605096407</t>
  </si>
  <si>
    <t>Running Training Like a Busine</t>
  </si>
  <si>
    <t>David Van Adelsberg. Edward A.</t>
  </si>
  <si>
    <t>9781605096476</t>
  </si>
  <si>
    <t>Affluenza, Second Edition</t>
  </si>
  <si>
    <t>David Wann. de John Graaf.</t>
  </si>
  <si>
    <t>9781605096513</t>
  </si>
  <si>
    <t>Accidental Genius</t>
  </si>
  <si>
    <t>Mark Levy.</t>
  </si>
  <si>
    <t>9781605096568</t>
  </si>
  <si>
    <t>They Just Don't Get It!</t>
  </si>
  <si>
    <t>Leslie Yerkes. Randy Martin.</t>
  </si>
  <si>
    <t>9781605096599</t>
  </si>
  <si>
    <t>The Improvisation Edge</t>
  </si>
  <si>
    <t>Karen Hough.</t>
  </si>
  <si>
    <t>9781605096629</t>
  </si>
  <si>
    <t>Leading in Turbulent Times</t>
  </si>
  <si>
    <t>Kevin Kelly. Gary Hayes.</t>
  </si>
  <si>
    <t>9781605096698</t>
  </si>
  <si>
    <t>The Art of Convening</t>
  </si>
  <si>
    <t>Craig Neal. Patricia Neal.</t>
  </si>
  <si>
    <t>9781605096995</t>
  </si>
  <si>
    <t>Built to Love</t>
  </si>
  <si>
    <t>Peter Boatwright. Jonathan Cag</t>
  </si>
  <si>
    <t>9781605097039</t>
  </si>
  <si>
    <t>The New Social Learning</t>
  </si>
  <si>
    <t>Tony Bingham. Marcia Conner.</t>
  </si>
  <si>
    <t>9781605097114</t>
  </si>
  <si>
    <t>America As Empire</t>
  </si>
  <si>
    <t>James Garrison.</t>
  </si>
  <si>
    <t>9781605097121</t>
  </si>
  <si>
    <t>Gangs of America</t>
  </si>
  <si>
    <t>Ted Nace.</t>
  </si>
  <si>
    <t>9781605097152</t>
  </si>
  <si>
    <t>The New SuperLeadership</t>
  </si>
  <si>
    <t>Charles Manz. Henry Sims Henry</t>
  </si>
  <si>
    <t>9781605097169</t>
  </si>
  <si>
    <t>Robert K. Greenleaf</t>
  </si>
  <si>
    <t>Don Frick. Peter Senge.</t>
  </si>
  <si>
    <t>9781605097183</t>
  </si>
  <si>
    <t>Spiritual Capital</t>
  </si>
  <si>
    <t>Danah Zohar. Ian Marshall.</t>
  </si>
  <si>
    <t>9781605097206</t>
  </si>
  <si>
    <t>Consulting Mastery</t>
  </si>
  <si>
    <t>Keith Merron.</t>
  </si>
  <si>
    <t>9781605097282</t>
  </si>
  <si>
    <t>Seeing Red Cars</t>
  </si>
  <si>
    <t>Laura Goodrich.</t>
  </si>
  <si>
    <t>9781605097329</t>
  </si>
  <si>
    <t>Walk Out Walk On</t>
  </si>
  <si>
    <t>Margaret Wheatley. Deborah Fri</t>
  </si>
  <si>
    <t>9781605098043</t>
  </si>
  <si>
    <t>Whole-Scale Change</t>
  </si>
  <si>
    <t>Dannemiller Associates Tyson.</t>
  </si>
  <si>
    <t>9781605098050</t>
  </si>
  <si>
    <t>Shortchanged</t>
  </si>
  <si>
    <t>Howard Karger.</t>
  </si>
  <si>
    <t>9781605098067</t>
  </si>
  <si>
    <t>Don't Kill the Bosses!</t>
  </si>
  <si>
    <t>Samuel Culbert. John Ullmen.</t>
  </si>
  <si>
    <t>9781605098074</t>
  </si>
  <si>
    <t>The Stakeholder Strategy</t>
  </si>
  <si>
    <t>Ann Svendsen.</t>
  </si>
  <si>
    <t>9781605098081</t>
  </si>
  <si>
    <t>What If Boomers Can't Retire?</t>
  </si>
  <si>
    <t>Thornton Parker. Hazel Henders</t>
  </si>
  <si>
    <t>9781605098111</t>
  </si>
  <si>
    <t>Be Your Own Brand, 2nd Edition</t>
  </si>
  <si>
    <t>David McNally. Karl Speak D.</t>
  </si>
  <si>
    <t>9781605098135</t>
  </si>
  <si>
    <t>9781605098159</t>
  </si>
  <si>
    <t>The Shareholder Value Myth</t>
  </si>
  <si>
    <t>Lynn A. Stout.</t>
  </si>
  <si>
    <t>9781605098173</t>
  </si>
  <si>
    <t>Stakeholder Theory and Organiz</t>
  </si>
  <si>
    <t>Robert Phillips.</t>
  </si>
  <si>
    <t>9781605098180</t>
  </si>
  <si>
    <t>Choosing the Right Thing to Do</t>
  </si>
  <si>
    <t>David Shapiro.</t>
  </si>
  <si>
    <t>9781605098197</t>
  </si>
  <si>
    <t>Positively M. A. D.</t>
  </si>
  <si>
    <t>9781605098210</t>
  </si>
  <si>
    <t>Dot Calm</t>
  </si>
  <si>
    <t>Debra Dinnocenzo. Richard Sweg</t>
  </si>
  <si>
    <t>9781605098425</t>
  </si>
  <si>
    <t>Zero Space</t>
  </si>
  <si>
    <t>Frank Deprez Lekanne. Rene Tis</t>
  </si>
  <si>
    <t>9781605098456</t>
  </si>
  <si>
    <t>Building a Win-Win World</t>
  </si>
  <si>
    <t>Hazel Henderson.</t>
  </si>
  <si>
    <t>9781605098470</t>
  </si>
  <si>
    <t>The Peon Book</t>
  </si>
  <si>
    <t>Dave Haynes.</t>
  </si>
  <si>
    <t>9781605098487</t>
  </si>
  <si>
    <t>Yes Lives in the Land of No</t>
  </si>
  <si>
    <t>Gallagher Gallagher. Steve Ven</t>
  </si>
  <si>
    <t>9781605098500</t>
  </si>
  <si>
    <t>PeopleSmart</t>
  </si>
  <si>
    <t>Melvin Silberman. Freda Hansbu</t>
  </si>
  <si>
    <t>9781605098517</t>
  </si>
  <si>
    <t>Working PeopleSmart</t>
  </si>
  <si>
    <t>9781605098548</t>
  </si>
  <si>
    <t>Perseverance</t>
  </si>
  <si>
    <t>Margaret J. Wheatley.</t>
  </si>
  <si>
    <t>9781605098609</t>
  </si>
  <si>
    <t>50 Jobs in 50 States</t>
  </si>
  <si>
    <t>Daniel Seddiqui.</t>
  </si>
  <si>
    <t>9781605098630</t>
  </si>
  <si>
    <t>The Power of Your Past</t>
  </si>
  <si>
    <t>John P Schuster.</t>
  </si>
  <si>
    <t>9781605098678</t>
  </si>
  <si>
    <t>The New Rules of Green Marketi</t>
  </si>
  <si>
    <t>Jacquelyn Ottman.</t>
  </si>
  <si>
    <t>9781605098722</t>
  </si>
  <si>
    <t>The Beauty of the Beast</t>
  </si>
  <si>
    <t>Geoffrey Bellman.</t>
  </si>
  <si>
    <t>9781605098760</t>
  </si>
  <si>
    <t>Full Steam Ahead!, 2nd Edition</t>
  </si>
  <si>
    <t>Ken Blanchard. Jesse Lyn Stone</t>
  </si>
  <si>
    <t>9781605098838</t>
  </si>
  <si>
    <t>Collective Visioning</t>
  </si>
  <si>
    <t>Linda Stout.</t>
  </si>
  <si>
    <t>9781605098876</t>
  </si>
  <si>
    <t>No More Regrets!</t>
  </si>
  <si>
    <t>Marc Muchnick.</t>
  </si>
  <si>
    <t>9781605099095</t>
  </si>
  <si>
    <t>Rebooting the American Dream</t>
  </si>
  <si>
    <t>9781605099231</t>
  </si>
  <si>
    <t>Full Voice: The Art and Practi</t>
  </si>
  <si>
    <t>Barbara McAfee.</t>
  </si>
  <si>
    <t>9781605099262</t>
  </si>
  <si>
    <t>9781605099286</t>
  </si>
  <si>
    <t>Leading from the Emerging Futu</t>
  </si>
  <si>
    <t>C. Otto Scharmer. Katrin Kaeuf</t>
  </si>
  <si>
    <t>9781605099323</t>
  </si>
  <si>
    <t>Make Talent Your Business</t>
  </si>
  <si>
    <t>Wendy Axelrod. Jeannie Coyle.</t>
  </si>
  <si>
    <t>9781605099521</t>
  </si>
  <si>
    <t>Mother Teresa, CEO</t>
  </si>
  <si>
    <t>Ruma Bose. Louis Faust III.</t>
  </si>
  <si>
    <t>9781605099569</t>
  </si>
  <si>
    <t>The 8 Dimensions of Leadership</t>
  </si>
  <si>
    <t>Jeffrey Sugerman. Mark Scullar</t>
  </si>
  <si>
    <t>9781605099767</t>
  </si>
  <si>
    <t>Wired and Dangerous</t>
  </si>
  <si>
    <t>Chip R Bell. John R. Patterson</t>
  </si>
  <si>
    <t>9781605099804</t>
  </si>
  <si>
    <t>Infinite Vision</t>
  </si>
  <si>
    <t>Pavithra Mehta. Suchitra Sheno</t>
  </si>
  <si>
    <t>9781605099873</t>
  </si>
  <si>
    <t>The Corporate Whistleblower's</t>
  </si>
  <si>
    <t>Tom Devine. Tarek F. Maassaran</t>
  </si>
  <si>
    <t>9781605099910</t>
  </si>
  <si>
    <t>Collaborative Intelligence</t>
  </si>
  <si>
    <t>J. Richard Hackman.</t>
  </si>
  <si>
    <t>9781609940058</t>
  </si>
  <si>
    <t>The Leadership Wisdom of Jesus</t>
  </si>
  <si>
    <t>Charles C. Manz.</t>
  </si>
  <si>
    <t>9781609940089</t>
  </si>
  <si>
    <t>True North Groups</t>
  </si>
  <si>
    <t>Bill George. Douglas M. Baker.</t>
  </si>
  <si>
    <t>9781609940126</t>
  </si>
  <si>
    <t>Creating Personal Presence</t>
  </si>
  <si>
    <t>Dianna Booher.</t>
  </si>
  <si>
    <t>9781609940188</t>
  </si>
  <si>
    <t>Synchronicity, 2nd Edition</t>
  </si>
  <si>
    <t>Joseph Jaworski. Peter M Senge</t>
  </si>
  <si>
    <t>9781609940300</t>
  </si>
  <si>
    <t>The End of Diversity As We Kno</t>
  </si>
  <si>
    <t>Martin N. Davidson.</t>
  </si>
  <si>
    <t>9781609940331</t>
  </si>
  <si>
    <t>The New Entrepreneurial Leader</t>
  </si>
  <si>
    <t>Danna Greenberg. Kate McKone-S</t>
  </si>
  <si>
    <t>9781609940584</t>
  </si>
  <si>
    <t>Stepping Up</t>
  </si>
  <si>
    <t>John B. Izzo.</t>
  </si>
  <si>
    <t>9781609940621</t>
  </si>
  <si>
    <t>Good Company</t>
  </si>
  <si>
    <t>Laurie Bassi. Ed Frauenheim. L</t>
  </si>
  <si>
    <t>9781609940669</t>
  </si>
  <si>
    <t>I Moved Your Cheese</t>
  </si>
  <si>
    <t>Deepak Malhotra.</t>
  </si>
  <si>
    <t>9781609940713</t>
  </si>
  <si>
    <t>Prosper</t>
  </si>
  <si>
    <t>Ethan Willis. Randy Garn.</t>
  </si>
  <si>
    <t>9781609940775</t>
  </si>
  <si>
    <t>9781609940799</t>
  </si>
  <si>
    <t>The Business Solution to Pover</t>
  </si>
  <si>
    <t>Paul Polak. Mal Warwick.</t>
  </si>
  <si>
    <t>9781609941055</t>
  </si>
  <si>
    <t>9781609941062</t>
  </si>
  <si>
    <t>Corporations Are Not People</t>
  </si>
  <si>
    <t>Jeffrey D. Clements.</t>
  </si>
  <si>
    <t>9781609941093</t>
  </si>
  <si>
    <t>The Secret of Teams</t>
  </si>
  <si>
    <t>Mark Miller.</t>
  </si>
  <si>
    <t>9781609941208</t>
  </si>
  <si>
    <t>9781609941222</t>
  </si>
  <si>
    <t>The Transforming Leader</t>
  </si>
  <si>
    <t>Carol S. Pearson.</t>
  </si>
  <si>
    <t>9781609941253</t>
  </si>
  <si>
    <t>What the U.S. Can Learn from C</t>
  </si>
  <si>
    <t>Ann Lee.</t>
  </si>
  <si>
    <t>9781609941932</t>
  </si>
  <si>
    <t>Creating Leaderful Organizatio</t>
  </si>
  <si>
    <t>Joseph A. Raelin.</t>
  </si>
  <si>
    <t>9781609941949</t>
  </si>
  <si>
    <t>The Divine Right of Capital</t>
  </si>
  <si>
    <t>9781609942052</t>
  </si>
  <si>
    <t>The Serving Leader</t>
  </si>
  <si>
    <t>Ken Jennings. John Stahl-Wert.</t>
  </si>
  <si>
    <t>9781609942809</t>
  </si>
  <si>
    <t>9781609942816</t>
  </si>
  <si>
    <t>Kiss That Frog!</t>
  </si>
  <si>
    <t>Brian Tracy. Christina Stein.</t>
  </si>
  <si>
    <t>9781609942885</t>
  </si>
  <si>
    <t>9781609942892</t>
  </si>
  <si>
    <t>The Greater Goal</t>
  </si>
  <si>
    <t>Ken Jennings. Heather Hyde.</t>
  </si>
  <si>
    <t>9781609942922</t>
  </si>
  <si>
    <t>9781609942939</t>
  </si>
  <si>
    <t>Being Buddha at Work</t>
  </si>
  <si>
    <t>Franz Metcalf. BJ Gallagher.</t>
  </si>
  <si>
    <t>9781609942960</t>
  </si>
  <si>
    <t>9781609942984</t>
  </si>
  <si>
    <t>Rethinking Money</t>
  </si>
  <si>
    <t>Bernard Lietaer. Jacqui Dunne.</t>
  </si>
  <si>
    <t>9781609943035</t>
  </si>
  <si>
    <t>9781605096957</t>
  </si>
  <si>
    <t>Great Leaders Grow</t>
  </si>
  <si>
    <t>9781609944636</t>
  </si>
  <si>
    <t>Figures of Speech</t>
  </si>
  <si>
    <t>William Turner.</t>
  </si>
  <si>
    <t>9781609944674</t>
  </si>
  <si>
    <t>Never in My Wildest Dreams</t>
  </si>
  <si>
    <t>Belva Davis. Vicki Haddock.</t>
  </si>
  <si>
    <t>9781609944704</t>
  </si>
  <si>
    <t>Best Care Anywhere, 2nd Editio</t>
  </si>
  <si>
    <t>Phillip Longman.</t>
  </si>
  <si>
    <t>9781609944759</t>
  </si>
  <si>
    <t>False Profits</t>
  </si>
  <si>
    <t>Dean Baker.</t>
  </si>
  <si>
    <t>9781609944872</t>
  </si>
  <si>
    <t>9781609944889</t>
  </si>
  <si>
    <t>Leaders Make the Future, 2nd E</t>
  </si>
  <si>
    <t>9781609944902</t>
  </si>
  <si>
    <t>9781609944926</t>
  </si>
  <si>
    <t>Transformative Scenario Planni</t>
  </si>
  <si>
    <t>Adam Kahane.</t>
  </si>
  <si>
    <t>9781609944940</t>
  </si>
  <si>
    <t>9781609944964</t>
  </si>
  <si>
    <t>Leapfrogging</t>
  </si>
  <si>
    <t>Soren Kaplan.</t>
  </si>
  <si>
    <t>9781609945060</t>
  </si>
  <si>
    <t>9781609945077</t>
  </si>
  <si>
    <t>The Self-Made Myth</t>
  </si>
  <si>
    <t>Brian Miller. Mike Lapham.</t>
  </si>
  <si>
    <t>9781609945169</t>
  </si>
  <si>
    <t>9781609945237</t>
  </si>
  <si>
    <t>Campaign Boot Camp 2.0</t>
  </si>
  <si>
    <t>Christine Pelosi.</t>
  </si>
  <si>
    <t>9781609945176</t>
  </si>
  <si>
    <t>9781609945817</t>
  </si>
  <si>
    <t>Best Care Anywhere, 3rd Editio</t>
  </si>
  <si>
    <t>9781609945183</t>
  </si>
  <si>
    <t>9781609945206</t>
  </si>
  <si>
    <t>Confessions of a Microfinance</t>
  </si>
  <si>
    <t>Hugh Sinclair.</t>
  </si>
  <si>
    <t>9781609945282</t>
  </si>
  <si>
    <t>9781609945305</t>
  </si>
  <si>
    <t>Hungry Start-up Strategy</t>
  </si>
  <si>
    <t>Peter S. Peter S. Cohan.</t>
  </si>
  <si>
    <t>9781609945329</t>
  </si>
  <si>
    <t>9781609945343</t>
  </si>
  <si>
    <t>The Pause Principle</t>
  </si>
  <si>
    <t>9781609945367</t>
  </si>
  <si>
    <t>9781609945381</t>
  </si>
  <si>
    <t>So Far from Home</t>
  </si>
  <si>
    <t>9781609945398</t>
  </si>
  <si>
    <t>9781609945411</t>
  </si>
  <si>
    <t>What To Do When There's Too Mu</t>
  </si>
  <si>
    <t>Laura Stack.</t>
  </si>
  <si>
    <t>9781609945497</t>
  </si>
  <si>
    <t>9781609945510</t>
  </si>
  <si>
    <t>Repacking Your Bags, 3rd Editi</t>
  </si>
  <si>
    <t>Richard J. Leider. David A. Sh</t>
  </si>
  <si>
    <t>9781609945534</t>
  </si>
  <si>
    <t>9781609945558</t>
  </si>
  <si>
    <t>The Innovation Paradox</t>
  </si>
  <si>
    <t>Tony Davila. Marc Epstein.</t>
  </si>
  <si>
    <t>9781609945626</t>
  </si>
  <si>
    <t>9781609945640</t>
  </si>
  <si>
    <t>Quiet Influence</t>
  </si>
  <si>
    <t>Jennifer Kahnweiler.</t>
  </si>
  <si>
    <t>9781609945664</t>
  </si>
  <si>
    <t>9781609945688</t>
  </si>
  <si>
    <t>Positive Leadership, 2nd Editi</t>
  </si>
  <si>
    <t>9781609945695</t>
  </si>
  <si>
    <t>9781609945718</t>
  </si>
  <si>
    <t>Teaching That Changes Lives</t>
  </si>
  <si>
    <t>Marilee G. Adams.</t>
  </si>
  <si>
    <t>9781609945732</t>
  </si>
  <si>
    <t>9781609945756</t>
  </si>
  <si>
    <t>Managing for People Who Hate M</t>
  </si>
  <si>
    <t>9781609945770</t>
  </si>
  <si>
    <t>9781609945794</t>
  </si>
  <si>
    <t>Two Birds in a Tree</t>
  </si>
  <si>
    <t>Ram Nidumolu.</t>
  </si>
  <si>
    <t>9781609945886</t>
  </si>
  <si>
    <t>This Changes Everything</t>
  </si>
  <si>
    <t>Sarah Ruth van Gelder.</t>
  </si>
  <si>
    <t>9781609945923</t>
  </si>
  <si>
    <t>9781609945930</t>
  </si>
  <si>
    <t>99 to 1</t>
  </si>
  <si>
    <t>Chuck Collins.</t>
  </si>
  <si>
    <t>9781609946326</t>
  </si>
  <si>
    <t>9781609946340</t>
  </si>
  <si>
    <t>Help Them Grow or Watch Them G</t>
  </si>
  <si>
    <t>Beverly Kaye. Julie Winkle-Giu</t>
  </si>
  <si>
    <t>9781609946364</t>
  </si>
  <si>
    <t>9781609946388</t>
  </si>
  <si>
    <t>The Empress Has No Clothes</t>
  </si>
  <si>
    <t>Joyce M. Roché. Alexander Kope</t>
  </si>
  <si>
    <t>9781609946401</t>
  </si>
  <si>
    <t>9781609946425</t>
  </si>
  <si>
    <t>Changing Business from the Ins</t>
  </si>
  <si>
    <t>Tim Mohin.</t>
  </si>
  <si>
    <t>9781609946449</t>
  </si>
  <si>
    <t>9781609946463</t>
  </si>
  <si>
    <t>Leadership and the Art of Stru</t>
  </si>
  <si>
    <t>Steven Snyder.</t>
  </si>
  <si>
    <t>9781609946647</t>
  </si>
  <si>
    <t>9781609946661</t>
  </si>
  <si>
    <t>Rooftop Revolution</t>
  </si>
  <si>
    <t>Danny Kennedy.</t>
  </si>
  <si>
    <t>9781609947101</t>
  </si>
  <si>
    <t>9781609947125</t>
  </si>
  <si>
    <t>Managers as Mentors, 3rd Editi</t>
  </si>
  <si>
    <t>Chip R. Bell. Marshall Goldsmi</t>
  </si>
  <si>
    <t>9781609947132</t>
  </si>
  <si>
    <t>9781609947347</t>
  </si>
  <si>
    <t>Theory Building in Applied Dis</t>
  </si>
  <si>
    <t>Richard A. Swanson. Thomas J.</t>
  </si>
  <si>
    <t>9781609947231</t>
  </si>
  <si>
    <t>9781609947378</t>
  </si>
  <si>
    <t>Take Charge of Your Talent</t>
  </si>
  <si>
    <t>Don Maruska. Jay Perry.</t>
  </si>
  <si>
    <t>9781609947392</t>
  </si>
  <si>
    <t>9781609947415</t>
  </si>
  <si>
    <t>I'm Sorry I Broke Your Company</t>
  </si>
  <si>
    <t>Karen Phelan.</t>
  </si>
  <si>
    <t>9781609947439</t>
  </si>
  <si>
    <t>9781609947453</t>
  </si>
  <si>
    <t>It's the Way You Say It, 2nd E</t>
  </si>
  <si>
    <t>Carol Fleming.</t>
  </si>
  <si>
    <t>9781609947477</t>
  </si>
  <si>
    <t>9781609947491</t>
  </si>
  <si>
    <t>Peer-to-Peer Leadership</t>
  </si>
  <si>
    <t>Mila N. Baker.</t>
  </si>
  <si>
    <t>9781609947897</t>
  </si>
  <si>
    <t>9781609947910</t>
  </si>
  <si>
    <t>Pharmacy on a Bicycle</t>
  </si>
  <si>
    <t>Eric Bing. Marc J. Epstein.</t>
  </si>
  <si>
    <t>9781609947972</t>
  </si>
  <si>
    <t>9781609947996</t>
  </si>
  <si>
    <t>Yoga Wisdom at Work</t>
  </si>
  <si>
    <t>Maren S. Showkeir. James D. Sh</t>
  </si>
  <si>
    <t>9781609947989</t>
  </si>
  <si>
    <t>9781609948030</t>
  </si>
  <si>
    <t>Opening Doors to Teamwork and</t>
  </si>
  <si>
    <t>Judith H. Katz. Frederick A. M</t>
  </si>
  <si>
    <t>9781609948054</t>
  </si>
  <si>
    <t>9781609948078</t>
  </si>
  <si>
    <t>Enough Is Enough</t>
  </si>
  <si>
    <t>Rob Dietz. Dan O’Neill.</t>
  </si>
  <si>
    <t>9781609948092</t>
  </si>
  <si>
    <t>9781609948115</t>
  </si>
  <si>
    <t>The Art of Insight</t>
  </si>
  <si>
    <t>Charles F. Kiefer. Malcolm Con</t>
  </si>
  <si>
    <t>9781609948221</t>
  </si>
  <si>
    <t>9781609948245</t>
  </si>
  <si>
    <t>Stewardship, 2nd Edition</t>
  </si>
  <si>
    <t>9781609948252</t>
  </si>
  <si>
    <t>9781609948276</t>
  </si>
  <si>
    <t>Embrace the Chaos</t>
  </si>
  <si>
    <t>Bob Miglani.</t>
  </si>
  <si>
    <t>9781609948290</t>
  </si>
  <si>
    <t>9781609948313</t>
  </si>
  <si>
    <t>How to Change Minds</t>
  </si>
  <si>
    <t>Robert L. Jolles.</t>
  </si>
  <si>
    <t>9781609948337</t>
  </si>
  <si>
    <t>9781609948351</t>
  </si>
  <si>
    <t>Our Common Wealth</t>
  </si>
  <si>
    <t>Jonathan Rowe. Peter Barnes.</t>
  </si>
  <si>
    <t>9781609948375</t>
  </si>
  <si>
    <t>9781609948399</t>
  </si>
  <si>
    <t>The Truth about Lies in the Wo</t>
  </si>
  <si>
    <t>Carol Kinsey Goman.</t>
  </si>
  <si>
    <t>9781609948849</t>
  </si>
  <si>
    <t>9781609948863</t>
  </si>
  <si>
    <t>Love 'Em or Lose 'Em, 5th Edit</t>
  </si>
  <si>
    <t>9781609948870</t>
  </si>
  <si>
    <t>9781609948894</t>
  </si>
  <si>
    <t>The Power of Latino Leadership</t>
  </si>
  <si>
    <t>9781609948917</t>
  </si>
  <si>
    <t>9781609948931</t>
  </si>
  <si>
    <t>Why Wait to Be Great?</t>
  </si>
  <si>
    <t>Terry Hawkins.</t>
  </si>
  <si>
    <t>9781609948955</t>
  </si>
  <si>
    <t>9781609948979</t>
  </si>
  <si>
    <t>Run Your Business, Don't Let I</t>
  </si>
  <si>
    <t>Clay Mathile.</t>
  </si>
  <si>
    <t>9781609948962</t>
  </si>
  <si>
    <t>9781609949020</t>
  </si>
  <si>
    <t>Speaking Up</t>
  </si>
  <si>
    <t>Frederick Gilbert.</t>
  </si>
  <si>
    <t>9781609949044</t>
  </si>
  <si>
    <t>9781609949068</t>
  </si>
  <si>
    <t>Fear Your Strengths</t>
  </si>
  <si>
    <t>Robert E. Kaplan. Robert B. Ka</t>
  </si>
  <si>
    <t>9781609949112</t>
  </si>
  <si>
    <t>9781609949136</t>
  </si>
  <si>
    <t>Make an Ethical Difference</t>
  </si>
  <si>
    <t>Mark Pastin.</t>
  </si>
  <si>
    <t>9781609949150</t>
  </si>
  <si>
    <t>9781609949174</t>
  </si>
  <si>
    <t>ZIP! Tips</t>
  </si>
  <si>
    <t>Mike Song.</t>
  </si>
  <si>
    <t>9781609949198</t>
  </si>
  <si>
    <t>9781609949211</t>
  </si>
  <si>
    <t>The Seven Paths</t>
  </si>
  <si>
    <t>Anasazi Foundation.</t>
  </si>
  <si>
    <t>9781609949235</t>
  </si>
  <si>
    <t>9781609949259</t>
  </si>
  <si>
    <t>Simply Managing</t>
  </si>
  <si>
    <t>9781609949273</t>
  </si>
  <si>
    <t>9781609949297</t>
  </si>
  <si>
    <t>Affluenza, 3rd Edition</t>
  </si>
  <si>
    <t>John de Graaf. David Wann. Tho</t>
  </si>
  <si>
    <t>9781609949327</t>
  </si>
  <si>
    <t>9781609949549</t>
  </si>
  <si>
    <t>Life Reimagined</t>
  </si>
  <si>
    <t>Richard J. Leider.</t>
  </si>
  <si>
    <t>9781609949587</t>
  </si>
  <si>
    <t>Bridging the Values Gap</t>
  </si>
  <si>
    <t>R. Edward Freeman. Ellen R. Au</t>
  </si>
  <si>
    <t>9781609949600</t>
  </si>
  <si>
    <t>9781609949624</t>
  </si>
  <si>
    <t>The Heart of Leadership</t>
  </si>
  <si>
    <t>9781609949648</t>
  </si>
  <si>
    <t>9781609949662</t>
  </si>
  <si>
    <t>Overfished Ocean Strategy</t>
  </si>
  <si>
    <t>Nadya Zhexembayeva.</t>
  </si>
  <si>
    <t>9781609949686</t>
  </si>
  <si>
    <t>9781609949709</t>
  </si>
  <si>
    <t>Execution IS the Strategy</t>
  </si>
  <si>
    <t>9781609949723</t>
  </si>
  <si>
    <t>9781609949747</t>
  </si>
  <si>
    <t>Practicing Positive Leadership</t>
  </si>
  <si>
    <t>9781609949778</t>
  </si>
  <si>
    <t>9781609949792</t>
  </si>
  <si>
    <t>Measuring and Improving Social</t>
  </si>
  <si>
    <t>Marc J. Epstein. Kristi Yuthas</t>
  </si>
  <si>
    <t>9781609949815</t>
  </si>
  <si>
    <t>9781609949839</t>
  </si>
  <si>
    <t>Humble Inquiry</t>
  </si>
  <si>
    <t>Edgar H. Schein.</t>
  </si>
  <si>
    <t>9781609949853</t>
  </si>
  <si>
    <t>9781609949877</t>
  </si>
  <si>
    <t>The American Revolution of 180</t>
  </si>
  <si>
    <t>Dan Sisson. Thom Hartmann.</t>
  </si>
  <si>
    <t>9781609949891</t>
  </si>
  <si>
    <t>9781609949914</t>
  </si>
  <si>
    <t>Learning from Leonardo</t>
  </si>
  <si>
    <t>Fritjof Capra.</t>
  </si>
  <si>
    <t>9781609949938</t>
  </si>
  <si>
    <t>9781609949952</t>
  </si>
  <si>
    <t>Making Sustainability Work, 2n</t>
  </si>
  <si>
    <t>Marc J. Epstein. Adriana Rejc</t>
  </si>
  <si>
    <t>9781626560246</t>
  </si>
  <si>
    <t>9781626560260</t>
  </si>
  <si>
    <t>Outsmart Waste</t>
  </si>
  <si>
    <t>Tom Szaky.</t>
  </si>
  <si>
    <t>9781626560284</t>
  </si>
  <si>
    <t>9781626560307</t>
  </si>
  <si>
    <t>How to Be a Positive Leader</t>
  </si>
  <si>
    <t>Jane E. Dutton. Gretchen M. Sp</t>
  </si>
  <si>
    <t>9781626560321</t>
  </si>
  <si>
    <t>9781626560345</t>
  </si>
  <si>
    <t>How the Poor Can Save Capitali</t>
  </si>
  <si>
    <t>John Hope Bryant. Andrew Young</t>
  </si>
  <si>
    <t>9781626560437</t>
  </si>
  <si>
    <t>9781626560451</t>
  </si>
  <si>
    <t>The B Corp Handbook</t>
  </si>
  <si>
    <t>Ryan Honeyman. Jay Coen Gilber</t>
  </si>
  <si>
    <t>9781626560475</t>
  </si>
  <si>
    <t>9781626560499</t>
  </si>
  <si>
    <t>Be the Best Bad Presenter Ever</t>
  </si>
  <si>
    <t>9781626560574</t>
  </si>
  <si>
    <t>Strategic Analytics</t>
  </si>
  <si>
    <t>Alec Levenson.</t>
  </si>
  <si>
    <t>9781626560604</t>
  </si>
  <si>
    <t>9781626560628</t>
  </si>
  <si>
    <t>Fit at Last</t>
  </si>
  <si>
    <t>Ken Blanchard. Tim Kearin.</t>
  </si>
  <si>
    <t>9781626560659</t>
  </si>
  <si>
    <t>9781626560673</t>
  </si>
  <si>
    <t>The Discomfort Zone</t>
  </si>
  <si>
    <t>9781626560734</t>
  </si>
  <si>
    <t>9781626560758</t>
  </si>
  <si>
    <t>The Social Labs Revolution</t>
  </si>
  <si>
    <t>Zaid Hassan.</t>
  </si>
  <si>
    <t>9781626560772</t>
  </si>
  <si>
    <t>9781626560796</t>
  </si>
  <si>
    <t>What Your Boss Really Wants fr</t>
  </si>
  <si>
    <t>9781626560819</t>
  </si>
  <si>
    <t>9781626560857</t>
  </si>
  <si>
    <t>Let's Stop Meeting Like This</t>
  </si>
  <si>
    <t>Dick Axelrod. Emily Axelrod.</t>
  </si>
  <si>
    <t>9781626560871</t>
  </si>
  <si>
    <t>9781626560895</t>
  </si>
  <si>
    <t>Who Kidnapped Excellence?</t>
  </si>
  <si>
    <t>Harry Paul. John Britt. Ed Jen</t>
  </si>
  <si>
    <t>9781626560970</t>
  </si>
  <si>
    <t>9781626560994</t>
  </si>
  <si>
    <t>Deepening Community</t>
  </si>
  <si>
    <t>Paul Born.</t>
  </si>
  <si>
    <t>9781626561038</t>
  </si>
  <si>
    <t>The Multicultural Mind</t>
  </si>
  <si>
    <t>David Thomas.</t>
  </si>
  <si>
    <t>9781626561069</t>
  </si>
  <si>
    <t>9781626561083</t>
  </si>
  <si>
    <t>The Reciprocity Advantage</t>
  </si>
  <si>
    <t>Bob Johansen. Karl Ronn.</t>
  </si>
  <si>
    <t>9781626561106</t>
  </si>
  <si>
    <t>Pro-Voice</t>
  </si>
  <si>
    <t>Aspen Baker.</t>
  </si>
  <si>
    <t>9781626561199</t>
  </si>
  <si>
    <t>9781626561212</t>
  </si>
  <si>
    <t>Employee Surveys That Work</t>
  </si>
  <si>
    <t>9781626561236</t>
  </si>
  <si>
    <t>9781626561250</t>
  </si>
  <si>
    <t>The Idea-Driven Organization</t>
  </si>
  <si>
    <t>Alan G Robinson. Dean M. Schro</t>
  </si>
  <si>
    <t>9781626561458</t>
  </si>
  <si>
    <t>9781626561472</t>
  </si>
  <si>
    <t>The Nonviolence Handbook</t>
  </si>
  <si>
    <t>Michael N Nagler.</t>
  </si>
  <si>
    <t>9781626561519</t>
  </si>
  <si>
    <t>Lean Startups for Social Chang</t>
  </si>
  <si>
    <t>Michel Gelobter.</t>
  </si>
  <si>
    <t>9781626561588</t>
  </si>
  <si>
    <t>9781626561601</t>
  </si>
  <si>
    <t>Power Through Partnership</t>
  </si>
  <si>
    <t>Betsy Polk. Maggie Ellis Chota</t>
  </si>
  <si>
    <t>9781626561625</t>
  </si>
  <si>
    <t>9781626561649</t>
  </si>
  <si>
    <t>The 3 Simple Rules of Investin</t>
  </si>
  <si>
    <t>Michael Edesess. Kwok L. Tsui.</t>
  </si>
  <si>
    <t>9781626561687</t>
  </si>
  <si>
    <t>Entrepreneurs in Every Generat</t>
  </si>
  <si>
    <t>Allan Cohen,Pramodita Sharma</t>
  </si>
  <si>
    <t>9781626561786</t>
  </si>
  <si>
    <t>9781626561809</t>
  </si>
  <si>
    <t>The Best Teacher in You</t>
  </si>
  <si>
    <t>Robert E. Quinn. Katherine Hey</t>
  </si>
  <si>
    <t>9781626561823</t>
  </si>
  <si>
    <t>9781626561847</t>
  </si>
  <si>
    <t>Why Motivating People Doesn't</t>
  </si>
  <si>
    <t>Susan Fowler.</t>
  </si>
  <si>
    <t>9781626561861</t>
  </si>
  <si>
    <t>9781626561885</t>
  </si>
  <si>
    <t>Hello, My Name Is Awesome</t>
  </si>
  <si>
    <t>Alexandra Watkins.</t>
  </si>
  <si>
    <t>9781626561946</t>
  </si>
  <si>
    <t>9781626561960</t>
  </si>
  <si>
    <t>The Rise of the American Corpo</t>
  </si>
  <si>
    <t>Beatrice Edwards.</t>
  </si>
  <si>
    <t>9781626562028</t>
  </si>
  <si>
    <t>9781626562042</t>
  </si>
  <si>
    <t>The Confidence Myth</t>
  </si>
  <si>
    <t>Helene Lerner.</t>
  </si>
  <si>
    <t>9781626562080</t>
  </si>
  <si>
    <t>The Ecology of Law</t>
  </si>
  <si>
    <t>Fritjof Capra. Ugo Mattei.</t>
  </si>
  <si>
    <t>9781626562141</t>
  </si>
  <si>
    <t>9781626562165</t>
  </si>
  <si>
    <t>With Liberty and Dividends for</t>
  </si>
  <si>
    <t>9781626562226</t>
  </si>
  <si>
    <t>9781626562240</t>
  </si>
  <si>
    <t>Boards That Excel</t>
  </si>
  <si>
    <t>B. Joseph White.</t>
  </si>
  <si>
    <t>9781626562295</t>
  </si>
  <si>
    <t>Performance Consulting, 3rd Ed</t>
  </si>
  <si>
    <t>Patricia Pulliam Phillips. Jac</t>
  </si>
  <si>
    <t>9781626562356</t>
  </si>
  <si>
    <t>9781626562370</t>
  </si>
  <si>
    <t>Dare to Serve</t>
  </si>
  <si>
    <t>Cheryl Bachelder.</t>
  </si>
  <si>
    <t>9781626562431</t>
  </si>
  <si>
    <t>9781626562455</t>
  </si>
  <si>
    <t>BJ Gallagher. Warren Schmidt.</t>
  </si>
  <si>
    <t>9781626562462</t>
  </si>
  <si>
    <t>9781626562486</t>
  </si>
  <si>
    <t>The Orbital Perspective</t>
  </si>
  <si>
    <t>Astronaut Ron Garan. Muhammad</t>
  </si>
  <si>
    <t>9781626562509</t>
  </si>
  <si>
    <t>9781626562523</t>
  </si>
  <si>
    <t>Got Your Attention?</t>
  </si>
  <si>
    <t>Sam Horn.</t>
  </si>
  <si>
    <t>9781626562578</t>
  </si>
  <si>
    <t>9781626562592</t>
  </si>
  <si>
    <t>Dennis Reina. Michelle Reina.</t>
  </si>
  <si>
    <t>9781626562615</t>
  </si>
  <si>
    <t>Singletasking</t>
  </si>
  <si>
    <t>9781626562653</t>
  </si>
  <si>
    <t>9781626562677</t>
  </si>
  <si>
    <t>Leadership for a Fractured Wor</t>
  </si>
  <si>
    <t>9781626562691</t>
  </si>
  <si>
    <t>9781626562714</t>
  </si>
  <si>
    <t>Locked Down, Locked Out</t>
  </si>
  <si>
    <t>Maya Schenwar.</t>
  </si>
  <si>
    <t>9781626562752</t>
  </si>
  <si>
    <t>9781626562776</t>
  </si>
  <si>
    <t>The Intelligent Optimist's Gui</t>
  </si>
  <si>
    <t>Jurriaan Kamp.</t>
  </si>
  <si>
    <t>9781626562813</t>
  </si>
  <si>
    <t>The Vanishing American Corpora</t>
  </si>
  <si>
    <t>Gerald Davis F..</t>
  </si>
  <si>
    <t>9781626562837</t>
  </si>
  <si>
    <t>Hidden Strengths</t>
  </si>
  <si>
    <t>Thuy Sindell. Milo Sindell.</t>
  </si>
  <si>
    <t>9781626562875</t>
  </si>
  <si>
    <t>When Corporations Rule the Wor</t>
  </si>
  <si>
    <t>9781626562905</t>
  </si>
  <si>
    <t>9781626562929</t>
  </si>
  <si>
    <t>Change the Story, Change the F</t>
  </si>
  <si>
    <t>9781626562943</t>
  </si>
  <si>
    <t>9781626562967</t>
  </si>
  <si>
    <t>Your Leadership Story</t>
  </si>
  <si>
    <t>Tim Tobin.</t>
  </si>
  <si>
    <t>9781626563018</t>
  </si>
  <si>
    <t>9781626563452</t>
  </si>
  <si>
    <t>What's Your Future Worth?</t>
  </si>
  <si>
    <t>Peter Neuwirth.</t>
  </si>
  <si>
    <t>9781626563070</t>
  </si>
  <si>
    <t>The Genius of Opposites</t>
  </si>
  <si>
    <t>Jennifer B. Kahnweiler.</t>
  </si>
  <si>
    <t>9781626563179</t>
  </si>
  <si>
    <t>9781626563193</t>
  </si>
  <si>
    <t>Rebalancing Society</t>
  </si>
  <si>
    <t>9781626563292</t>
  </si>
  <si>
    <t>9781626563315</t>
  </si>
  <si>
    <t>Sustainable Happiness</t>
  </si>
  <si>
    <t>Sarah van Gelder.</t>
  </si>
  <si>
    <t>9781626563339</t>
  </si>
  <si>
    <t>9781626563353</t>
  </si>
  <si>
    <t>Refire! Don't Retire</t>
  </si>
  <si>
    <t>Ken Blanchard. Morton Shaevitz</t>
  </si>
  <si>
    <t>9781626563377</t>
  </si>
  <si>
    <t>9781626563391</t>
  </si>
  <si>
    <t>The Resilient Investor</t>
  </si>
  <si>
    <t>Hal Brill. Michael Kramer. Chr</t>
  </si>
  <si>
    <t>9781626563469</t>
  </si>
  <si>
    <t>9781626562981</t>
  </si>
  <si>
    <t>You, Unstuck</t>
  </si>
  <si>
    <t>Seth Adam Smith.</t>
  </si>
  <si>
    <t>9781626563476</t>
  </si>
  <si>
    <t>Hello Stay Interviews, Goodbye</t>
  </si>
  <si>
    <t>Sharon Jordan-Evans. Beverly K</t>
  </si>
  <si>
    <t>9781626563513</t>
  </si>
  <si>
    <t>The Sisters Are Alright</t>
  </si>
  <si>
    <t>Tamara Winfrey Harris.</t>
  </si>
  <si>
    <t>9781626563940</t>
  </si>
  <si>
    <t>9781626563964</t>
  </si>
  <si>
    <t>Chess Not Checkers</t>
  </si>
  <si>
    <t>9781626564046</t>
  </si>
  <si>
    <t>Dialogic Organization Developm</t>
  </si>
  <si>
    <t>Edgar H. Schein. Robert J. Mar</t>
  </si>
  <si>
    <t>9781626564145</t>
  </si>
  <si>
    <t>Lead More, Control Less</t>
  </si>
  <si>
    <t>Marvin R. Weisbord. Sandra Jan</t>
  </si>
  <si>
    <t>9781626564183</t>
  </si>
  <si>
    <t>The Idea-Driven Organization:</t>
  </si>
  <si>
    <t>Alan G. Robinson. Dean M. Schr</t>
  </si>
  <si>
    <t>9781626564213</t>
  </si>
  <si>
    <t>Building the Future</t>
  </si>
  <si>
    <t>Amy Edmondson. Susan Reynolds</t>
  </si>
  <si>
    <t>9781626564275</t>
  </si>
  <si>
    <t>Intelligent Disobedience</t>
  </si>
  <si>
    <t>Philip Zimbardo. Ira Chaleff.</t>
  </si>
  <si>
    <t>9781626564312</t>
  </si>
  <si>
    <t>The Anatomy of Peace, 2nd Edit</t>
  </si>
  <si>
    <t>Duane Boyce. Jim Ferrell.</t>
  </si>
  <si>
    <t>9781626564435</t>
  </si>
  <si>
    <t>Leading Continuous Change</t>
  </si>
  <si>
    <t>Bill Pasmore.</t>
  </si>
  <si>
    <t>9781626564473</t>
  </si>
  <si>
    <t>Awakening Compassion at Work</t>
  </si>
  <si>
    <t>Monica Worline. Jane Dutton E.</t>
  </si>
  <si>
    <t>9781626564510</t>
  </si>
  <si>
    <t>From Crisis to Calling</t>
  </si>
  <si>
    <t>Sasha Chanoff,David Chanoff,Da</t>
  </si>
  <si>
    <t>9781626564671</t>
  </si>
  <si>
    <t>Shakti Leadership</t>
  </si>
  <si>
    <t>Nilima Bhat. Raj Sisodia.</t>
  </si>
  <si>
    <t>9781626565609</t>
  </si>
  <si>
    <t>Work Reimagined</t>
  </si>
  <si>
    <t>Richard J. Leider. David Shapi</t>
  </si>
  <si>
    <t>9781626565647</t>
  </si>
  <si>
    <t>The Positive Organization</t>
  </si>
  <si>
    <t>Robert E. Quinn.</t>
  </si>
  <si>
    <t>9781626565685</t>
  </si>
  <si>
    <t>Doing the Right Things Right</t>
  </si>
  <si>
    <t>Laura Stack. William A. Cohen.</t>
  </si>
  <si>
    <t>9781626565746</t>
  </si>
  <si>
    <t>Find Your Balance Point</t>
  </si>
  <si>
    <t>9781626565784</t>
  </si>
  <si>
    <t>When Money Talks</t>
  </si>
  <si>
    <t>Derek Cressman. Thom Hartmann.</t>
  </si>
  <si>
    <t>9781626565869</t>
  </si>
  <si>
    <t>What Great Service Leaders Kno</t>
  </si>
  <si>
    <t>James L. Heskett. W. Earl Sass</t>
  </si>
  <si>
    <t>9781626565906</t>
  </si>
  <si>
    <t>The Gift of Anger</t>
  </si>
  <si>
    <t>Joe Solmonese. Judy Shepard.</t>
  </si>
  <si>
    <t>9781626566125</t>
  </si>
  <si>
    <t>Breaking the Trust Barrier</t>
  </si>
  <si>
    <t>JV Venable</t>
  </si>
  <si>
    <t>9781626566163</t>
  </si>
  <si>
    <t>The Serving Leader, 2nd Editio</t>
  </si>
  <si>
    <t>9781626566279</t>
  </si>
  <si>
    <t>Be the Boss Everyone Wants to</t>
  </si>
  <si>
    <t>William Gentry A..</t>
  </si>
  <si>
    <t>9781626566354</t>
  </si>
  <si>
    <t>Change Your Questions, Change</t>
  </si>
  <si>
    <t>Marilee G. Adams. Marshall Gol</t>
  </si>
  <si>
    <t>9781626566385</t>
  </si>
  <si>
    <t>The Power of Purpose, 3rd Edit</t>
  </si>
  <si>
    <t>9781626566477</t>
  </si>
  <si>
    <t>The Laws of Lifetime Growth, 2</t>
  </si>
  <si>
    <t>9781626566606</t>
  </si>
  <si>
    <t>The Reunited States of America</t>
  </si>
  <si>
    <t>Mark Gerzon.</t>
  </si>
  <si>
    <t>9781626566644</t>
  </si>
  <si>
    <t>The 3 Gaps</t>
  </si>
  <si>
    <t>Hyrum Smith.</t>
  </si>
  <si>
    <t>9781626566682</t>
  </si>
  <si>
    <t>You Are What You Believe</t>
  </si>
  <si>
    <t>Hyrum W. Smith,Ken Blanchard</t>
  </si>
  <si>
    <t>9781626566767</t>
  </si>
  <si>
    <t>The New Confessions of an Econ</t>
  </si>
  <si>
    <t>9781626566798</t>
  </si>
  <si>
    <t>How Performance Management Is</t>
  </si>
  <si>
    <t>M. Chandler Tamra. Dave Ulrich</t>
  </si>
  <si>
    <t>9781626566903</t>
  </si>
  <si>
    <t>Leadership Lessons from a UPS</t>
  </si>
  <si>
    <t>Ron Wallace.</t>
  </si>
  <si>
    <t>9781626566958</t>
  </si>
  <si>
    <t>The Leadership Genius of Juliu</t>
  </si>
  <si>
    <t>Phillip Barlag.</t>
  </si>
  <si>
    <t>9781626566996</t>
  </si>
  <si>
    <t>Negotiating the Impossible</t>
  </si>
  <si>
    <t>9781626567122</t>
  </si>
  <si>
    <t>Culture Crossing</t>
  </si>
  <si>
    <t>Michael Landers.</t>
  </si>
  <si>
    <t>9781626567177</t>
  </si>
  <si>
    <t>The Outward Mindset</t>
  </si>
  <si>
    <t>The Institute Institute</t>
  </si>
  <si>
    <t>9781626567221</t>
  </si>
  <si>
    <t>Humble Consulting</t>
  </si>
  <si>
    <t>Edgar Schein H..</t>
  </si>
  <si>
    <t>9781626567276</t>
  </si>
  <si>
    <t>Overcoming Bias</t>
  </si>
  <si>
    <t>Tiffany Jana. Matthew Freeman.</t>
  </si>
  <si>
    <t>9781626567429</t>
  </si>
  <si>
    <t>Mobilized</t>
  </si>
  <si>
    <t>SC Moatti. Nir Eyal.</t>
  </si>
  <si>
    <t>9781626567672</t>
  </si>
  <si>
    <t>The Revolution Where You Live</t>
  </si>
  <si>
    <t>Sarah van Gelder. Danny Glover</t>
  </si>
  <si>
    <t>9781626567719</t>
  </si>
  <si>
    <t>Crunch Time</t>
  </si>
  <si>
    <t>Rick Peterson. Judd Hoekstra.</t>
  </si>
  <si>
    <t>9781626567825</t>
  </si>
  <si>
    <t>Leading with Character and Com</t>
  </si>
  <si>
    <t>Timothy Clark R..</t>
  </si>
  <si>
    <t>9781626567870</t>
  </si>
  <si>
    <t>Online Marketing for Busy Auth</t>
  </si>
  <si>
    <t>Fauzia Burke. S.C. Gwynne.</t>
  </si>
  <si>
    <t>9781626568006</t>
  </si>
  <si>
    <t>Theory U, 2nd Edition</t>
  </si>
  <si>
    <t>C. Scharmer Otto. Peter Senge.</t>
  </si>
  <si>
    <t>9781626568044</t>
  </si>
  <si>
    <t>A Leadership Kick in the Ass</t>
  </si>
  <si>
    <t>9781626568099</t>
  </si>
  <si>
    <t>Fiercely You</t>
  </si>
  <si>
    <t>Jackie Huba. Shelly Kronbergs</t>
  </si>
  <si>
    <t>9781626568433</t>
  </si>
  <si>
    <t>The Art of Community</t>
  </si>
  <si>
    <t>Charles Vogl.</t>
  </si>
  <si>
    <t>9781626568471</t>
  </si>
  <si>
    <t>The Shareholder Action Guide</t>
  </si>
  <si>
    <t>Andrew Behar.</t>
  </si>
  <si>
    <t>9781626568532</t>
  </si>
  <si>
    <t>The Referral of a Lifetime, 2n</t>
  </si>
  <si>
    <t>Tim Templeton,Ken Blanchard</t>
  </si>
  <si>
    <t>9781626568679</t>
  </si>
  <si>
    <t>Cultural Intelligence, 3rd Edi</t>
  </si>
  <si>
    <t>David Thomas C.. Kerr Inkson C</t>
  </si>
  <si>
    <t>9781626568778</t>
  </si>
  <si>
    <t>Humility Is the New Smart</t>
  </si>
  <si>
    <t>Edward Hess D.. Katherine Ludw</t>
  </si>
  <si>
    <t>9781626568822</t>
  </si>
  <si>
    <t>Prisoners of Our Thoughts, 3rd</t>
  </si>
  <si>
    <t>Alex Pattakos. Elaine Dundon.</t>
  </si>
  <si>
    <t>9781626568853</t>
  </si>
  <si>
    <t>The Transformational Consumer</t>
  </si>
  <si>
    <t>Tara-Nicholle Nelson.</t>
  </si>
  <si>
    <t>9781626569249</t>
  </si>
  <si>
    <t>Permission to Speak Freely</t>
  </si>
  <si>
    <t>Matt Kincaid. Doug Crandall.</t>
  </si>
  <si>
    <t>9781626569348</t>
  </si>
  <si>
    <t>The Five Thieves of Happiness</t>
  </si>
  <si>
    <t>John Izzo B..</t>
  </si>
  <si>
    <t>9781626569836</t>
  </si>
  <si>
    <t>Leaders Made Here</t>
  </si>
  <si>
    <t>VN000406</t>
  </si>
  <si>
    <t>Berrett-Koehler</t>
  </si>
  <si>
    <t>1333 Broadway</t>
  </si>
  <si>
    <t>Suite 1000</t>
  </si>
  <si>
    <t>Oakland</t>
  </si>
  <si>
    <t>California</t>
  </si>
  <si>
    <t>94612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</si>
</sst>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0"/>
      <name val="Arial"/>
    </font>
    <font>
      <u/>
      <sz val="10"/>
      <color theme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>
      <alignment horizontal="right"/>
    </xf>
    <xf numFmtId="7" fontId="2" fillId="0" borderId="0"/>
    <xf numFmtId="0" fontId="3" fillId="0" borderId="0">
      <alignment horizontal="right"/>
    </xf>
    <xf numFmtId="0" fontId="4" fillId="0" borderId="0"/>
    <xf numFmtId="7" fontId="5" fillId="0" borderId="0"/>
    <xf numFmtId="9" fontId="5" fillId="0" borderId="0" applyFill="0" applyBorder="0" applyAlignment="0" applyProtection="0"/>
    <xf numFmtId="10" fontId="2" fillId="0" borderId="0" applyFont="0" applyFill="0" applyBorder="0" applyAlignment="0" applyProtection="0"/>
    <xf numFmtId="0" fontId="4" fillId="0" borderId="0">
      <alignment horizontal="center" vertical="center" wrapText="1"/>
    </xf>
  </cellStyleXfs>
  <cellXfs count="25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1" applyFont="1" applyAlignment="1" applyProtection="1">
      <protection locked="0"/>
    </xf>
    <xf numFmtId="0" fontId="7" fillId="0" borderId="0" xfId="0" applyFont="1" applyProtection="1">
      <protection locked="0"/>
    </xf>
    <xf numFmtId="0" fontId="2" fillId="0" borderId="0" xfId="2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4" xfId="0" applyBorder="1"/>
    <xf numFmtId="0" fontId="0" fillId="0" borderId="5" xfId="0" applyBorder="1"/>
    <xf numFmtId="0" fontId="0" fillId="0" borderId="5" xfId="0" pivotButton="1" applyBorder="1"/>
    <xf numFmtId="0" fontId="0" fillId="0" borderId="5" xfId="0" applyNumberFormat="1" applyBorder="1"/>
    <xf numFmtId="0" fontId="0" fillId="0" borderId="7" xfId="0" applyBorder="1"/>
    <xf numFmtId="0" fontId="0" fillId="0" borderId="6" xfId="0" applyNumberFormat="1" applyBorder="1"/>
    <xf numFmtId="0" fontId="0" fillId="0" borderId="0" xfId="0" applyProtection="1"/>
    <xf numFmtId="0" fontId="4" fillId="0" borderId="0" xfId="9" applyProtection="1">
      <alignment horizontal="center" vertical="center" wrapText="1"/>
    </xf>
    <xf numFmtId="7" fontId="2" fillId="0" borderId="0" xfId="3" applyProtection="1"/>
    <xf numFmtId="10" fontId="0" fillId="0" borderId="0" xfId="8" applyFont="1" applyProtection="1"/>
    <xf numFmtId="7" fontId="2" fillId="0" borderId="0" xfId="3" applyProtection="1">
      <protection locked="0"/>
    </xf>
    <xf numFmtId="10" fontId="0" fillId="0" borderId="0" xfId="8" applyFont="1" applyProtection="1">
      <protection locked="0"/>
    </xf>
    <xf numFmtId="0" fontId="2" fillId="0" borderId="0" xfId="2" applyProtection="1">
      <alignment horizontal="right"/>
    </xf>
  </cellXfs>
  <cellStyles count="10">
    <cellStyle name="Amount" xfId="3"/>
    <cellStyle name="AmountUnderline" xfId="6"/>
    <cellStyle name="Heading Title" xfId="9"/>
    <cellStyle name="Hyperlink" xfId="1" builtinId="8"/>
    <cellStyle name="Normal" xfId="0" builtinId="0"/>
    <cellStyle name="NormalBoldRight" xfId="4"/>
    <cellStyle name="NormalRight" xfId="2"/>
    <cellStyle name="Percent2" xfId="8"/>
    <cellStyle name="PercentUnderline" xfId="7"/>
    <cellStyle name="RowHeading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2347</xdr:colOff>
      <xdr:row>0</xdr:row>
      <xdr:rowOff>0</xdr:rowOff>
    </xdr:from>
    <xdr:to>
      <xdr:col>3</xdr:col>
      <xdr:colOff>89977</xdr:colOff>
      <xdr:row>2</xdr:row>
      <xdr:rowOff>26670</xdr:rowOff>
    </xdr:to>
    <xdr:pic>
      <xdr:nvPicPr>
        <xdr:cNvPr id="3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2347" y="0"/>
          <a:ext cx="2926080" cy="1188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ogram%20Files%20(x86)/Alliant%205.5%20SP6/AlliantStatements2.xla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Program%20Files%20(x86)/Alliant%205.5%20SP6/AlliantStatements2.xlam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liant_srvc" refreshedDate="42846.590354050924" createdVersion="3" refreshedVersion="3" minRefreshableVersion="3" recordCount="716">
  <cacheSource type="worksheet">
    <worksheetSource ref="A1:J717" sheet="AlliantPivBU" r:id="rId2"/>
  </cacheSource>
  <cacheFields count="10">
    <cacheField name="AccountType" numFmtId="0">
      <sharedItems containsBlank="1" count="2">
        <s v="Sales"/>
        <m/>
      </sharedItems>
    </cacheField>
    <cacheField name="Amount" numFmtId="0">
      <sharedItems containsString="0" containsBlank="1" containsNumber="1" minValue="-0.03" maxValue="974.54"/>
    </cacheField>
    <cacheField name="ISBN" numFmtId="0">
      <sharedItems containsBlank="1" count="491">
        <s v="9781609944902"/>
        <s v="9781605093055"/>
        <s v="9781605091501"/>
        <s v="9781605096162"/>
        <s v="9781605096179"/>
        <s v="9781576759004"/>
        <s v="9781576753743"/>
        <s v="9781626561236"/>
        <s v="9781626564183"/>
        <s v="9781626560574"/>
        <s v="9781626561199"/>
        <s v="9781626568822"/>
        <s v="9781605095264"/>
        <s v="9781626561861"/>
        <s v="9781626561687"/>
        <s v="9781626564213"/>
        <s v="9781609949198"/>
        <s v="9781605091389"/>
        <s v="9781626568471"/>
        <s v="9781609941253"/>
        <s v="9781576757826"/>
        <s v="9781605098074"/>
        <s v="9781576759783"/>
        <s v="9781576759554"/>
        <s v="9781626561106"/>
        <s v="9781626562462"/>
        <s v="9781605095646"/>
        <s v="9781626562226"/>
        <s v="9781605099231"/>
        <s v="9781605092980"/>
        <s v="9781576755358"/>
        <s v="9781626561946"/>
        <s v="9781609944674"/>
        <s v="9781576759516"/>
        <s v="9781609942960"/>
        <s v="9781576759363"/>
        <s v="9781576755471"/>
        <s v="9781626561588"/>
        <s v="9781609946326"/>
        <s v="9781576757765"/>
        <s v="9781576752500"/>
        <s v="9781609948849"/>
        <s v="9781609940089"/>
        <s v="9781626564435"/>
        <s v="9781576758854"/>
        <s v="9781576759820"/>
        <s v="9781605098197"/>
        <s v="9781626568044"/>
        <s v="9781626562431"/>
        <s v="9781576755310"/>
        <s v="9781626561069"/>
        <s v="9781609948252"/>
        <s v="9781576758007"/>
        <s v="9781609945060"/>
        <s v="9781576751077"/>
        <s v="9781576753071"/>
        <s v="1576752739"/>
        <s v="9781576754221"/>
        <s v="9781576755563"/>
        <s v="9781576758021"/>
        <s v="9781576759189"/>
        <s v="9781605094120"/>
        <s v="9781576751695"/>
        <s v="9781626565746"/>
        <s v="9781609942809"/>
        <s v="9781576755174"/>
        <s v="9781576759684"/>
        <s v="9781605099262"/>
        <s v="9781626568006"/>
        <s v="9781609947439"/>
        <s v="9781576757741"/>
        <s v="9781609948375"/>
        <s v="9781609941208"/>
        <s v="9781609940058"/>
        <s v="9781605092942"/>
        <s v="9781605092959"/>
        <s v="9781609948092"/>
        <s v="9781576755464"/>
        <s v="9781576759622"/>
        <s v="9781605093895"/>
        <s v="9781605097152"/>
        <s v="9781626568433"/>
        <s v="9781626562356"/>
        <s v="9781605099767"/>
        <s v="9781576750438"/>
        <s v="9781609947101"/>
        <s v="9781605093086"/>
        <s v="9781605092584"/>
        <s v="9781609945169"/>
        <s v="9781605094106"/>
        <s v="9781609945923"/>
        <s v="9781576756201"/>
        <s v="9781609948955"/>
        <s v="9781605093840"/>
        <s v="9781605096698"/>
        <s v="9781576750452"/>
        <s v="9781605093802"/>
        <s v="9781609949853"/>
        <s v="9781576754672"/>
        <s v="9781626566477"/>
        <s v="9781605097183"/>
        <s v="9781605098609"/>
        <s v="9781609940331"/>
        <s v="9781605098043"/>
        <s v="9781609946647"/>
        <s v="9781605098470"/>
        <s v="9781605092690"/>
        <s v="9781605092850"/>
        <s v="9781626562875"/>
        <s v="9781576755396"/>
        <s v="9781605093765"/>
        <s v="9781626562905"/>
        <s v="9781605092812"/>
        <s v="9781605094687"/>
        <s v="1576752720"/>
        <s v="9781605098111"/>
        <s v="9781605096124"/>
        <s v="9781605098180"/>
        <s v="9781626568679"/>
        <s v="9781626561038"/>
        <s v="9781605096407"/>
        <s v="9781605096476"/>
        <s v="9781609944759"/>
        <s v="9781605096186"/>
        <s v="9781626562653"/>
        <s v="9781605094175"/>
        <s v="9781576757819"/>
        <s v="1576750698"/>
        <s v="9781605098210"/>
        <s v="9781609940669"/>
        <s v="9781626566996"/>
        <s v="9781605093741"/>
        <s v="9781626562578"/>
        <s v="9781576759493"/>
        <s v="9781626565784"/>
        <s v="9781626562615"/>
        <s v="9781605096070"/>
        <s v="9781609945732"/>
        <s v="9781605093291"/>
        <s v="9781609940126"/>
        <s v="9781626560819"/>
        <s v="9781605097169"/>
        <s v="9781605096209"/>
        <s v="9781609947231"/>
        <s v="1576753107"/>
        <s v="9781626564312"/>
        <s v="9781576759882"/>
        <s v="9781609949815"/>
        <s v="9781626564046"/>
        <s v="9781626567221"/>
        <s v="9781605094083"/>
        <s v="9781576754832"/>
        <s v="9781626568778"/>
        <s v="9781576759080"/>
        <s v="9781576755433"/>
        <s v="9781605093833"/>
        <s v="9781576750780"/>
        <s v="9781609947897"/>
        <s v="9781576751787"/>
        <s v="9781609940713"/>
        <s v="9781626567870"/>
        <s v="9781605098425"/>
        <s v="9781609942922"/>
        <s v="9781609948962"/>
        <s v="9781605094274"/>
        <s v="9781609949891"/>
        <s v="9781626562080"/>
        <s v="9781605098487"/>
        <s v="9781576759677"/>
        <s v="9781605092874"/>
        <s v="9781605098722"/>
        <s v="1576751724"/>
        <s v="9781626562813"/>
        <s v="9781605092669"/>
        <s v="9781605096148"/>
        <s v="9781605092836"/>
        <s v="9781626563377"/>
        <s v="9781576757758"/>
        <s v="9781605096230"/>
        <s v="9781576759875"/>
        <s v="9781605096247"/>
        <s v="9781605096254"/>
        <s v="9781576758816"/>
        <s v="9781626560871"/>
        <s v="9781605093857"/>
        <s v="9781605098456"/>
        <s v="9781626562028"/>
        <s v="9781576755112"/>
        <s v="9781576758953"/>
        <s v="9781609949235"/>
        <s v="9781626563179"/>
        <s v="9781576750025"/>
        <s v="9781605098050"/>
        <s v="9781609945183"/>
        <s v="9781626566644"/>
        <s v="9781626566682"/>
        <s v="9781605094663"/>
        <s v="9781605092744"/>
        <s v="9781605093314"/>
        <s v="9781605099910"/>
        <s v="9781605093017"/>
        <s v="9781605093369"/>
        <s v="9781626568099"/>
        <s v="9781605094267"/>
        <s v="9781605098678"/>
        <s v="9781605097114"/>
        <s v="9781626565869"/>
        <s v="9781576750674"/>
        <s v="9781576751886"/>
        <s v="9781626560284"/>
        <s v="9781576755822"/>
        <s v="1576750795"/>
        <s v="1576752984"/>
        <s v="9781605096117"/>
        <s v="9781576755501"/>
        <s v="9781576759486"/>
        <s v="9781609941055"/>
        <s v="9781576759219"/>
        <s v="9781605099569"/>
        <s v="9781626563070"/>
        <s v="9781609945626"/>
        <s v="9781605090153"/>
        <s v="9781605091457"/>
        <s v="9781626565906"/>
        <s v="9781609940584"/>
        <s v="9781605094090"/>
        <s v="9781605096384"/>
        <s v="9781609949273"/>
        <s v="9781576759905"/>
        <s v="9781626560321"/>
        <s v="9781626569348"/>
        <s v="9781576755518"/>
        <s v="9781605092829"/>
        <s v="9781605091396"/>
        <s v="9781605096261"/>
        <s v="9781605098630"/>
        <s v="9781576755129"/>
        <s v="9781626566767"/>
        <s v="9781576759592"/>
        <s v="9781576755280"/>
        <s v="9781609948337"/>
        <s v="9781609941932"/>
        <s v="9781576759042"/>
        <s v="9781609940188"/>
        <s v="9781609946364"/>
        <s v="9781576755228"/>
        <s v="9781609948870"/>
        <s v="9781605092515"/>
        <s v="9781609947989"/>
        <s v="9781626562752"/>
        <s v="9781626566125"/>
        <s v="9781605096599"/>
        <s v="9781626560475"/>
        <s v="9781609947392"/>
        <s v="9781605092539"/>
        <s v="9781576757932"/>
        <s v="9781605097206"/>
        <s v="9781576758991"/>
        <s v="9781605093413"/>
        <s v="9781605098760"/>
        <s v="9781605093390"/>
        <s v="9781605093406"/>
        <s v="9781605094700"/>
        <s v="9781609943035"/>
        <s v="9781626563339"/>
        <s v="9781605093376"/>
        <s v="9781605093505"/>
        <s v="9781626560604"/>
        <s v="9781609942885"/>
        <s v="9781609942052"/>
        <s v="9781626566163"/>
        <s v="9781576755921"/>
        <s v="9781576759806"/>
        <s v="9781609945329"/>
        <s v="9781605096629"/>
        <s v="9781576756188"/>
        <s v="9781576759585"/>
        <s v="9781609945664"/>
        <s v="9781609949723"/>
        <s v="9781605090054"/>
        <s v="9781576759356"/>
        <s v="9781605090108"/>
        <s v="9781605097282"/>
        <s v="9781605092638"/>
        <s v="9781609945398"/>
        <s v="9781609949686"/>
        <s v="9781626565685"/>
        <s v="9781609940621"/>
        <s v="9781576759608"/>
        <s v="9781605093864"/>
        <s v="9781576755181"/>
        <s v="9781605096568"/>
        <s v="9781605098838"/>
        <s v="9781605091365"/>
        <s v="9781576757833"/>
        <s v="9781576759721"/>
        <s v="9781605092973"/>
        <s v="9781605098135"/>
        <s v="9781626566798"/>
        <s v="9781576755273"/>
        <s v="9781576755938"/>
        <s v="9781605093826"/>
        <s v="9781609949938"/>
        <s v="9781609949778"/>
        <s v="9781605098876"/>
        <s v="9781605093536"/>
        <s v="9781626560659"/>
        <s v="9781609947972"/>
        <s v="9781605098548"/>
        <s v="9781609945367"/>
        <s v="9781605091464"/>
        <s v="9781605091471"/>
        <s v="9781605097329"/>
        <s v="9781576758687"/>
        <s v="9781609945695"/>
        <s v="9781626566354"/>
        <s v="9781576759745"/>
        <s v="9781609941949"/>
        <s v="9781605093109"/>
        <s v="9781576759509"/>
        <s v="9781576759837"/>
        <s v="9781626566606"/>
        <s v="9781605096513"/>
        <s v="9781609941093"/>
        <s v="9781609949600"/>
        <s v="9781626563940"/>
        <s v="9781626569836"/>
        <s v="9781609949112"/>
        <s v="9781576751930"/>
        <s v="9781605096308"/>
        <s v="9781609940300"/>
        <s v="9781626564145"/>
        <s v="9781576755150"/>
        <s v="9781605094298"/>
        <s v="9781626569249"/>
        <s v="9781576755495"/>
        <s v="9781626562691"/>
        <s v="9781605098500"/>
        <s v="9781605098517"/>
        <s v="9781576754627"/>
        <s v="9781605093918"/>
        <s v="9781626561625"/>
        <s v="9781605093796"/>
        <s v="9781576755426"/>
        <s v="9781626567122"/>
        <s v="9781626561458"/>
        <s v="9781576755884"/>
        <s v="9781626561519"/>
        <s v="9781609949150"/>
        <s v="9781605090085"/>
        <s v="9781576755754"/>
        <s v="9781609947477"/>
        <s v="9781626564473"/>
        <s v="9781576759615"/>
        <s v="9781576755204"/>
        <s v="9781609949648"/>
        <s v="9781626564671"/>
        <s v="9781576754276"/>
        <s v="9781605094076"/>
        <s v="1576751902"/>
        <s v="9781626562295"/>
        <s v="9781626560970"/>
        <s v="9781605092935"/>
        <s v="9781576755488"/>
        <s v="9781609940775"/>
        <s v="9781605099804"/>
        <s v="9781605096049"/>
        <s v="9781576753613"/>
        <s v="9781626562141"/>
        <s v="9781576757734"/>
        <s v="9781605093949"/>
        <s v="9781609948221"/>
        <s v="9781605096995"/>
        <s v="9781576758557"/>
        <s v="9781626563018"/>
        <s v="9781609945282"/>
        <s v="9781626564275"/>
        <s v="9781626566958"/>
        <s v="9781609944704"/>
        <s v="9781609945176"/>
        <s v="9781605092782"/>
        <s v="9781609949587"/>
        <s v="9781609945770"/>
        <s v="9781605094250"/>
        <s v="9781576755143"/>
        <s v="9781609947132"/>
        <s v="9781576758793"/>
        <s v="9781605094489"/>
        <s v="9781626566385"/>
        <s v="9781609949327"/>
        <s v="9781609945497"/>
        <s v="9781626565609"/>
        <s v="9781576758779"/>
        <s v="9781605095271"/>
        <s v="9781576758762"/>
        <s v="9781576759035"/>
        <s v="9781576759523"/>
        <s v="9781626567719"/>
        <s v="9781576758922"/>
        <s v="9781609948054"/>
        <s v="157675183X"/>
        <s v="9781576755549"/>
        <s v="9781576751855"/>
        <s v="9781609949044"/>
        <s v="9781626565647"/>
        <s v="9781626561786"/>
        <s v="9781605093000"/>
        <s v="9781576750308"/>
        <s v="9781605090030"/>
        <s v="9781609944872"/>
        <s v="9781576750353"/>
        <s v="9781609948290"/>
        <s v="9781576757956"/>
        <s v="9781605098173"/>
        <s v="9781576757703"/>
        <s v="9781576757796"/>
        <s v="9781576758809"/>
        <s v="9781626566903"/>
        <s v="9781605094519"/>
        <s v="9781605099521"/>
        <s v="9781626560437"/>
        <s v="9781576758946"/>
        <s v="9781626562509"/>
        <s v="9781605098067"/>
        <s v="9781609945886"/>
        <s v="9781626563292"/>
        <s v="9781626567672"/>
        <s v="9781626564510"/>
        <s v="9781626567429"/>
        <s v="9781626563469"/>
        <s v="9781576755266"/>
        <s v="9781605094069"/>
        <s v="9781626563476"/>
        <s v="9781605094458"/>
        <s v="9781605092713"/>
        <s v="9781609944940"/>
        <s v="1576751244"/>
        <s v="9781576753026"/>
        <s v="9781576751572"/>
        <s v="9781576752579"/>
        <s v="9781605093475"/>
        <s v="9781626560772"/>
        <s v="9781576759769"/>
        <s v="9781576757987"/>
        <s v="9781609946449"/>
        <s v="9781576757888"/>
        <s v="9781605093352"/>
        <s v="9781605096353"/>
        <s v="9781605096018"/>
        <s v="9781626561823"/>
        <s v="9781626563513"/>
        <s v="9781626568853"/>
        <s v="9781605097121"/>
        <s v="9781609948917"/>
        <s v="9781576751749"/>
        <s v="9781626567177"/>
        <s v="9781576755334"/>
        <s v="9781605095608"/>
        <s v="9781605099095"/>
        <s v="9781576755297"/>
        <s v="9781605094144"/>
        <s v="9781605092911"/>
        <s v="9781605098081"/>
        <s v="9781626562837"/>
        <s v="9781626567276"/>
        <s v="9781609946401"/>
        <s v="9781576757802"/>
        <s v="9781626568532"/>
        <s v="9781576753217"/>
        <s v="9781626562943"/>
        <s v="9781626567825"/>
        <s v="9781576755136"/>
        <s v="9781605093956"/>
        <s v="9781605099873"/>
        <s v="9781626560246"/>
        <s v="9781605097039"/>
        <s v="9781609945534"/>
        <s v="9781576759479"/>
        <s v="9781605094236"/>
        <s v="9781605094311"/>
        <s v="9781576758748"/>
        <s v="9781576751732"/>
        <s v="9781605095677"/>
        <s v="9781605099323"/>
        <s v="9781605095707"/>
        <s v="9781576750322"/>
        <s v="9781626566279"/>
        <s v="9781605096339"/>
        <s v="9781609944636"/>
        <s v="9781626560734"/>
        <m/>
      </sharedItems>
    </cacheField>
    <cacheField name="eISBN" numFmtId="0">
      <sharedItems containsBlank="1" count="460">
        <s v="9781609944926"/>
        <s v="9781605093055"/>
        <s v="9781605091501"/>
        <s v="9781605096162"/>
        <s v="9781605096179"/>
        <s v="9781576759004"/>
        <s v=" "/>
        <s v="9781626561250"/>
        <s v="9781626561212"/>
        <s v="9781626568822"/>
        <s v="9781605095264"/>
        <s v="9781626561885"/>
        <s v="9781626561687"/>
        <s v="9781626564213"/>
        <s v="9781609949211"/>
        <s v="9781605091389"/>
        <s v="9781626568471"/>
        <s v="9781609941253"/>
        <s v="9781576757826"/>
        <s v="9781605098074"/>
        <s v="9781576759783"/>
        <s v="9781605098999"/>
        <s v="9781626562486"/>
        <s v="9781605095646"/>
        <s v="9781626562240"/>
        <s v="9781605099231"/>
        <s v="9781605092980"/>
        <s v="9781576755358"/>
        <s v="9781626561960"/>
        <s v="9781609944674"/>
        <s v="9781576759516"/>
        <s v="9781609942984"/>
        <s v="9781576759363"/>
        <s v="9781576755471"/>
        <s v="9781626561601"/>
        <s v="9781609946340"/>
        <s v="9781576757765"/>
        <s v="9781576758755"/>
        <s v="9781609948863"/>
        <s v="9781609940089"/>
        <s v="9781576758854"/>
        <s v="9781576759820"/>
        <s v="9781605098197"/>
        <s v="9781626568044"/>
        <s v="9781626562455"/>
        <s v="9781576755310"/>
        <s v="9781626561083"/>
        <s v="9781609948276"/>
        <s v="9781576758007"/>
        <s v="9781609945077"/>
        <s v="1576752739"/>
        <s v="9781576755044"/>
        <s v="9781576755563"/>
        <s v="9781576758021"/>
        <s v="9781576759189"/>
        <s v="9781605094120"/>
        <s v="9781609941864"/>
        <s v="9781609942816"/>
        <s v="9781576755174"/>
        <s v="9781605099286"/>
        <s v="9781626568006"/>
        <s v="9781609947453"/>
        <s v="9781576757741"/>
        <s v="9781609948399"/>
        <s v="9781609941222"/>
        <s v="9781609940058"/>
        <s v="9781605092942"/>
        <s v="9781605092959"/>
        <s v="9781609948115"/>
        <s v="9781576755464"/>
        <s v="9781576759622"/>
        <s v="9781605093895"/>
        <s v="9781605097152"/>
        <s v="9781626568433"/>
        <s v="9781626562370"/>
        <s v="9781605099767"/>
        <s v="9781609941505"/>
        <s v="9781609947125"/>
        <s v="9781605093086"/>
        <s v="9781605092584"/>
        <s v="9781609945237"/>
        <s v="9781605094106"/>
        <s v="9781609945930"/>
        <s v="9781576756201"/>
        <s v="9781609948979"/>
        <s v="9781605093840"/>
        <s v="9781605096698"/>
        <s v="9781609941529"/>
        <s v="9781605093802"/>
        <s v="9781609949877"/>
        <s v="9781626566477"/>
        <s v="9781605097183"/>
        <s v="9781605098609"/>
        <s v="9781609940331"/>
        <s v="9781605098043"/>
        <s v="9781609946661"/>
        <s v="9781605098470"/>
        <s v="9781605092690"/>
        <s v="9781605092850"/>
        <s v="9781576755396"/>
        <s v="9781605093765"/>
        <s v="9781626562929"/>
        <s v="9781605092812"/>
        <s v="9781605094687"/>
        <s v="1576752720"/>
        <s v="9781605098111"/>
        <s v="9781605096124"/>
        <s v="9781605098180"/>
        <s v="9781626568679"/>
        <s v="9781626561038"/>
        <s v="9781605096407"/>
        <s v="9781605096476"/>
        <s v="9781609944759"/>
        <s v="9781605096186"/>
        <s v="9781626562677"/>
        <s v="9781605094175"/>
        <s v="9781576757819"/>
        <s v="1576750698"/>
        <s v="9781605098210"/>
        <s v="9781609940669"/>
        <s v="9781626566996"/>
        <s v="9781605093741"/>
        <s v="9781626562592"/>
        <s v="9781576759493"/>
        <s v="9781626565784"/>
        <s v="9781605096070"/>
        <s v="9781609945756"/>
        <s v="9781605093291"/>
        <s v="9781609940126"/>
        <s v="9781626560857"/>
        <s v="9781605097169"/>
        <s v="9781605096209"/>
        <s v="9781609947378"/>
        <s v="1576753107"/>
        <s v="9781576759882"/>
        <s v="9781609949839"/>
        <s v="9781626567221"/>
        <s v="9781605094083"/>
        <s v="9781576754832"/>
        <s v="9781626568778"/>
        <s v="9781576759080"/>
        <s v="9781576755433"/>
        <s v="9781605093833"/>
        <s v="9781609941611"/>
        <s v="9781609947910"/>
        <s v="9781576751787"/>
        <s v="9781609940713"/>
        <s v="9781626567870"/>
        <s v="9781605098425"/>
        <s v="9781609942939"/>
        <s v="9781609949020"/>
        <s v="9781605094274"/>
        <s v="9781609949914"/>
        <s v="9781605098487"/>
        <s v="9781576759677"/>
        <s v="9781605092874"/>
        <s v="9781605098722"/>
        <s v="1576751724"/>
        <s v="9781626562813"/>
        <s v="9781605092669"/>
        <s v="9781605096148"/>
        <s v="9781605092836"/>
        <s v="9781626563391"/>
        <s v="9781576757758"/>
        <s v="9781605096230"/>
        <s v="9781576759875"/>
        <s v="9781605096247"/>
        <s v="9781605096254"/>
        <s v="9781576758816"/>
        <s v="9781626560895"/>
        <s v="9781605093857"/>
        <s v="9781605098456"/>
        <s v="9781626562042"/>
        <s v="9781576755112"/>
        <s v="9781576758953"/>
        <s v="9781609949259"/>
        <s v="9781626563193"/>
        <s v="9781609941321"/>
        <s v="9781605098050"/>
        <s v="9781609945206"/>
        <s v="9781626566644"/>
        <s v="9781626566682"/>
        <s v="9781605094663"/>
        <s v="9781605092744"/>
        <s v="9781605093314"/>
        <s v="9781605099910"/>
        <s v="9781605093017"/>
        <s v="9781605093369"/>
        <s v="9781626568099"/>
        <s v="9781605094267"/>
        <s v="9781605098678"/>
        <s v="9781605097114"/>
        <s v="9781609941598"/>
        <s v="9781605094618"/>
        <s v="9781626560307"/>
        <s v="1576750795"/>
        <s v="1576752984"/>
        <s v="9781605096117"/>
        <s v="9781576755501"/>
        <s v="9781576759486"/>
        <s v="9781609941062"/>
        <s v="9781576759219"/>
        <s v="9781605099569"/>
        <s v="9781609945640"/>
        <s v="9781605090153"/>
        <s v="9781605091457"/>
        <s v="9781626565906"/>
        <s v="9781609940584"/>
        <s v="9781605094090"/>
        <s v="9781605096384"/>
        <s v="9781609949297"/>
        <s v="9781576759905"/>
        <s v="9781626560345"/>
        <s v="9781626569348"/>
        <s v="9781576755518"/>
        <s v="9781605092829"/>
        <s v="9781605091396"/>
        <s v="9781605096261"/>
        <s v="9781605098630"/>
        <s v="9781605095295"/>
        <s v="9781626566767"/>
        <s v="9781576759592"/>
        <s v="9781576755280"/>
        <s v="9781609948351"/>
        <s v="9781609941932"/>
        <s v="9781576759059"/>
        <s v="9781609940188"/>
        <s v="9781609946388"/>
        <s v="9781576755228"/>
        <s v="9781609948894"/>
        <s v="9781605092515"/>
        <s v="9781609948030"/>
        <s v="9781626562776"/>
        <s v="9781626566125"/>
        <s v="9781605096599"/>
        <s v="9781626560499"/>
        <s v="9781609947415"/>
        <s v="9781605092539"/>
        <s v="9781576757932"/>
        <s v="9781605097206"/>
        <s v="9781576758991"/>
        <s v="9781605093413"/>
        <s v="9781605098760"/>
        <s v="9781605093390"/>
        <s v="9781605093406"/>
        <s v="9781605094700"/>
        <s v="9781605096957"/>
        <s v="9781626563353"/>
        <s v="9781605093376"/>
        <s v="9781605093505"/>
        <s v="9781626560628"/>
        <s v="9781609942892"/>
        <s v="9781609942052"/>
        <s v="9781626566163"/>
        <s v="9781576755921"/>
        <s v="9781605098906"/>
        <s v="9781609945343"/>
        <s v="9781605096629"/>
        <s v="9781576756188"/>
        <s v="9781576759585"/>
        <s v="9781609945688"/>
        <s v="9781609949747"/>
        <s v="9781605090054"/>
        <s v="9781576759356"/>
        <s v="9781605090108"/>
        <s v="9781605097282"/>
        <s v="9781605092638"/>
        <s v="9781609945411"/>
        <s v="9781609949709"/>
        <s v="9781626565685"/>
        <s v="9781609940621"/>
        <s v="9781576759608"/>
        <s v="9781605093864"/>
        <s v="9781576755181"/>
        <s v="9781605096568"/>
        <s v="9781605098838"/>
        <s v="9781605091365"/>
        <s v="9781576757833"/>
        <s v="9781576759721"/>
        <s v="9781605092973"/>
        <s v="9781605098159"/>
        <s v="9781626566798"/>
        <s v="9781576755273"/>
        <s v="9781576755938"/>
        <s v="9781605093826"/>
        <s v="9781609949952"/>
        <s v="9781609949792"/>
        <s v="9781605098876"/>
        <s v="9781605093536"/>
        <s v="9781626560673"/>
        <s v="9781609947996"/>
        <s v="9781605098548"/>
        <s v="9781609945381"/>
        <s v="9781605091464"/>
        <s v="9781605091471"/>
        <s v="9781605097329"/>
        <s v="9781576758687"/>
        <s v="9781609945718"/>
        <s v="9781626566354"/>
        <s v="9781576759745"/>
        <s v="9781609941949"/>
        <s v="9781609945220"/>
        <s v="9781576759509"/>
        <s v="9781576759837"/>
        <s v="9781626566606"/>
        <s v="9781605096513"/>
        <s v="9781609941093"/>
        <s v="9781609949624"/>
        <s v="9781626563964"/>
        <s v="9781626569836"/>
        <s v="9781609949136"/>
        <s v="9781626563919"/>
        <s v="9781605096308"/>
        <s v="9781609940300"/>
        <s v="9781576755150"/>
        <s v="9781605094298"/>
        <s v="9781626569249"/>
        <s v="9781576755495"/>
        <s v="9781626562714"/>
        <s v="9781605098500"/>
        <s v="9781605098517"/>
        <s v="9781576755365"/>
        <s v="9781605093918"/>
        <s v="9781626561649"/>
        <s v="9781605093796"/>
        <s v="9781576755426"/>
        <s v="9781626567122"/>
        <s v="9781626561472"/>
        <s v="9781576755884"/>
        <s v="9781626561519"/>
        <s v="9781609949174"/>
        <s v="9781605090085"/>
        <s v="9781576755754"/>
        <s v="9781609947491"/>
        <s v="9781626564473"/>
        <s v="9781576759615"/>
        <s v="9781576755204"/>
        <s v="9781609949662"/>
        <s v="9781626564671"/>
        <s v="9781605094076"/>
        <s v="1576751902"/>
        <s v="9781626560994"/>
        <s v="9781605092935"/>
        <s v="9781576755488"/>
        <s v="9781609940799"/>
        <s v="9781605099804"/>
        <s v="9781605096049"/>
        <s v="9781605091648"/>
        <s v="9781626562165"/>
        <s v="9781576757734"/>
        <s v="9781605093949"/>
        <s v="9781609948245"/>
        <s v="9781605096995"/>
        <s v="9781576758557"/>
        <s v="9781626563452"/>
        <s v="9781609945305"/>
        <s v="9781626566958"/>
        <s v="9781609944704"/>
        <s v="9781609945817"/>
        <s v="9781605092782"/>
        <s v="9781609945794"/>
        <s v="9781605094250"/>
        <s v="9781576755143"/>
        <s v="9781609947347"/>
        <s v="9781576758793"/>
        <s v="9781605094489"/>
        <s v="9781609949549"/>
        <s v="9781609945510"/>
        <s v="9781576758779"/>
        <s v="9781605095271"/>
        <s v="9781576758762"/>
        <s v="9781576759035"/>
        <s v="9781576759523"/>
        <s v="9781626567719"/>
        <s v="9781576758922"/>
        <s v="9781609948078"/>
        <s v="157675183X"/>
        <s v="9781576755549"/>
        <s v="9781605093888"/>
        <s v="9781609949068"/>
        <s v="9781626561809"/>
        <s v="9781605093000"/>
        <s v="9781609941437"/>
        <s v="9781605090030"/>
        <s v="9781609944889"/>
        <s v="9781626563926"/>
        <s v="9781609948313"/>
        <s v="9781576757956"/>
        <s v="9781605098173"/>
        <s v="9781576757703"/>
        <s v="9781576757796"/>
        <s v="9781576758809"/>
        <s v="9781626566903"/>
        <s v="9781605094519"/>
        <s v="9781605099521"/>
        <s v="9781626560451"/>
        <s v="9781576758946"/>
        <s v="9781626562523"/>
        <s v="9781605098067"/>
        <s v="9781609945886"/>
        <s v="9781626563315"/>
        <s v="9781626567672"/>
        <s v="9781626564510"/>
        <s v="9781626567429"/>
        <s v="9781626562981"/>
        <s v="9781576755266"/>
        <s v="9781605094069"/>
        <s v="9781605094458"/>
        <s v="9781605092713"/>
        <s v="9781609944964"/>
        <s v="1576751244"/>
        <s v="9781609942045"/>
        <s v="9781609941826"/>
        <s v="9781609941970"/>
        <s v="9781605093475"/>
        <s v="9781626560796"/>
        <s v="9781576759769"/>
        <s v="9781576757987"/>
        <s v="9781609946463"/>
        <s v="9781576757888"/>
        <s v="9781605093352"/>
        <s v="9781605096353"/>
        <s v="9781605096018"/>
        <s v="9781626561847"/>
        <s v="9781626568853"/>
        <s v="9781605097121"/>
        <s v="9781609948931"/>
        <s v="9781626567177"/>
        <s v="9781576755334"/>
        <s v="9781605095608"/>
        <s v="9781605099095"/>
        <s v="9781576755297"/>
        <s v="9781605094144"/>
        <s v="9781605092911"/>
        <s v="9781605098081"/>
        <s v="9781626567276"/>
        <s v="9781609946425"/>
        <s v="9781576757802"/>
        <s v="9781626568532"/>
        <s v="9781626562967"/>
        <s v="9781626567825"/>
        <s v="9781576755136"/>
        <s v="9781605093956"/>
        <s v="9781605099873"/>
        <s v="9781626560260"/>
        <s v="9781605097039"/>
        <s v="9781609945558"/>
        <s v="9781576759479"/>
        <s v="9781605094236"/>
        <s v="9781605094311"/>
        <s v="9781576758748"/>
        <s v="9781605095677"/>
        <s v="9781605099323"/>
        <s v="9781605095707"/>
        <s v="9781609941444"/>
        <s v="9781626566279"/>
        <s v="9781605096339"/>
        <s v="9781609944636"/>
        <s v="9781626560758"/>
        <m/>
      </sharedItems>
    </cacheField>
    <cacheField name="Title" numFmtId="0">
      <sharedItems containsBlank="1" count="489">
        <s v="Transformative Scenario Planni"/>
        <s v="Power and Love"/>
        <s v="The Resiliency Advantage"/>
        <s v="Stirring of Soul in the Workpl"/>
        <s v="Bringing Your Soul to Work"/>
        <s v="The Power of Collective Wisdom"/>
        <s v="Ideas Are Free: How the Idea R"/>
        <s v="The Idea-Driven Organization"/>
        <s v="The Idea-Driven Organization:"/>
        <s v="Strategic Analytics"/>
        <s v="Employee Surveys That Work"/>
        <s v="Prisoners of Our Thoughts, 3rd"/>
        <s v="Prisoners of Our Thoughts, 2nd"/>
        <s v="Hello, My Name Is Awesome"/>
        <s v="Entrepreneurs in Every Generat"/>
        <s v="Building the Future"/>
        <s v="The Seven Paths"/>
        <s v="The Death of &quot;Why?&quot;"/>
        <s v="The Shareholder Action Guide"/>
        <s v="What the U.S. Can Learn from C"/>
        <s v="The Change Cycle"/>
        <s v="The Stakeholder Strategy"/>
        <s v="Leadership and Self-Deception"/>
        <s v="The Anatomy of Peace"/>
        <s v="Pro-Voice"/>
        <s v="The Orbital Perspective"/>
        <s v="Infinite Possibility"/>
        <s v="Boards That Excel"/>
        <s v="Full Voice: The Art and Practi"/>
        <s v="Working at Warp Speed"/>
        <s v="Seeing Systems"/>
        <s v="The Rise of the American Corpo"/>
        <s v="Never in My Wildest Dreams"/>
        <s v="Values-Driven Business"/>
        <s v="Rethinking Money"/>
        <s v="Prescription for Survival"/>
        <s v="Framing the Future"/>
        <s v="Power Through Partnership"/>
        <s v="Help Them Grow or Watch Them G"/>
        <s v="Love 'Em or Lose 'Em, 4th Edit"/>
        <s v="Love It, Don't Leave It"/>
        <s v="Love 'Em or Lose 'Em, 5th Edit"/>
        <s v="True North Groups"/>
        <s v="Leading Continuous Change"/>
        <s v="Right Risk"/>
        <s v="Courage Goes to Work"/>
        <s v="Positively M. A. D."/>
        <s v="A Leadership Kick in the Ass"/>
        <s v="A Peacock in the Land of Pengu"/>
        <s v="Get There Early"/>
        <s v="The Reciprocity Advantage"/>
        <s v="Embrace the Chaos"/>
        <s v="Future Hype"/>
        <s v="The Self-Made Myth"/>
        <s v="The 100 Absolutely Unbreakable"/>
        <s v="Goals!: How to Get Everything"/>
        <s v="Be a Sales Superstar—21 Great"/>
        <s v="Eat That Frog!"/>
        <s v="Flight Plan"/>
        <s v="Get Paid More and Promoted Fas"/>
        <s v="The 21 Success Secrets of Self"/>
        <s v="Goals!"/>
        <s v="Hire and Keep the Best People"/>
        <s v="Find Your Balance Point"/>
        <s v="Kiss That Frog!"/>
        <s v="Speechless"/>
        <s v="Living in More Than One World:"/>
        <s v="Leading from the Emerging Futu"/>
        <s v="Theory U, 2nd Edition"/>
        <s v="It's the Way You Say It, 2nd E"/>
        <s v="The Nonverbal Advantage"/>
        <s v="The Truth about Lies in the Wo"/>
        <s v="The Transforming Leader"/>
        <s v="The Leadership Wisdom of Jesus"/>
        <s v="Regime Change Begins at Home"/>
        <s v="Hidden Power"/>
        <s v="The Art of Insight"/>
        <s v="Making Waves and Riding the Cu"/>
        <s v="Emotional Discipline"/>
        <s v="The Power of Failure"/>
        <s v="The New SuperLeadership"/>
        <s v="The Art of Community"/>
        <s v="Dare to Serve"/>
        <s v="Wired and Dangerous"/>
        <s v="Dance Lessons"/>
        <s v="Managers as Mentors, 3rd Editi"/>
        <s v="Invisible Capital"/>
        <s v="The Circle Way"/>
        <s v="Campaign Boot Camp 2.0"/>
        <s v="Teamwork Is an Individual Skil"/>
        <s v="99 to 1"/>
        <s v="Make Their Day!"/>
        <s v="Run Your Business, Don't Let I"/>
        <s v="We Are All Self-Employed"/>
        <s v="The Art of Convening"/>
        <s v="Corporate Social Investing"/>
        <s v="Catch!"/>
        <s v="The American Revolution of 180"/>
        <s v="The Laws of Lifetime Growth Al"/>
        <s v="The Laws of Lifetime Growth, 2"/>
        <s v="Spiritual Capital"/>
        <s v="50 Jobs in 50 States"/>
        <s v="The New Entrepreneurial Leader"/>
        <s v="Whole-Scale Change"/>
        <s v="Rooftop Revolution"/>
        <s v="The Peon Book"/>
        <s v="301 Ways to Have Fun At Work"/>
        <s v="How to Make Collaboration Work"/>
        <s v="When Corporations Rule the Wor"/>
        <s v="The Great Turning"/>
        <s v="Agenda for a New Economy, 2nd"/>
        <s v="Change the Story, Change the F"/>
        <s v="Appreciative Inquiry"/>
        <s v="Street Smart Sustainability"/>
        <s v="Be Your Own Brand—A Breakthrou"/>
        <s v="Be Your Own Brand, 2nd Edition"/>
        <s v="The Blind Men and the Elephant"/>
        <s v="Choosing the Right Thing to Do"/>
        <s v="Cultural Intelligence, 3rd Edi"/>
        <s v="The Multicultural Mind"/>
        <s v="Running Training Like a Busine"/>
        <s v="Affluenza, Second Edition"/>
        <s v="False Profits"/>
        <s v="Real Leadership"/>
        <s v="Leadership for a Fractured Wor"/>
        <s v="Share This!"/>
        <s v="Putting Our Differences to Wor"/>
        <s v="101 Tips for Telecommuters—Suc"/>
        <s v="Dot Calm"/>
        <s v="I Moved Your Cheese"/>
        <s v="Negotiating the Impossible"/>
        <s v="Rebuilding Trust in the Workpl"/>
        <s v="Trust and Betrayal in the Work"/>
        <s v="When Money Talks"/>
        <s v="Singletasking"/>
        <s v="Networking for People Who Hate"/>
        <s v="Managing for People Who Hate M"/>
        <s v="The Power of Appreciative Inqu"/>
        <s v="Creating Personal Presence"/>
        <s v="Let's Stop Meeting Like This"/>
        <s v="Robert K. Greenleaf"/>
        <s v="The One Minute Negotiator"/>
        <s v="Take Charge of Your Talent"/>
        <s v="Formula 2+2—The Simple Solutio"/>
        <s v="The Anatomy of Peace, 2nd Edit"/>
        <s v="The Living Universe"/>
        <s v="Humble Inquiry"/>
        <s v="Dialogic Organization Developm"/>
        <s v="Humble Consulting"/>
        <s v="DEC Is Dead, Long Live DEC"/>
        <s v="Winning the Global Talent Show"/>
        <s v="Humility Is the New Smart"/>
        <s v="Blind Faith"/>
        <s v="Gifts from the Mountain"/>
        <s v="The Compromise Trap"/>
        <s v="Taking Back Our Lives in the A"/>
        <s v="Pharmacy on a Bicycle"/>
        <s v="Macroshift"/>
        <s v="Prosper"/>
        <s v="Online Marketing for Busy Auth"/>
        <s v="Zero Space"/>
        <s v="Being Buddha at Work"/>
        <s v="Speaking Up"/>
        <s v="Inclusion Breakthrough"/>
        <s v="Learning from Leonardo"/>
        <s v="The Ecology of Law"/>
        <s v="Yes Lives in the Land of No"/>
        <s v="The Power of Serving Others"/>
        <s v="Hands-On Training"/>
        <s v="The Beauty of the Beast"/>
        <s v="Getting Things Done When You A"/>
        <s v="The Vanishing American Corpora"/>
        <s v="The Art of Quantum Planning"/>
        <s v="The Great American Jobs Scam"/>
        <s v="Sprout!"/>
        <s v="The Resilient Investor"/>
        <s v="Open Space Technology, 3rd Edi"/>
        <s v="Expanding Our Now"/>
        <s v="Wave Rider"/>
        <s v="The Spirit of Leadership"/>
        <s v="The Power of Spirit"/>
        <s v="My Way or the Highway"/>
        <s v="Who Kidnapped Excellence?"/>
        <s v="The New Why Teams Don't Work"/>
        <s v="Building a Win-Win World"/>
        <s v="The Confidence Myth"/>
        <s v="Managers Not MBAs"/>
        <s v="Managing"/>
        <s v="Simply Managing"/>
        <s v="Rebalancing Society"/>
        <s v="The Fourth Wave"/>
        <s v="Shortchanged"/>
        <s v="Confessions of a Microfinance"/>
        <s v="The 3 Gaps"/>
        <s v="You Are What You Believe"/>
        <s v="Green Deen"/>
        <s v="The Courageous Follower, 3rd E"/>
        <s v="2048"/>
        <s v="Collaborative Intelligence"/>
        <s v="How to Get Ideas"/>
        <s v="Ideaship"/>
        <s v="Fiercely You"/>
        <s v="Time and the Soul"/>
        <s v="The New Rules of Green Marketi"/>
        <s v="America As Empire"/>
        <s v="What Great Service Leaders Kno"/>
        <s v="Managing Your Own Learning"/>
        <s v="Big Vision, Small Business"/>
        <s v="How to Be a Positive Leader"/>
        <s v="A Complaint Is a Gift: Recover"/>
        <s v="Emotional Value—Creating Stron"/>
        <s v="Branded Customer Service—The N"/>
        <s v="Smart Videoconferencing"/>
        <s v="Crunch"/>
        <s v="All Together Now"/>
        <s v="Corporations Are Not People"/>
        <s v="The Four Conversations"/>
        <s v="The 8 Dimensions of Leadership"/>
        <s v="The Genius of Opposites"/>
        <s v="Quiet Influence"/>
        <s v="Getting to Scale"/>
        <s v="Aligned Thinking"/>
        <s v="The Gift of Anger"/>
        <s v="Stepping Up"/>
        <s v="Alternatives to Economic Globa"/>
        <s v="Take Back Your Time"/>
        <s v="Affluenza, 3rd Edition"/>
        <s v="Downshifting"/>
        <s v="How the Poor Can Save Capitali"/>
        <s v="The Five Thieves of Happiness"/>
        <s v="The Five Secrets You Must Disc"/>
        <s v="Second Innocence"/>
        <s v="Effective Apology"/>
        <s v="The Abundant Community"/>
        <s v="The Power of Your Past"/>
        <s v="Confessions of an Economic Hit"/>
        <s v="The New Confessions of an Econ"/>
        <s v="Answering Your Call"/>
        <s v="Ten Thousand Horses"/>
        <s v="Our Common Wealth"/>
        <s v="Creating Leaderful Organizatio"/>
        <s v="Source"/>
        <s v="Synchronicity, 2nd Edition"/>
        <s v="The Empress Has No Clothes"/>
        <s v="Salsa, Soul, and Spirit"/>
        <s v="The Power of Latino Leadership"/>
        <s v="The World Café"/>
        <s v="Opening Doors to Teamwork and"/>
        <s v="The Intelligent Optimist's Gui"/>
        <s v="Breaking the Trust Barrier"/>
        <s v="The Improvisation Edge"/>
        <s v="Be the Best Bad Presenter Ever"/>
        <s v="I'm Sorry I Broke Your Company"/>
        <s v="Leading People Through Disaste"/>
        <s v="Breakdown, Breakthrough"/>
        <s v="Consulting Mastery"/>
        <s v="Just Good Business"/>
        <s v="Go Team!"/>
        <s v="Full Steam Ahead!, 2nd Edition"/>
        <s v="Empowerment Takes More Than a"/>
        <s v="The 3 Keys to Empowerment"/>
        <s v="The Secret, 2nd Edition"/>
        <s v="Great Leaders Grow"/>
        <s v="Refire! Don't Retire"/>
        <s v="Know Can Do!"/>
        <s v="Whale Done Parenting"/>
        <s v="Fit at Last"/>
        <s v="The Greater Goal"/>
        <s v="The Serving Leader"/>
        <s v="The Serving Leader, 2nd Editio"/>
        <s v="Intrinsic Motivation at Work"/>
        <s v="Leadership from the Inside Out"/>
        <s v="The Pause Principle"/>
        <s v="Leading in Turbulent Times"/>
        <s v="Mission, Inc."/>
        <s v="Positive Leadership"/>
        <s v="Positive Leadership, 2nd Editi"/>
        <s v="Practicing Positive Leadership"/>
        <s v="Unite and Conquer"/>
        <s v="Consensus Through Conversation"/>
        <s v="Standing in the Fire"/>
        <s v="Seeing Red Cars"/>
        <s v="Trauma Stewardship"/>
        <s v="What To Do When There's Too Mu"/>
        <s v="Execution IS the Strategy"/>
        <s v="Doing the Right Things Right"/>
        <s v="Good Company"/>
        <s v="Growing Local Value"/>
        <s v="The Speculation Economy"/>
        <s v="Fun Works"/>
        <s v="They Just Don't Get It!"/>
        <s v="Collective Visioning"/>
        <s v="Women Lead the Way"/>
        <s v="The She Spot"/>
        <s v="Managing Hispanic and Latino E"/>
        <s v="Hot Spots"/>
        <s v="The Shareholder Value Myth"/>
        <s v="How Performance Management Is"/>
        <s v="Mayday!"/>
        <s v="The Compassionate Life"/>
        <s v="Making Sustainability Work"/>
        <s v="Making Sustainability Work, 2n"/>
        <s v="Measuring and Improving Social"/>
        <s v="No More Regrets!"/>
        <s v="Wander Woman"/>
        <s v="The Discomfort Zone"/>
        <s v="Yoga Wisdom at Work"/>
        <s v="Perseverance"/>
        <s v="So Far from Home"/>
        <s v="Finding Our Way"/>
        <s v="Leadership and the New Science"/>
        <s v="Walk Out Walk On"/>
        <s v="Dealing With the Tough Stuff"/>
        <s v="Teaching That Changes Lives"/>
        <s v="Change Your Questions, Change"/>
        <s v="Loyal to the Sky"/>
        <s v="The Divine Right of Capital"/>
        <s v="Owning Our Future"/>
        <s v="True to Yourself"/>
        <s v="More Than Money"/>
        <s v="The Reunited States of America"/>
        <s v="Accidental Genius"/>
        <s v="The Secret of Teams"/>
        <s v="The Heart of Leadership"/>
        <s v="Chess Not Checkers"/>
        <s v="Leaders Made Here"/>
        <s v="Make an Ethical Difference"/>
        <s v="Leadership That Matters"/>
        <s v="Your Leadership Legacy"/>
        <s v="The End of Diversity As We Kno"/>
        <s v="Lead More, Control Less"/>
        <s v="Don't Just Do Something, Stand"/>
        <s v="Future Search"/>
        <s v="Permission to Speak Freely"/>
        <s v="Zenobia"/>
        <s v="Locked Down, Locked Out"/>
        <s v="PeopleSmart"/>
        <s v="Working PeopleSmart"/>
        <s v="The Connect Effect"/>
        <s v="The Big Investment Lie"/>
        <s v="The 3 Simple Rules of Investin"/>
        <s v="Small Change"/>
        <s v="The Small-Mart Revolution"/>
        <s v="Culture Crossing"/>
        <s v="The Nonviolence Handbook"/>
        <s v="Making the Good Life Last"/>
        <s v="Lean Startups for Social Chang"/>
        <s v="ZIP! Tips"/>
        <s v="The Hamster Revolution for Mee"/>
        <s v="The Hamster Revolution"/>
        <s v="Peer-to-Peer Leadership"/>
        <s v="Awakening Compassion at Work"/>
        <s v="The Pebble and the Avalanche"/>
        <s v="Values Sell"/>
        <s v="Overfished Ocean Strategy"/>
        <s v="Shakti Leadership"/>
        <s v="You’re Addicted to You: Why It"/>
        <s v="Lean and Green"/>
        <s v="Change Is Every-Body's Busines"/>
        <s v="Performance Consulting, 3rd Ed"/>
        <s v="Deepening Community"/>
        <s v="Dreamcrafting"/>
        <s v="Out of Poverty"/>
        <s v="The Business Solution to Pover"/>
        <s v="Infinite Vision"/>
        <s v="Engaging Emergence"/>
        <s v="Capitalism 3.0"/>
        <s v="With Liberty and Dividends for"/>
        <s v="Community"/>
        <s v="The Answer to How Is Yes"/>
        <s v="Stewardship, 2nd Edition"/>
        <s v="Built to Love"/>
        <s v="Right Relationship"/>
        <s v="What's Your Future Worth?"/>
        <s v="Hungry Start-up Strategy"/>
        <s v="Intelligent Disobedience"/>
        <s v="The Leadership Genius of Juliu"/>
        <s v="Best Care Anywhere, 2nd Editio"/>
        <s v="Best Care Anywhere, 3rd Editio"/>
        <s v="Thinking Big"/>
        <s v="Bridging the Values Gap"/>
        <s v="Two Birds in a Tree"/>
        <s v="Insult to Injury"/>
        <s v="The Real Wealth of Nations"/>
        <s v="Theory Building in Applied Dis"/>
        <s v="You Don't Have to Do It Alone"/>
        <s v="Terms of Engagement"/>
        <s v="The Power of Purpose, 3rd Edit"/>
        <s v="Life Reimagined"/>
        <s v="Repacking Your Bags, 3rd Editi"/>
        <s v="Work Reimagined"/>
        <s v="Claiming Your Place at the Fir"/>
        <s v="The Power of Purpose, 2nd Edit"/>
        <s v="Repacking Your Bags"/>
        <s v="Something to Live For"/>
        <s v="Whistle While You Work"/>
        <s v="Crunch Time"/>
        <s v="The Accidental American"/>
        <s v="Enough Is Enough"/>
        <s v="Accountability—Freedom and Res"/>
        <s v="Driving Growth Through Innovat"/>
        <s v="The Success Case Method"/>
        <s v="Fear Your Strengths"/>
        <s v="The Positive Organization"/>
        <s v="The Best Teacher in You"/>
        <s v="All Rise"/>
        <s v="Real Time Strategic Change"/>
        <s v="Leaders Make the Future"/>
        <s v="Leaders Make the Future, 2nd E"/>
        <s v="The Power of Servant-Leadershi"/>
        <s v="How to Change Minds"/>
        <s v="Covert Processes at Work"/>
        <s v="Stakeholder Theory and Organiz"/>
        <s v="Dignity for All"/>
        <s v="Family Activism"/>
        <s v="Changing How the World Does Bu"/>
        <s v="Leadership Lessons from a UPS"/>
        <s v="World Class Diversity Manageme"/>
        <s v="Mother Teresa, CEO"/>
        <s v="The B Corp Handbook"/>
        <s v="The Female Vision"/>
        <s v="Got Your Attention?"/>
        <s v="Don't Kill the Bosses!"/>
        <s v="This Changes Everything"/>
        <s v="Sustainable Happiness"/>
        <s v="The Revolution Where You Live"/>
        <s v="From Crisis to Calling"/>
        <s v="Mobilized"/>
        <s v="You, Unstuck"/>
        <s v="Our Day to End Poverty"/>
        <s v="Creating a World That Works fo"/>
        <s v="Hello Stay Interviews, Goodbye"/>
        <s v="Creative Community Organizing"/>
        <s v="The Fox in the Henhouse"/>
        <s v="Leapfrogging"/>
        <s v="Attracting Perfect Customers—T"/>
        <s v="The Art of Business"/>
        <s v="Training Across Multiple Locat"/>
        <s v="Moral Capitalism"/>
        <s v="Bootstrap Leadership"/>
        <s v="What Your Boss Really Wants fr"/>
        <s v="Shifting Sands"/>
        <s v="A Game As Old As Empire"/>
        <s v="Leadership and the Art of Stru"/>
        <s v="Getting to Resolution"/>
        <s v="The Book of Agreement"/>
        <s v="The Restoration Economy"/>
        <s v="Useful Research"/>
        <s v="Why Motivating People Doesn't"/>
        <s v="The Sisters Are Alright"/>
        <s v="The Transformational Consumer"/>
        <s v="Gangs of America"/>
        <s v="Why Wait to Be Great?"/>
        <s v="Leadership and Self-Deception:"/>
        <s v="The Outward Mindset"/>
        <s v="Cracking the Code"/>
        <s v="Unequal Protection"/>
        <s v="Rebooting the American Dream"/>
        <s v="Screwed"/>
        <s v="Scenario Planning in Organizat"/>
        <s v="Three Deep Breaths"/>
        <s v="What If Boomers Can't Retire?"/>
        <s v="Hidden Strengths"/>
        <s v="Overcoming Bias"/>
        <s v="Changing Business from the Ins"/>
        <s v="Courageous Training"/>
        <s v="The Referral of a Lifetime, 2n"/>
        <s v="The Referral of a Lifetime: Th"/>
        <s v="Your Leadership Story"/>
        <s v="Leading with Character and Com"/>
        <s v="Appreciative Intelligence"/>
        <s v="Abolishing Performance Apprais"/>
        <s v="The Corporate Whistleblower's"/>
        <s v="Outsmart Waste"/>
        <s v="The New Social Learning"/>
        <s v="The Innovation Paradox"/>
        <s v="Peace First"/>
        <s v="Brilliance by Design"/>
        <s v="The Trance of Scarcity"/>
        <s v="Citizen Wealth"/>
        <s v="Responsible Restructuring"/>
        <s v="Make Talent Your Business"/>
        <s v="The Moral Advantage"/>
        <s v="The New Management"/>
        <s v="Be the Boss Everyone Wants to"/>
        <s v="Action Inquiry"/>
        <s v="Figures of Speech"/>
        <s v="The Social Labs Revolution"/>
        <m/>
      </sharedItems>
    </cacheField>
    <cacheField name="alliantsort_1" numFmtId="0">
      <sharedItems containsString="0" containsBlank="1" containsNumber="1" containsInteger="1" minValue="9999" maxValue="9999" count="2">
        <n v="9999"/>
        <m/>
      </sharedItems>
    </cacheField>
    <cacheField name="Publisher" numFmtId="0">
      <sharedItems containsBlank="1" count="2">
        <s v="CDA_Berrett-Ko"/>
        <m/>
      </sharedItems>
    </cacheField>
    <cacheField name="Author" numFmtId="0">
      <sharedItems containsBlank="1" count="423">
        <s v="Adam Kahane."/>
        <s v="Adam Kahane. Jeff Barnum."/>
        <s v="Al Siebert."/>
        <s v="Alan Briskin."/>
        <s v="Alan Briskin. Cheryl Peppers."/>
        <s v="Alan Briskin. Sheryl Erickson."/>
        <s v="Alan G Robinson. Dean M Schroe"/>
        <s v="Alan G Robinson. Dean M. Schro"/>
        <s v="Alan G. Robinson. Dean M. Schr"/>
        <s v="Alec Levenson."/>
        <s v="Alex Pattakos. Elaine Dundon."/>
        <s v="Alex Pattakos. Stephen Covey."/>
        <s v="Alexandra Watkins."/>
        <s v="Allan Cohen,Pramodita Sharma"/>
        <s v="Amy Edmondson. Susan Reynolds"/>
        <s v="Anasazi Foundation."/>
        <s v="Andrea Batista Schlesinger."/>
        <s v="Andrew Behar."/>
        <s v="Ann Lee."/>
        <s v="Ann Salerno. Lillie Brock."/>
        <s v="Ann Svendsen."/>
        <s v="Arbinger Institute."/>
        <s v="Aspen Baker."/>
        <s v="Astronaut Ron Garan. Muhammad"/>
        <s v="B. Joseph Pine II."/>
        <s v="B. Joseph White."/>
        <s v="Barbara McAfee."/>
        <s v="Barry Flicker."/>
        <s v="Barry Oshry."/>
        <s v="Beatrice Edwards."/>
        <s v="Belva Davis. Vicki Haddock."/>
        <s v="Ben Cohen. Mal Warwick."/>
        <s v="Bernard Lietaer. Jacqui Dunne."/>
        <s v="Bernard Lown."/>
        <s v="Bernie Horn."/>
        <s v="Betsy Polk. Maggie Ellis Chota"/>
        <s v="Beverly Kaye. Julie Winkle-Giu"/>
        <s v="Beverly Kaye. Sharon Jordan-Ev"/>
        <s v="Bill George. Douglas M. Baker."/>
        <s v="Bill Pasmore."/>
        <s v="Bill Treasurer."/>
        <s v="BJ Gallagher. Warren Schmidt."/>
        <s v="Bob Johansen."/>
        <s v="Bob Johansen. Karl Ronn."/>
        <s v="Bob Miglani."/>
        <s v="Bob Seidensticker."/>
        <s v="Brian Miller. Mike Lapham."/>
        <s v="Brian Tracy."/>
        <s v="Brian Tracy. Christina Stein."/>
        <s v="Bruce Barry."/>
        <s v="Bruce Rosenstein."/>
        <s v="C. Otto Scharmer. Katrin Kaeuf"/>
        <s v="C. Scharmer Otto. Peter Senge."/>
        <s v="Carol Fleming."/>
        <s v="Carol Goman Kinsey."/>
        <s v="Carol Kinsey Goman."/>
        <s v="Carol S. Pearson."/>
        <s v="Charles C. Manz."/>
        <s v="Charles Derber."/>
        <s v="Charles F. Kiefer. Malcolm Con"/>
        <s v="Charles Halpern."/>
        <s v="Charles Manz."/>
        <s v="Charles Manz. Henry Sims Henry"/>
        <s v="Charles Vogl."/>
        <s v="Cheryl Bachelder."/>
        <s v="Chip R Bell. John R. Patterson"/>
        <s v="Chip R. Bell. Heather Shea-Sch"/>
        <s v="Chip R. Bell. Marshall Goldsmi"/>
        <s v="Chris Rabb."/>
        <s v="Christina Baldwin. Ann Linnea."/>
        <s v="Christine Pelosi."/>
        <s v="Christopher M. Avery. Meri A."/>
        <s v="Chuck Collins."/>
        <s v="Cindy Ventrice."/>
        <s v="Clay Mathile."/>
        <s v="Cliff Hakim."/>
        <s v="Craig Neal. Patricia Neal."/>
        <s v="Curt Weeden."/>
        <s v="Cyndi Crother."/>
        <s v="Dan Sisson. Thom Hartmann."/>
        <s v="Dan Sullivan. Catherine Nomura"/>
        <s v="Danah Zohar. Ian Marshall."/>
        <s v="Daniel Seddiqui."/>
        <s v="Danna Greenberg. Kate McKone-S"/>
        <s v="Dannemiller Associates Tyson."/>
        <s v="Danny Kennedy."/>
        <s v="Dave Haynes."/>
        <s v="Dave Hemsath. David Hemsath."/>
        <s v="David A. Straus."/>
        <s v="David C. Korten."/>
        <s v="David Cooperrider. Diana Whitn"/>
        <s v="David Mager. Joe Sibilia."/>
        <s v="David McNally. Karl D Speak."/>
        <s v="David McNally. Karl Speak D."/>
        <s v="David Schmaltz."/>
        <s v="David Shapiro."/>
        <s v="David Thomas C.. Kerr Inkson C"/>
        <s v="David Thomas."/>
        <s v="David Van Adelsberg. Edward A."/>
        <s v="David Wann. de John Graaf."/>
        <s v="Dean Baker."/>
        <s v="Dean Williams."/>
        <s v="Deanna Zandt."/>
        <s v="Debbe Kennedy. Joel Barker."/>
        <s v="Debra A. Dinnocenzo."/>
        <s v="Debra Dinnocenzo. Richard Sweg"/>
        <s v="Deepak Malhotra."/>
        <s v="Dennis Reina."/>
        <s v="Dennis Reina. Michelle Reina."/>
        <s v="Dennis S. Reina. Michelle L. R"/>
        <s v="Derek Cressman. Thom Hartmann."/>
        <s v="Devora Zack."/>
        <s v="Diana Whitney. Amanda Trosten-"/>
        <s v="Dianna Booher."/>
        <s v="Dick Axelrod. Emily Axelrod."/>
        <s v="Don Frick. Peter Senge."/>
        <s v="Don Hutson. George H. Lucas."/>
        <s v="Don Maruska. Jay Perry."/>
        <s v="Douglas B Allen. Dwight W Alle"/>
        <s v="Duane Boyce. Jim Ferrell."/>
        <s v="Duane Elgin. Deepak Chopra."/>
        <s v="Edgar H. Schein."/>
        <s v="Edgar H. Schein. Robert J. Mar"/>
        <s v="Edgar Schein H.."/>
        <s v="Edgar Schein. Paul Kampas."/>
        <s v="Edward E. Gordon."/>
        <s v="Edward Hess D.. Katherine Ludw"/>
        <s v="Edward Winslow."/>
        <s v="Eileen McDargh. Roderick MacIv"/>
        <s v="Elizabeth Doty. Art Kleiner."/>
        <s v="Ellen Augustine. Suzanne Stodd"/>
        <s v="Eric Bing. Marc J. Epstein."/>
        <s v="Ervin Laszlo. Arthur Clarke Ch"/>
        <s v="Ethan Willis. Randy Garn."/>
        <s v="Fauzia Burke. S.C. Gwynne."/>
        <s v="Frank Deprez Lekanne. Rene Tis"/>
        <s v="Franz Metcalf. BJ Gallagher."/>
        <s v="Frederick Gilbert."/>
        <s v="Frederick Miller. Judith Katz."/>
        <s v="Fritjof Capra."/>
        <s v="Fritjof Capra. Ugo Mattei."/>
        <s v="Gallagher Gallagher. Steve Ven"/>
        <s v="Gary Morsch. Dean Nelson."/>
        <s v="Gary Sisson."/>
        <s v="Geoffrey Bellman."/>
        <s v="Geoffrey M Bellman."/>
        <s v="Gerald Davis F.."/>
        <s v="Gerald Harris. Peter Schwartz."/>
        <s v="Greg LeRoy."/>
        <s v="Greg Wright. Alan Vengel."/>
        <s v="Hal Brill. Michael Kramer. Chr"/>
        <s v="Harrison H. Owen."/>
        <s v="Harrison Owen."/>
        <s v="Harry Chambers."/>
        <s v="Harry Paul. John Britt. Ed Jen"/>
        <s v="Harvey Robbins. Michael Finley"/>
        <s v="Hazel Henderson."/>
        <s v="Helene Lerner."/>
        <s v="Henry Mintzberg."/>
        <s v="Herman Maynard. Susan E. Mehrt"/>
        <s v="Howard Karger."/>
        <s v="Hugh Sinclair."/>
        <s v="Hyrum Smith."/>
        <s v="Hyrum W. Smith,Ken Blanchard"/>
        <s v="Ibrahim Abdul-Matin. Keith Ell"/>
        <s v="Ira Chaleff."/>
        <s v="J. Boyd Kirk."/>
        <s v="J. Richard Hackman."/>
        <s v="Jack Foster. Larry Corby."/>
        <s v="Jackie Huba. Shelly Kronbergs"/>
        <s v="Jacob Needleman. John Cleese."/>
        <s v="Jacquelyn Ottman."/>
        <s v="James Garrison."/>
        <s v="James L. Heskett. W. Earl Sass"/>
        <s v="James R. Davis. Adelaide B. Da"/>
        <s v="Jamie S. Walters."/>
        <s v="Jane E. Dutton. Gretchen M. Sp"/>
        <s v="Janelle Barlow. Claus Moller."/>
        <s v="Janelle Barlow. Dianna Maul. M"/>
        <s v="Janelle Barlow. Paul Stewart."/>
        <s v="Janelle Barlow. Peta Peter. Le"/>
        <s v="Jared Bernstein."/>
        <s v="Jeffrey D. Clements."/>
        <s v="Jeffrey Ford. Laurie Ford."/>
        <s v="Jeffrey Sugerman. Mark Scullar"/>
        <s v="Jennifer B. Kahnweiler."/>
        <s v="Jennifer Kahnweiler."/>
        <s v="Jill Bamburg."/>
        <s v="Jim Steffen. Ken Blanchard."/>
        <s v="Joe Solmonese. Judy Shepard."/>
        <s v="John B. Izzo."/>
        <s v="John Cavanagh. Jerry Mander."/>
        <s v="John de Graaf."/>
        <s v="John de Graaf. David Wann. Tho"/>
        <s v="John Drake."/>
        <s v="John Hope Bryant. Andrew Young"/>
        <s v="John Izzo B.."/>
        <s v="John Izzo."/>
        <s v="John Kador."/>
        <s v="John McKnight. Peter Block."/>
        <s v="John P Schuster."/>
        <s v="John Perkins."/>
        <s v="John Schuster."/>
        <s v="John Stahl-Wert. Ken Jennings."/>
        <s v="Jonathan Rowe. Peter Barnes."/>
        <s v="Joseph A. Raelin."/>
        <s v="Joseph Jaworski."/>
        <s v="Joseph Jaworski. Peter M Senge"/>
        <s v="Joyce M. Roché. Alexander Kope"/>
        <s v="Juana Bordas."/>
        <s v="Juanita Brown. David Isaacs. W"/>
        <s v="Judith H. Katz. Frederick A. M"/>
        <s v="Jurriaan Kamp."/>
        <s v="JV Venable"/>
        <s v="Karen Hough."/>
        <s v="Karen Phelan."/>
        <s v="Kathryn McKee, SPHR. Liz Guthr"/>
        <s v="Kathy Caprino."/>
        <s v="Keith Merron."/>
        <s v="Kellie McElhaney."/>
        <s v="Ken Blanchard. Alan Randolph."/>
        <s v="Ken Blanchard. Jesse Lyn Stone"/>
        <s v="Ken Blanchard. John Carlos."/>
        <s v="Ken Blanchard. Mark Miller."/>
        <s v="Ken Blanchard. Morton Shaevitz"/>
        <s v="Ken Blanchard. Paul Meyer."/>
        <s v="Ken Blanchard. Thad Lacinak."/>
        <s v="Ken Blanchard. Tim Kearin."/>
        <s v="Ken Jennings. Heather Hyde."/>
        <s v="Ken Jennings. John Stahl-Wert."/>
        <s v="Kenneth W. Thomas."/>
        <s v="Kevin Cashman."/>
        <s v="Kevin Kelly. Gary Hayes."/>
        <s v="Kevin Lynch. Julius Walls Juli"/>
        <s v="Kim Cameron."/>
        <s v="Kyrsten Sinema. Janet Napolita"/>
        <s v="Larry Dressler."/>
        <s v="Larry Dressler. Roger Schwarz."/>
        <s v="Laura Goodrich."/>
        <s v="Laura Lipsky Van. Connie Burk."/>
        <s v="Laura Stack."/>
        <s v="Laura Stack. William A. Cohen."/>
        <s v="Laurie Bassi. Ed Frauenheim. L"/>
        <s v="Laury Hammel. Gun Denhart."/>
        <s v="Lawrence E. Mitchell."/>
        <s v="Leslie Yerkes. Jim Kouzes."/>
        <s v="Leslie Yerkes. Randy Martin."/>
        <s v="Linda Stout."/>
        <s v="Linda Tarr-Whelan."/>
        <s v="Lisa Witter. Lisa Chen."/>
        <s v="Louis Nevaer."/>
        <s v="Lynda Gratton."/>
        <s v="Lynn A. Stout."/>
        <s v="M. Chandler Tamra. Dave Ulrich"/>
        <s v="M. Nora Klaver."/>
        <s v="Marc Barasch Ian."/>
        <s v="Marc J. Epstein."/>
        <s v="Marc J. Epstein. Adriana Rejc"/>
        <s v="Marc J. Epstein. Kristi Yuthas"/>
        <s v="Marc Muchnick."/>
        <s v="Marcia Reynolds."/>
        <s v="Maren S. Showkeir. James D. Sh"/>
        <s v="Margaret J. Wheatley."/>
        <s v="Margaret Wheatley."/>
        <s v="Margaret Wheatley. Deborah Fri"/>
        <s v="Margot Fraser. Lisa Lorimer."/>
        <s v="Marilee G. Adams."/>
        <s v="Marilee G. Adams. Marshall Gol"/>
        <s v="Marisa Handler."/>
        <s v="Marjorie Kelly."/>
        <s v="Mark Albion."/>
        <s v="Mark Gerzon."/>
        <s v="Mark Levy."/>
        <s v="Mark Miller."/>
        <s v="Mark Pastin."/>
        <s v="Marshall Sashkin. Molly G. Sas"/>
        <s v="Marta Brooks. Julie Stark."/>
        <s v="Martin N. Davidson."/>
        <s v="Marvin R. Weisbord. Sandra Jan"/>
        <s v="Marvin Weisbord. Sandra Janoff"/>
        <s v="Matt Kincaid. Doug Crandall."/>
        <s v="Matthew Emmens. Beth Kephart."/>
        <s v="Maya Schenwar."/>
        <s v="Melvin Silberman. Freda Hansbu"/>
        <s v="Michael Dulworth. Mike Dulwort"/>
        <s v="Michael Edesess."/>
        <s v="Michael Edesess. Kwok L. Tsui."/>
        <s v="Michael Edwards."/>
        <s v="Michael H. Shuman."/>
        <s v="Michael Landers."/>
        <s v="Michael N Nagler."/>
        <s v="Michael Schuler."/>
        <s v="Michel Gelobter."/>
        <s v="Mike Song."/>
        <s v="Mike Song. Vicki Halsey."/>
        <s v="Mike Song. Vicki Halsey. Tim B"/>
        <s v="Mila N. Baker."/>
        <s v="Monica Worline. Jane Dutton E."/>
        <s v="Moshe Yudkowsky."/>
        <s v="Nadine Thompson. Angela Soper."/>
        <s v="Nadya Zhexembayeva."/>
        <s v="Nilima Bhat. Raj Sisodia."/>
        <s v="Noah Blumenthal."/>
        <s v="Pamela Gordon."/>
        <s v="Patricia McLagan."/>
        <s v="Patricia Pulliam Phillips. Jac"/>
        <s v="Paul Born."/>
        <s v="Paul Levesque. Art McNeil."/>
        <s v="Paul Polak."/>
        <s v="Paul Polak. Mal Warwick."/>
        <s v="Pavithra Mehta. Suchitra Sheno"/>
        <s v="Peggy Holman."/>
        <s v="Peter Barnes."/>
        <s v="Peter Block."/>
        <s v="Peter Boatwright. Jonathan Cag"/>
        <s v="Peter Brown. Geoffrey Garver."/>
        <s v="Peter Neuwirth."/>
        <s v="Peter S. Peter S. Cohan."/>
        <s v="Philip Zimbardo. Ira Chaleff."/>
        <s v="Phillip Barlag."/>
        <s v="Phillip Longman."/>
        <s v="Progressive Network Ideas."/>
        <s v="R. Edward Freeman. Ellen R. Au"/>
        <s v="Ram Nidumolu."/>
        <s v="Ray Bourhis."/>
        <s v="Riane Eisler."/>
        <s v="Richard A. Swanson. Thomas J."/>
        <s v="Richard Axelrod."/>
        <s v="Richard J. Leider."/>
        <s v="Richard J. Leider. David A. Sh"/>
        <s v="Richard J. Leider. David Shapi"/>
        <s v="Richard Leider J.. David Shapi"/>
        <s v="Richard Leider."/>
        <s v="Richard Leider. David Shapiro."/>
        <s v="Rick Peterson. Judd Hoekstra."/>
        <s v="Rinku Sen. Fekkak Mamdouh."/>
        <s v="Rob Dietz. Dan O’Neill."/>
        <s v="Rob LeBow. Randy Spitzer."/>
        <s v="Robert B. Tucker."/>
        <s v="Robert Brinkerhoff."/>
        <s v="Robert E. Kaplan. Robert B. Ka"/>
        <s v="Robert E. Quinn."/>
        <s v="Robert E. Quinn. Katherine Hey"/>
        <s v="Robert Fuller."/>
        <s v="Robert H. Jacobs."/>
        <s v="Robert Johansen."/>
        <s v="Robert K. Greenleaf. Larry C."/>
        <s v="Robert L. Jolles."/>
        <s v="Robert Marshak. Ed Schein."/>
        <s v="Robert Phillips."/>
        <s v="Robert W. Fuller. Pamela Gerlo"/>
        <s v="Roberto Vargas."/>
        <s v="Roger Frock."/>
        <s v="Ron Wallace."/>
        <s v="Roosevelt Thomas."/>
        <s v="Ruma Bose. Louis Faust III."/>
        <s v="Ryan Honeyman. Jay Coen Gilber"/>
        <s v="Sally Helgesen. Julie Johnson."/>
        <s v="Sam Horn."/>
        <s v="Samuel Culbert. John Ullmen."/>
        <s v="Sarah Ruth van Gelder."/>
        <s v="Sarah van Gelder."/>
        <s v="Sarah van Gelder. Danny Glover"/>
        <s v="Sasha Chanoff,David Chanoff,Da"/>
        <s v="SC Moatti. Nir Eyal."/>
        <s v="Seth Adam Smith."/>
        <s v="Shannon Daley-Harris. Jeffrey"/>
        <s v="Sharif M Abdullah."/>
        <s v="Sharon Jordan-Evans. Beverly K"/>
        <s v="Si Kahn. Angela Davis."/>
        <s v="Si Kanh. Elizabeth Minnich."/>
        <s v="Soren Kaplan."/>
        <s v="Stacey Hall. Jan Brogniez."/>
        <s v="Stan Davis. David McIntosh."/>
        <s v="Stephen Krempl. R. Wayne Pace."/>
        <s v="Stephen Young."/>
        <s v="Steve Arneson."/>
        <s v="Steve Donahue."/>
        <s v="Steven Hiatt. John Perkins."/>
        <s v="Steven Snyder."/>
        <s v="Stewart Levine."/>
        <s v="Storm Cunningham."/>
        <s v="Susan Albers Mohrman. Edward E"/>
        <s v="Susan Fowler."/>
        <s v="Tamara Winfrey Harris."/>
        <s v="Tara-Nicholle Nelson."/>
        <s v="Ted Nace."/>
        <s v="Terry Hawkins."/>
        <s v="The Arbinger Institute."/>
        <s v="The Institute Institute"/>
        <s v="Thom Hartmann."/>
        <s v="Thom Hartmann. Greg Palast."/>
        <s v="Thomas Chermack."/>
        <s v="Thomas Crum. Mark Hansen Victo"/>
        <s v="Thornton Parker. Hazel Henders"/>
        <s v="Thuy Sindell. Milo Sindell."/>
        <s v="Tiffany Jana. Matthew Freeman."/>
        <s v="Tim Mohin."/>
        <s v="Tim Mooney. Robert Brinkerhoff"/>
        <s v="Tim Templeton,Ken Blanchard"/>
        <s v="Tim Templeton. Ken Blanchard."/>
        <s v="Tim Tobin."/>
        <s v="Timothy Clark R.."/>
        <s v="Tojo Thatchenkery. Carol Metzk"/>
        <s v="Tom Coens. Mary Jenkins."/>
        <s v="Tom Devine. Tarek F. Maassaran"/>
        <s v="Tom Szaky."/>
        <s v="Tony Bingham. Marcia Conner."/>
        <s v="Tony Davila. Marc Epstein."/>
        <s v="Uri Savir. Abu Ala."/>
        <s v="Vicki Halsey."/>
        <s v="Victoria Castle."/>
        <s v="Wade Rathke."/>
        <s v="Warren H. Schmidt. BJ Gallaghe"/>
        <s v="Wayne Cascio."/>
        <s v="Wendy Axelrod. Jeannie Coyle."/>
        <s v="William Damon."/>
        <s v="William E. Halal."/>
        <s v="William Gentry A.."/>
        <s v="William Torbert."/>
        <s v="William Turner."/>
        <s v="Zaid Hassan."/>
        <m/>
      </sharedItems>
    </cacheField>
    <cacheField name="Channel" numFmtId="0">
      <sharedItems containsBlank="1" count="3">
        <s v="B2B"/>
        <s v="B2C"/>
        <m/>
      </sharedItems>
    </cacheField>
    <cacheField name="CommissionRate" numFmtId="0">
      <sharedItems containsString="0" containsBlank="1" containsNumber="1" minValue="0.2" maxValue="0.25" count="3">
        <n v="0.2"/>
        <n v="0.25"/>
        <m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lliant_srvc" refreshedDate="42846.590355208333" createdVersion="3" refreshedVersion="3" minRefreshableVersion="3" recordCount="2">
  <cacheSource type="worksheet">
    <worksheetSource ref="A1:C3" sheet="AlliantPivBU" r:id="rId2"/>
  </cacheSource>
  <cacheFields count="3">
    <cacheField name="DummyCol" numFmtId="0">
      <sharedItems containsBlank="1" count="2">
        <s v="DummyCol"/>
        <m/>
      </sharedItems>
    </cacheField>
    <cacheField name="Amount" numFmtId="0">
      <sharedItems containsString="0" containsBlank="1" containsNumber="1" minValue="2203.58" maxValue="2203.58" count="2">
        <n v="2203.58"/>
        <m/>
      </sharedItems>
    </cacheField>
    <cacheField name="DummyRow" numFmtId="0">
      <sharedItems containsBlank="1" count="2">
        <s v="DummyRow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6">
  <r>
    <x v="0"/>
    <n v="1.93"/>
    <x v="0"/>
    <x v="0"/>
    <x v="0"/>
    <x v="0"/>
    <x v="0"/>
    <x v="0"/>
    <x v="0"/>
    <x v="0"/>
  </r>
  <r>
    <x v="0"/>
    <n v="0.03"/>
    <x v="0"/>
    <x v="0"/>
    <x v="0"/>
    <x v="0"/>
    <x v="0"/>
    <x v="0"/>
    <x v="1"/>
    <x v="1"/>
  </r>
  <r>
    <x v="0"/>
    <n v="5.91"/>
    <x v="1"/>
    <x v="1"/>
    <x v="1"/>
    <x v="0"/>
    <x v="0"/>
    <x v="1"/>
    <x v="0"/>
    <x v="0"/>
  </r>
  <r>
    <x v="0"/>
    <n v="11.78"/>
    <x v="2"/>
    <x v="2"/>
    <x v="2"/>
    <x v="0"/>
    <x v="0"/>
    <x v="2"/>
    <x v="0"/>
    <x v="0"/>
  </r>
  <r>
    <x v="0"/>
    <n v="0.02"/>
    <x v="2"/>
    <x v="2"/>
    <x v="2"/>
    <x v="0"/>
    <x v="0"/>
    <x v="2"/>
    <x v="1"/>
    <x v="1"/>
  </r>
  <r>
    <x v="0"/>
    <n v="1.92"/>
    <x v="3"/>
    <x v="3"/>
    <x v="3"/>
    <x v="0"/>
    <x v="0"/>
    <x v="3"/>
    <x v="0"/>
    <x v="0"/>
  </r>
  <r>
    <x v="0"/>
    <n v="2.0499999999999998"/>
    <x v="4"/>
    <x v="4"/>
    <x v="4"/>
    <x v="0"/>
    <x v="0"/>
    <x v="4"/>
    <x v="0"/>
    <x v="0"/>
  </r>
  <r>
    <x v="0"/>
    <n v="2.0499999999999998"/>
    <x v="5"/>
    <x v="5"/>
    <x v="5"/>
    <x v="0"/>
    <x v="0"/>
    <x v="5"/>
    <x v="0"/>
    <x v="0"/>
  </r>
  <r>
    <x v="0"/>
    <n v="1.1399999999999999"/>
    <x v="5"/>
    <x v="5"/>
    <x v="5"/>
    <x v="0"/>
    <x v="0"/>
    <x v="5"/>
    <x v="1"/>
    <x v="1"/>
  </r>
  <r>
    <x v="0"/>
    <n v="2.77"/>
    <x v="6"/>
    <x v="6"/>
    <x v="6"/>
    <x v="0"/>
    <x v="0"/>
    <x v="6"/>
    <x v="0"/>
    <x v="0"/>
  </r>
  <r>
    <x v="0"/>
    <n v="154.07"/>
    <x v="7"/>
    <x v="7"/>
    <x v="7"/>
    <x v="0"/>
    <x v="0"/>
    <x v="7"/>
    <x v="0"/>
    <x v="0"/>
  </r>
  <r>
    <x v="0"/>
    <n v="0.03"/>
    <x v="7"/>
    <x v="7"/>
    <x v="7"/>
    <x v="0"/>
    <x v="0"/>
    <x v="7"/>
    <x v="1"/>
    <x v="1"/>
  </r>
  <r>
    <x v="0"/>
    <n v="100.72"/>
    <x v="8"/>
    <x v="6"/>
    <x v="8"/>
    <x v="0"/>
    <x v="0"/>
    <x v="8"/>
    <x v="0"/>
    <x v="0"/>
  </r>
  <r>
    <x v="0"/>
    <n v="22.52"/>
    <x v="8"/>
    <x v="6"/>
    <x v="8"/>
    <x v="0"/>
    <x v="0"/>
    <x v="8"/>
    <x v="1"/>
    <x v="1"/>
  </r>
  <r>
    <x v="0"/>
    <n v="78.569999999999993"/>
    <x v="9"/>
    <x v="6"/>
    <x v="9"/>
    <x v="0"/>
    <x v="0"/>
    <x v="9"/>
    <x v="0"/>
    <x v="0"/>
  </r>
  <r>
    <x v="0"/>
    <n v="11.69"/>
    <x v="10"/>
    <x v="8"/>
    <x v="10"/>
    <x v="0"/>
    <x v="0"/>
    <x v="9"/>
    <x v="0"/>
    <x v="0"/>
  </r>
  <r>
    <x v="0"/>
    <n v="1.91"/>
    <x v="9"/>
    <x v="6"/>
    <x v="9"/>
    <x v="0"/>
    <x v="0"/>
    <x v="9"/>
    <x v="1"/>
    <x v="1"/>
  </r>
  <r>
    <x v="0"/>
    <n v="274.12"/>
    <x v="11"/>
    <x v="9"/>
    <x v="11"/>
    <x v="0"/>
    <x v="0"/>
    <x v="10"/>
    <x v="0"/>
    <x v="0"/>
  </r>
  <r>
    <x v="0"/>
    <n v="247.5"/>
    <x v="11"/>
    <x v="9"/>
    <x v="11"/>
    <x v="0"/>
    <x v="0"/>
    <x v="10"/>
    <x v="1"/>
    <x v="1"/>
  </r>
  <r>
    <x v="0"/>
    <n v="30.7"/>
    <x v="12"/>
    <x v="10"/>
    <x v="12"/>
    <x v="0"/>
    <x v="0"/>
    <x v="11"/>
    <x v="0"/>
    <x v="0"/>
  </r>
  <r>
    <x v="0"/>
    <n v="0.03"/>
    <x v="12"/>
    <x v="10"/>
    <x v="12"/>
    <x v="0"/>
    <x v="0"/>
    <x v="11"/>
    <x v="1"/>
    <x v="1"/>
  </r>
  <r>
    <x v="0"/>
    <n v="7.22"/>
    <x v="13"/>
    <x v="11"/>
    <x v="13"/>
    <x v="0"/>
    <x v="0"/>
    <x v="12"/>
    <x v="0"/>
    <x v="0"/>
  </r>
  <r>
    <x v="0"/>
    <n v="12.08"/>
    <x v="13"/>
    <x v="11"/>
    <x v="13"/>
    <x v="0"/>
    <x v="0"/>
    <x v="12"/>
    <x v="1"/>
    <x v="1"/>
  </r>
  <r>
    <x v="0"/>
    <n v="28.97"/>
    <x v="14"/>
    <x v="12"/>
    <x v="14"/>
    <x v="0"/>
    <x v="0"/>
    <x v="13"/>
    <x v="0"/>
    <x v="0"/>
  </r>
  <r>
    <x v="0"/>
    <n v="17.75"/>
    <x v="15"/>
    <x v="13"/>
    <x v="15"/>
    <x v="0"/>
    <x v="0"/>
    <x v="14"/>
    <x v="0"/>
    <x v="0"/>
  </r>
  <r>
    <x v="0"/>
    <n v="0.5"/>
    <x v="15"/>
    <x v="13"/>
    <x v="15"/>
    <x v="0"/>
    <x v="0"/>
    <x v="14"/>
    <x v="1"/>
    <x v="1"/>
  </r>
  <r>
    <x v="0"/>
    <n v="3.22"/>
    <x v="16"/>
    <x v="14"/>
    <x v="16"/>
    <x v="0"/>
    <x v="0"/>
    <x v="15"/>
    <x v="0"/>
    <x v="0"/>
  </r>
  <r>
    <x v="0"/>
    <n v="0.02"/>
    <x v="16"/>
    <x v="14"/>
    <x v="16"/>
    <x v="0"/>
    <x v="0"/>
    <x v="15"/>
    <x v="1"/>
    <x v="1"/>
  </r>
  <r>
    <x v="0"/>
    <n v="2.0299999999999998"/>
    <x v="17"/>
    <x v="15"/>
    <x v="17"/>
    <x v="0"/>
    <x v="0"/>
    <x v="16"/>
    <x v="0"/>
    <x v="0"/>
  </r>
  <r>
    <x v="0"/>
    <n v="2.42"/>
    <x v="18"/>
    <x v="16"/>
    <x v="18"/>
    <x v="0"/>
    <x v="0"/>
    <x v="17"/>
    <x v="0"/>
    <x v="0"/>
  </r>
  <r>
    <x v="0"/>
    <n v="4.5599999999999996"/>
    <x v="19"/>
    <x v="17"/>
    <x v="19"/>
    <x v="0"/>
    <x v="0"/>
    <x v="18"/>
    <x v="0"/>
    <x v="0"/>
  </r>
  <r>
    <x v="0"/>
    <n v="4.7699999999999996"/>
    <x v="20"/>
    <x v="18"/>
    <x v="20"/>
    <x v="0"/>
    <x v="0"/>
    <x v="19"/>
    <x v="0"/>
    <x v="0"/>
  </r>
  <r>
    <x v="0"/>
    <n v="3.11"/>
    <x v="21"/>
    <x v="19"/>
    <x v="21"/>
    <x v="0"/>
    <x v="0"/>
    <x v="20"/>
    <x v="0"/>
    <x v="0"/>
  </r>
  <r>
    <x v="0"/>
    <n v="0.21"/>
    <x v="21"/>
    <x v="19"/>
    <x v="21"/>
    <x v="0"/>
    <x v="0"/>
    <x v="20"/>
    <x v="1"/>
    <x v="1"/>
  </r>
  <r>
    <x v="0"/>
    <n v="974.54"/>
    <x v="22"/>
    <x v="20"/>
    <x v="22"/>
    <x v="0"/>
    <x v="0"/>
    <x v="21"/>
    <x v="0"/>
    <x v="0"/>
  </r>
  <r>
    <x v="0"/>
    <n v="3.89"/>
    <x v="23"/>
    <x v="21"/>
    <x v="23"/>
    <x v="0"/>
    <x v="0"/>
    <x v="21"/>
    <x v="0"/>
    <x v="0"/>
  </r>
  <r>
    <x v="0"/>
    <n v="22.18"/>
    <x v="22"/>
    <x v="20"/>
    <x v="22"/>
    <x v="0"/>
    <x v="0"/>
    <x v="21"/>
    <x v="1"/>
    <x v="1"/>
  </r>
  <r>
    <x v="0"/>
    <n v="17.010000000000002"/>
    <x v="24"/>
    <x v="6"/>
    <x v="24"/>
    <x v="0"/>
    <x v="0"/>
    <x v="22"/>
    <x v="0"/>
    <x v="0"/>
  </r>
  <r>
    <x v="0"/>
    <n v="3.84"/>
    <x v="25"/>
    <x v="22"/>
    <x v="25"/>
    <x v="0"/>
    <x v="0"/>
    <x v="23"/>
    <x v="0"/>
    <x v="0"/>
  </r>
  <r>
    <x v="0"/>
    <n v="3.9"/>
    <x v="26"/>
    <x v="23"/>
    <x v="26"/>
    <x v="0"/>
    <x v="0"/>
    <x v="24"/>
    <x v="0"/>
    <x v="0"/>
  </r>
  <r>
    <x v="0"/>
    <n v="0.13"/>
    <x v="26"/>
    <x v="23"/>
    <x v="26"/>
    <x v="0"/>
    <x v="0"/>
    <x v="24"/>
    <x v="1"/>
    <x v="1"/>
  </r>
  <r>
    <x v="0"/>
    <n v="8.94"/>
    <x v="27"/>
    <x v="24"/>
    <x v="27"/>
    <x v="0"/>
    <x v="0"/>
    <x v="25"/>
    <x v="0"/>
    <x v="0"/>
  </r>
  <r>
    <x v="0"/>
    <n v="15.71"/>
    <x v="28"/>
    <x v="25"/>
    <x v="28"/>
    <x v="0"/>
    <x v="0"/>
    <x v="26"/>
    <x v="0"/>
    <x v="0"/>
  </r>
  <r>
    <x v="0"/>
    <n v="2.89"/>
    <x v="28"/>
    <x v="25"/>
    <x v="28"/>
    <x v="0"/>
    <x v="0"/>
    <x v="26"/>
    <x v="1"/>
    <x v="1"/>
  </r>
  <r>
    <x v="0"/>
    <n v="1.95"/>
    <x v="29"/>
    <x v="26"/>
    <x v="29"/>
    <x v="0"/>
    <x v="0"/>
    <x v="27"/>
    <x v="0"/>
    <x v="0"/>
  </r>
  <r>
    <x v="0"/>
    <n v="11.4"/>
    <x v="30"/>
    <x v="27"/>
    <x v="30"/>
    <x v="0"/>
    <x v="0"/>
    <x v="28"/>
    <x v="0"/>
    <x v="0"/>
  </r>
  <r>
    <x v="0"/>
    <n v="2.41"/>
    <x v="31"/>
    <x v="28"/>
    <x v="31"/>
    <x v="0"/>
    <x v="0"/>
    <x v="29"/>
    <x v="0"/>
    <x v="0"/>
  </r>
  <r>
    <x v="0"/>
    <n v="2.2599999999999998"/>
    <x v="32"/>
    <x v="29"/>
    <x v="32"/>
    <x v="0"/>
    <x v="0"/>
    <x v="30"/>
    <x v="0"/>
    <x v="0"/>
  </r>
  <r>
    <x v="0"/>
    <n v="2.6"/>
    <x v="33"/>
    <x v="30"/>
    <x v="33"/>
    <x v="0"/>
    <x v="0"/>
    <x v="31"/>
    <x v="0"/>
    <x v="0"/>
  </r>
  <r>
    <x v="0"/>
    <n v="2.2000000000000002"/>
    <x v="33"/>
    <x v="30"/>
    <x v="33"/>
    <x v="0"/>
    <x v="0"/>
    <x v="31"/>
    <x v="1"/>
    <x v="1"/>
  </r>
  <r>
    <x v="0"/>
    <n v="3.8"/>
    <x v="34"/>
    <x v="31"/>
    <x v="34"/>
    <x v="0"/>
    <x v="0"/>
    <x v="32"/>
    <x v="0"/>
    <x v="0"/>
  </r>
  <r>
    <x v="0"/>
    <n v="2.4900000000000002"/>
    <x v="35"/>
    <x v="32"/>
    <x v="35"/>
    <x v="0"/>
    <x v="0"/>
    <x v="33"/>
    <x v="0"/>
    <x v="0"/>
  </r>
  <r>
    <x v="0"/>
    <n v="0.54"/>
    <x v="35"/>
    <x v="32"/>
    <x v="35"/>
    <x v="0"/>
    <x v="0"/>
    <x v="33"/>
    <x v="1"/>
    <x v="1"/>
  </r>
  <r>
    <x v="0"/>
    <n v="1.98"/>
    <x v="36"/>
    <x v="33"/>
    <x v="36"/>
    <x v="0"/>
    <x v="0"/>
    <x v="34"/>
    <x v="0"/>
    <x v="0"/>
  </r>
  <r>
    <x v="0"/>
    <n v="4.66"/>
    <x v="37"/>
    <x v="34"/>
    <x v="37"/>
    <x v="0"/>
    <x v="0"/>
    <x v="35"/>
    <x v="0"/>
    <x v="0"/>
  </r>
  <r>
    <x v="0"/>
    <n v="8.7899999999999991"/>
    <x v="38"/>
    <x v="35"/>
    <x v="38"/>
    <x v="0"/>
    <x v="0"/>
    <x v="36"/>
    <x v="0"/>
    <x v="0"/>
  </r>
  <r>
    <x v="0"/>
    <n v="5.08"/>
    <x v="38"/>
    <x v="35"/>
    <x v="38"/>
    <x v="0"/>
    <x v="0"/>
    <x v="36"/>
    <x v="1"/>
    <x v="1"/>
  </r>
  <r>
    <x v="0"/>
    <n v="3.42"/>
    <x v="39"/>
    <x v="36"/>
    <x v="39"/>
    <x v="0"/>
    <x v="0"/>
    <x v="37"/>
    <x v="0"/>
    <x v="0"/>
  </r>
  <r>
    <x v="0"/>
    <n v="19.7"/>
    <x v="40"/>
    <x v="37"/>
    <x v="40"/>
    <x v="0"/>
    <x v="0"/>
    <x v="37"/>
    <x v="0"/>
    <x v="0"/>
  </r>
  <r>
    <x v="0"/>
    <n v="5.35"/>
    <x v="41"/>
    <x v="38"/>
    <x v="41"/>
    <x v="0"/>
    <x v="0"/>
    <x v="37"/>
    <x v="0"/>
    <x v="0"/>
  </r>
  <r>
    <x v="0"/>
    <n v="7.0000000000000007E-2"/>
    <x v="40"/>
    <x v="37"/>
    <x v="40"/>
    <x v="0"/>
    <x v="0"/>
    <x v="37"/>
    <x v="1"/>
    <x v="1"/>
  </r>
  <r>
    <x v="0"/>
    <n v="2.0699999999999998"/>
    <x v="42"/>
    <x v="39"/>
    <x v="42"/>
    <x v="0"/>
    <x v="0"/>
    <x v="38"/>
    <x v="0"/>
    <x v="0"/>
  </r>
  <r>
    <x v="0"/>
    <n v="3.55"/>
    <x v="43"/>
    <x v="6"/>
    <x v="43"/>
    <x v="0"/>
    <x v="0"/>
    <x v="39"/>
    <x v="0"/>
    <x v="0"/>
  </r>
  <r>
    <x v="0"/>
    <n v="0.04"/>
    <x v="43"/>
    <x v="6"/>
    <x v="43"/>
    <x v="0"/>
    <x v="0"/>
    <x v="39"/>
    <x v="1"/>
    <x v="1"/>
  </r>
  <r>
    <x v="0"/>
    <n v="2.44"/>
    <x v="44"/>
    <x v="40"/>
    <x v="44"/>
    <x v="0"/>
    <x v="0"/>
    <x v="40"/>
    <x v="0"/>
    <x v="0"/>
  </r>
  <r>
    <x v="0"/>
    <n v="2.3199999999999998"/>
    <x v="45"/>
    <x v="41"/>
    <x v="45"/>
    <x v="0"/>
    <x v="0"/>
    <x v="40"/>
    <x v="0"/>
    <x v="0"/>
  </r>
  <r>
    <x v="0"/>
    <n v="1.96"/>
    <x v="46"/>
    <x v="42"/>
    <x v="46"/>
    <x v="0"/>
    <x v="0"/>
    <x v="40"/>
    <x v="0"/>
    <x v="0"/>
  </r>
  <r>
    <x v="0"/>
    <n v="29.61"/>
    <x v="47"/>
    <x v="43"/>
    <x v="47"/>
    <x v="0"/>
    <x v="0"/>
    <x v="40"/>
    <x v="0"/>
    <x v="0"/>
  </r>
  <r>
    <x v="0"/>
    <n v="0.12"/>
    <x v="44"/>
    <x v="40"/>
    <x v="44"/>
    <x v="0"/>
    <x v="0"/>
    <x v="40"/>
    <x v="1"/>
    <x v="1"/>
  </r>
  <r>
    <x v="0"/>
    <n v="39.659999999999997"/>
    <x v="47"/>
    <x v="43"/>
    <x v="47"/>
    <x v="0"/>
    <x v="0"/>
    <x v="40"/>
    <x v="1"/>
    <x v="1"/>
  </r>
  <r>
    <x v="0"/>
    <n v="18.09"/>
    <x v="48"/>
    <x v="44"/>
    <x v="48"/>
    <x v="0"/>
    <x v="0"/>
    <x v="41"/>
    <x v="0"/>
    <x v="0"/>
  </r>
  <r>
    <x v="0"/>
    <n v="3.27"/>
    <x v="48"/>
    <x v="44"/>
    <x v="48"/>
    <x v="0"/>
    <x v="0"/>
    <x v="41"/>
    <x v="1"/>
    <x v="1"/>
  </r>
  <r>
    <x v="0"/>
    <n v="2.63"/>
    <x v="49"/>
    <x v="45"/>
    <x v="49"/>
    <x v="0"/>
    <x v="0"/>
    <x v="42"/>
    <x v="0"/>
    <x v="0"/>
  </r>
  <r>
    <x v="0"/>
    <n v="0.14000000000000001"/>
    <x v="49"/>
    <x v="45"/>
    <x v="49"/>
    <x v="0"/>
    <x v="0"/>
    <x v="42"/>
    <x v="1"/>
    <x v="1"/>
  </r>
  <r>
    <x v="0"/>
    <n v="10.47"/>
    <x v="50"/>
    <x v="46"/>
    <x v="50"/>
    <x v="0"/>
    <x v="0"/>
    <x v="43"/>
    <x v="0"/>
    <x v="0"/>
  </r>
  <r>
    <x v="0"/>
    <n v="2.79"/>
    <x v="50"/>
    <x v="46"/>
    <x v="50"/>
    <x v="0"/>
    <x v="0"/>
    <x v="43"/>
    <x v="1"/>
    <x v="1"/>
  </r>
  <r>
    <x v="0"/>
    <n v="5.84"/>
    <x v="51"/>
    <x v="47"/>
    <x v="51"/>
    <x v="0"/>
    <x v="0"/>
    <x v="44"/>
    <x v="0"/>
    <x v="0"/>
  </r>
  <r>
    <x v="0"/>
    <n v="0.05"/>
    <x v="51"/>
    <x v="47"/>
    <x v="51"/>
    <x v="0"/>
    <x v="0"/>
    <x v="44"/>
    <x v="1"/>
    <x v="1"/>
  </r>
  <r>
    <x v="0"/>
    <n v="1.92"/>
    <x v="52"/>
    <x v="48"/>
    <x v="52"/>
    <x v="0"/>
    <x v="0"/>
    <x v="45"/>
    <x v="0"/>
    <x v="0"/>
  </r>
  <r>
    <x v="0"/>
    <n v="1.97"/>
    <x v="53"/>
    <x v="49"/>
    <x v="53"/>
    <x v="0"/>
    <x v="0"/>
    <x v="46"/>
    <x v="0"/>
    <x v="0"/>
  </r>
  <r>
    <x v="0"/>
    <n v="16.329999999999998"/>
    <x v="54"/>
    <x v="6"/>
    <x v="54"/>
    <x v="0"/>
    <x v="0"/>
    <x v="47"/>
    <x v="0"/>
    <x v="0"/>
  </r>
  <r>
    <x v="0"/>
    <n v="286.39"/>
    <x v="55"/>
    <x v="6"/>
    <x v="55"/>
    <x v="0"/>
    <x v="0"/>
    <x v="47"/>
    <x v="0"/>
    <x v="0"/>
  </r>
  <r>
    <x v="0"/>
    <n v="2.82"/>
    <x v="56"/>
    <x v="50"/>
    <x v="56"/>
    <x v="0"/>
    <x v="0"/>
    <x v="47"/>
    <x v="0"/>
    <x v="0"/>
  </r>
  <r>
    <x v="0"/>
    <n v="547.96"/>
    <x v="57"/>
    <x v="51"/>
    <x v="57"/>
    <x v="0"/>
    <x v="0"/>
    <x v="47"/>
    <x v="0"/>
    <x v="0"/>
  </r>
  <r>
    <x v="0"/>
    <n v="7.46"/>
    <x v="58"/>
    <x v="52"/>
    <x v="58"/>
    <x v="0"/>
    <x v="0"/>
    <x v="47"/>
    <x v="0"/>
    <x v="0"/>
  </r>
  <r>
    <x v="0"/>
    <n v="2.19"/>
    <x v="59"/>
    <x v="53"/>
    <x v="59"/>
    <x v="0"/>
    <x v="0"/>
    <x v="47"/>
    <x v="0"/>
    <x v="0"/>
  </r>
  <r>
    <x v="0"/>
    <n v="12.38"/>
    <x v="60"/>
    <x v="54"/>
    <x v="60"/>
    <x v="0"/>
    <x v="0"/>
    <x v="47"/>
    <x v="0"/>
    <x v="0"/>
  </r>
  <r>
    <x v="0"/>
    <n v="21.1"/>
    <x v="61"/>
    <x v="55"/>
    <x v="61"/>
    <x v="0"/>
    <x v="0"/>
    <x v="47"/>
    <x v="0"/>
    <x v="0"/>
  </r>
  <r>
    <x v="0"/>
    <n v="2.16"/>
    <x v="62"/>
    <x v="56"/>
    <x v="62"/>
    <x v="0"/>
    <x v="0"/>
    <x v="47"/>
    <x v="0"/>
    <x v="0"/>
  </r>
  <r>
    <x v="0"/>
    <n v="31.73"/>
    <x v="54"/>
    <x v="6"/>
    <x v="54"/>
    <x v="0"/>
    <x v="0"/>
    <x v="47"/>
    <x v="1"/>
    <x v="1"/>
  </r>
  <r>
    <x v="0"/>
    <n v="1.29"/>
    <x v="55"/>
    <x v="6"/>
    <x v="55"/>
    <x v="0"/>
    <x v="0"/>
    <x v="47"/>
    <x v="1"/>
    <x v="1"/>
  </r>
  <r>
    <x v="0"/>
    <n v="132.16999999999999"/>
    <x v="57"/>
    <x v="51"/>
    <x v="57"/>
    <x v="0"/>
    <x v="0"/>
    <x v="47"/>
    <x v="1"/>
    <x v="1"/>
  </r>
  <r>
    <x v="0"/>
    <n v="2.76"/>
    <x v="58"/>
    <x v="52"/>
    <x v="58"/>
    <x v="0"/>
    <x v="0"/>
    <x v="47"/>
    <x v="1"/>
    <x v="1"/>
  </r>
  <r>
    <x v="0"/>
    <n v="1.34"/>
    <x v="59"/>
    <x v="53"/>
    <x v="59"/>
    <x v="0"/>
    <x v="0"/>
    <x v="47"/>
    <x v="1"/>
    <x v="1"/>
  </r>
  <r>
    <x v="0"/>
    <n v="2.5499999999999998"/>
    <x v="60"/>
    <x v="54"/>
    <x v="60"/>
    <x v="0"/>
    <x v="0"/>
    <x v="47"/>
    <x v="1"/>
    <x v="1"/>
  </r>
  <r>
    <x v="0"/>
    <n v="14.72"/>
    <x v="61"/>
    <x v="55"/>
    <x v="61"/>
    <x v="0"/>
    <x v="0"/>
    <x v="47"/>
    <x v="1"/>
    <x v="1"/>
  </r>
  <r>
    <x v="0"/>
    <n v="21.03"/>
    <x v="63"/>
    <x v="6"/>
    <x v="63"/>
    <x v="0"/>
    <x v="0"/>
    <x v="48"/>
    <x v="0"/>
    <x v="0"/>
  </r>
  <r>
    <x v="0"/>
    <n v="30.81"/>
    <x v="64"/>
    <x v="57"/>
    <x v="64"/>
    <x v="0"/>
    <x v="0"/>
    <x v="48"/>
    <x v="0"/>
    <x v="0"/>
  </r>
  <r>
    <x v="0"/>
    <n v="1.1599999999999999"/>
    <x v="63"/>
    <x v="6"/>
    <x v="63"/>
    <x v="0"/>
    <x v="0"/>
    <x v="48"/>
    <x v="1"/>
    <x v="1"/>
  </r>
  <r>
    <x v="0"/>
    <n v="2.19"/>
    <x v="64"/>
    <x v="57"/>
    <x v="64"/>
    <x v="0"/>
    <x v="0"/>
    <x v="48"/>
    <x v="1"/>
    <x v="1"/>
  </r>
  <r>
    <x v="0"/>
    <n v="2.3199999999999998"/>
    <x v="65"/>
    <x v="58"/>
    <x v="65"/>
    <x v="0"/>
    <x v="0"/>
    <x v="49"/>
    <x v="0"/>
    <x v="0"/>
  </r>
  <r>
    <x v="0"/>
    <n v="4.0599999999999996"/>
    <x v="66"/>
    <x v="6"/>
    <x v="66"/>
    <x v="0"/>
    <x v="0"/>
    <x v="50"/>
    <x v="0"/>
    <x v="0"/>
  </r>
  <r>
    <x v="0"/>
    <n v="4.13"/>
    <x v="67"/>
    <x v="59"/>
    <x v="67"/>
    <x v="0"/>
    <x v="0"/>
    <x v="51"/>
    <x v="0"/>
    <x v="0"/>
  </r>
  <r>
    <x v="0"/>
    <n v="8.15"/>
    <x v="67"/>
    <x v="59"/>
    <x v="67"/>
    <x v="0"/>
    <x v="0"/>
    <x v="51"/>
    <x v="1"/>
    <x v="1"/>
  </r>
  <r>
    <x v="0"/>
    <n v="31.25"/>
    <x v="68"/>
    <x v="60"/>
    <x v="68"/>
    <x v="0"/>
    <x v="0"/>
    <x v="52"/>
    <x v="0"/>
    <x v="0"/>
  </r>
  <r>
    <x v="0"/>
    <n v="11.35"/>
    <x v="68"/>
    <x v="60"/>
    <x v="68"/>
    <x v="0"/>
    <x v="0"/>
    <x v="52"/>
    <x v="1"/>
    <x v="1"/>
  </r>
  <r>
    <x v="0"/>
    <n v="3.75"/>
    <x v="69"/>
    <x v="61"/>
    <x v="69"/>
    <x v="0"/>
    <x v="0"/>
    <x v="53"/>
    <x v="0"/>
    <x v="0"/>
  </r>
  <r>
    <x v="0"/>
    <n v="0.14000000000000001"/>
    <x v="69"/>
    <x v="61"/>
    <x v="69"/>
    <x v="0"/>
    <x v="0"/>
    <x v="53"/>
    <x v="1"/>
    <x v="1"/>
  </r>
  <r>
    <x v="0"/>
    <n v="11.8"/>
    <x v="70"/>
    <x v="62"/>
    <x v="70"/>
    <x v="0"/>
    <x v="0"/>
    <x v="54"/>
    <x v="0"/>
    <x v="0"/>
  </r>
  <r>
    <x v="0"/>
    <n v="18.79"/>
    <x v="70"/>
    <x v="62"/>
    <x v="70"/>
    <x v="0"/>
    <x v="0"/>
    <x v="54"/>
    <x v="1"/>
    <x v="1"/>
  </r>
  <r>
    <x v="0"/>
    <n v="15.46"/>
    <x v="71"/>
    <x v="63"/>
    <x v="71"/>
    <x v="0"/>
    <x v="0"/>
    <x v="55"/>
    <x v="0"/>
    <x v="0"/>
  </r>
  <r>
    <x v="0"/>
    <n v="3.29"/>
    <x v="72"/>
    <x v="64"/>
    <x v="72"/>
    <x v="0"/>
    <x v="0"/>
    <x v="56"/>
    <x v="0"/>
    <x v="0"/>
  </r>
  <r>
    <x v="0"/>
    <n v="0.41"/>
    <x v="72"/>
    <x v="64"/>
    <x v="72"/>
    <x v="0"/>
    <x v="0"/>
    <x v="56"/>
    <x v="1"/>
    <x v="1"/>
  </r>
  <r>
    <x v="0"/>
    <n v="19.46"/>
    <x v="73"/>
    <x v="65"/>
    <x v="73"/>
    <x v="0"/>
    <x v="0"/>
    <x v="57"/>
    <x v="0"/>
    <x v="0"/>
  </r>
  <r>
    <x v="0"/>
    <n v="1.92"/>
    <x v="74"/>
    <x v="66"/>
    <x v="74"/>
    <x v="0"/>
    <x v="0"/>
    <x v="58"/>
    <x v="0"/>
    <x v="0"/>
  </r>
  <r>
    <x v="0"/>
    <n v="1.92"/>
    <x v="75"/>
    <x v="67"/>
    <x v="75"/>
    <x v="0"/>
    <x v="0"/>
    <x v="58"/>
    <x v="0"/>
    <x v="0"/>
  </r>
  <r>
    <x v="0"/>
    <n v="4.05"/>
    <x v="76"/>
    <x v="68"/>
    <x v="76"/>
    <x v="0"/>
    <x v="0"/>
    <x v="59"/>
    <x v="0"/>
    <x v="0"/>
  </r>
  <r>
    <x v="0"/>
    <n v="0.01"/>
    <x v="76"/>
    <x v="68"/>
    <x v="76"/>
    <x v="0"/>
    <x v="0"/>
    <x v="59"/>
    <x v="1"/>
    <x v="1"/>
  </r>
  <r>
    <x v="0"/>
    <n v="3.42"/>
    <x v="77"/>
    <x v="69"/>
    <x v="77"/>
    <x v="0"/>
    <x v="0"/>
    <x v="60"/>
    <x v="0"/>
    <x v="0"/>
  </r>
  <r>
    <x v="0"/>
    <n v="0.12"/>
    <x v="77"/>
    <x v="69"/>
    <x v="77"/>
    <x v="0"/>
    <x v="0"/>
    <x v="60"/>
    <x v="1"/>
    <x v="1"/>
  </r>
  <r>
    <x v="0"/>
    <n v="5.39"/>
    <x v="78"/>
    <x v="70"/>
    <x v="78"/>
    <x v="0"/>
    <x v="0"/>
    <x v="61"/>
    <x v="0"/>
    <x v="0"/>
  </r>
  <r>
    <x v="0"/>
    <n v="43.66"/>
    <x v="79"/>
    <x v="71"/>
    <x v="79"/>
    <x v="0"/>
    <x v="0"/>
    <x v="61"/>
    <x v="0"/>
    <x v="0"/>
  </r>
  <r>
    <x v="0"/>
    <n v="5.95"/>
    <x v="78"/>
    <x v="70"/>
    <x v="78"/>
    <x v="0"/>
    <x v="0"/>
    <x v="61"/>
    <x v="1"/>
    <x v="1"/>
  </r>
  <r>
    <x v="0"/>
    <n v="2.74"/>
    <x v="80"/>
    <x v="72"/>
    <x v="80"/>
    <x v="0"/>
    <x v="0"/>
    <x v="62"/>
    <x v="0"/>
    <x v="0"/>
  </r>
  <r>
    <x v="0"/>
    <n v="50.42"/>
    <x v="81"/>
    <x v="73"/>
    <x v="81"/>
    <x v="0"/>
    <x v="0"/>
    <x v="63"/>
    <x v="0"/>
    <x v="0"/>
  </r>
  <r>
    <x v="0"/>
    <n v="6.89"/>
    <x v="81"/>
    <x v="73"/>
    <x v="81"/>
    <x v="0"/>
    <x v="0"/>
    <x v="63"/>
    <x v="1"/>
    <x v="1"/>
  </r>
  <r>
    <x v="0"/>
    <n v="8.27"/>
    <x v="82"/>
    <x v="74"/>
    <x v="82"/>
    <x v="0"/>
    <x v="0"/>
    <x v="64"/>
    <x v="0"/>
    <x v="0"/>
  </r>
  <r>
    <x v="0"/>
    <n v="3.88"/>
    <x v="82"/>
    <x v="74"/>
    <x v="82"/>
    <x v="0"/>
    <x v="0"/>
    <x v="64"/>
    <x v="1"/>
    <x v="1"/>
  </r>
  <r>
    <x v="0"/>
    <n v="2.74"/>
    <x v="83"/>
    <x v="75"/>
    <x v="83"/>
    <x v="0"/>
    <x v="0"/>
    <x v="65"/>
    <x v="0"/>
    <x v="0"/>
  </r>
  <r>
    <x v="0"/>
    <n v="1.92"/>
    <x v="84"/>
    <x v="76"/>
    <x v="84"/>
    <x v="0"/>
    <x v="0"/>
    <x v="66"/>
    <x v="0"/>
    <x v="0"/>
  </r>
  <r>
    <x v="0"/>
    <n v="7.92"/>
    <x v="85"/>
    <x v="77"/>
    <x v="85"/>
    <x v="0"/>
    <x v="0"/>
    <x v="67"/>
    <x v="0"/>
    <x v="0"/>
  </r>
  <r>
    <x v="0"/>
    <n v="2.79"/>
    <x v="85"/>
    <x v="77"/>
    <x v="85"/>
    <x v="0"/>
    <x v="0"/>
    <x v="67"/>
    <x v="1"/>
    <x v="1"/>
  </r>
  <r>
    <x v="0"/>
    <n v="2.77"/>
    <x v="86"/>
    <x v="78"/>
    <x v="86"/>
    <x v="0"/>
    <x v="0"/>
    <x v="68"/>
    <x v="0"/>
    <x v="0"/>
  </r>
  <r>
    <x v="0"/>
    <n v="2.2400000000000002"/>
    <x v="87"/>
    <x v="79"/>
    <x v="87"/>
    <x v="0"/>
    <x v="0"/>
    <x v="69"/>
    <x v="0"/>
    <x v="0"/>
  </r>
  <r>
    <x v="0"/>
    <n v="18.43"/>
    <x v="88"/>
    <x v="80"/>
    <x v="88"/>
    <x v="0"/>
    <x v="0"/>
    <x v="70"/>
    <x v="0"/>
    <x v="0"/>
  </r>
  <r>
    <x v="0"/>
    <n v="11.52"/>
    <x v="89"/>
    <x v="81"/>
    <x v="89"/>
    <x v="0"/>
    <x v="0"/>
    <x v="71"/>
    <x v="0"/>
    <x v="0"/>
  </r>
  <r>
    <x v="0"/>
    <n v="40.57"/>
    <x v="89"/>
    <x v="81"/>
    <x v="89"/>
    <x v="0"/>
    <x v="0"/>
    <x v="71"/>
    <x v="1"/>
    <x v="1"/>
  </r>
  <r>
    <x v="0"/>
    <n v="4.05"/>
    <x v="90"/>
    <x v="82"/>
    <x v="90"/>
    <x v="0"/>
    <x v="0"/>
    <x v="72"/>
    <x v="0"/>
    <x v="0"/>
  </r>
  <r>
    <x v="0"/>
    <n v="12.78"/>
    <x v="91"/>
    <x v="83"/>
    <x v="91"/>
    <x v="0"/>
    <x v="0"/>
    <x v="73"/>
    <x v="0"/>
    <x v="0"/>
  </r>
  <r>
    <x v="0"/>
    <n v="3.63"/>
    <x v="92"/>
    <x v="84"/>
    <x v="92"/>
    <x v="0"/>
    <x v="0"/>
    <x v="74"/>
    <x v="0"/>
    <x v="0"/>
  </r>
  <r>
    <x v="0"/>
    <n v="0.06"/>
    <x v="92"/>
    <x v="84"/>
    <x v="92"/>
    <x v="0"/>
    <x v="0"/>
    <x v="74"/>
    <x v="1"/>
    <x v="1"/>
  </r>
  <r>
    <x v="0"/>
    <n v="2.4700000000000002"/>
    <x v="93"/>
    <x v="85"/>
    <x v="93"/>
    <x v="0"/>
    <x v="0"/>
    <x v="75"/>
    <x v="0"/>
    <x v="0"/>
  </r>
  <r>
    <x v="0"/>
    <n v="0.14000000000000001"/>
    <x v="93"/>
    <x v="85"/>
    <x v="93"/>
    <x v="0"/>
    <x v="0"/>
    <x v="75"/>
    <x v="1"/>
    <x v="1"/>
  </r>
  <r>
    <x v="0"/>
    <n v="2.91"/>
    <x v="94"/>
    <x v="86"/>
    <x v="94"/>
    <x v="0"/>
    <x v="0"/>
    <x v="76"/>
    <x v="0"/>
    <x v="0"/>
  </r>
  <r>
    <x v="0"/>
    <n v="2.3199999999999998"/>
    <x v="95"/>
    <x v="87"/>
    <x v="95"/>
    <x v="0"/>
    <x v="0"/>
    <x v="77"/>
    <x v="0"/>
    <x v="0"/>
  </r>
  <r>
    <x v="0"/>
    <n v="1.92"/>
    <x v="96"/>
    <x v="88"/>
    <x v="96"/>
    <x v="0"/>
    <x v="0"/>
    <x v="78"/>
    <x v="0"/>
    <x v="0"/>
  </r>
  <r>
    <x v="0"/>
    <n v="5.94"/>
    <x v="97"/>
    <x v="89"/>
    <x v="97"/>
    <x v="0"/>
    <x v="0"/>
    <x v="79"/>
    <x v="0"/>
    <x v="0"/>
  </r>
  <r>
    <x v="0"/>
    <n v="32.25"/>
    <x v="97"/>
    <x v="89"/>
    <x v="97"/>
    <x v="0"/>
    <x v="0"/>
    <x v="79"/>
    <x v="1"/>
    <x v="1"/>
  </r>
  <r>
    <x v="0"/>
    <n v="1.67"/>
    <x v="98"/>
    <x v="6"/>
    <x v="98"/>
    <x v="0"/>
    <x v="0"/>
    <x v="80"/>
    <x v="0"/>
    <x v="0"/>
  </r>
  <r>
    <x v="0"/>
    <n v="3.71"/>
    <x v="99"/>
    <x v="90"/>
    <x v="99"/>
    <x v="0"/>
    <x v="0"/>
    <x v="80"/>
    <x v="0"/>
    <x v="0"/>
  </r>
  <r>
    <x v="0"/>
    <n v="13.13"/>
    <x v="99"/>
    <x v="90"/>
    <x v="99"/>
    <x v="0"/>
    <x v="0"/>
    <x v="80"/>
    <x v="1"/>
    <x v="1"/>
  </r>
  <r>
    <x v="0"/>
    <n v="4.87"/>
    <x v="100"/>
    <x v="91"/>
    <x v="100"/>
    <x v="0"/>
    <x v="0"/>
    <x v="81"/>
    <x v="0"/>
    <x v="0"/>
  </r>
  <r>
    <x v="0"/>
    <n v="7.27"/>
    <x v="101"/>
    <x v="92"/>
    <x v="101"/>
    <x v="0"/>
    <x v="0"/>
    <x v="82"/>
    <x v="0"/>
    <x v="0"/>
  </r>
  <r>
    <x v="0"/>
    <n v="0.12"/>
    <x v="101"/>
    <x v="92"/>
    <x v="101"/>
    <x v="0"/>
    <x v="0"/>
    <x v="82"/>
    <x v="1"/>
    <x v="1"/>
  </r>
  <r>
    <x v="0"/>
    <n v="52.08"/>
    <x v="102"/>
    <x v="93"/>
    <x v="102"/>
    <x v="0"/>
    <x v="0"/>
    <x v="83"/>
    <x v="0"/>
    <x v="0"/>
  </r>
  <r>
    <x v="0"/>
    <n v="5.27"/>
    <x v="103"/>
    <x v="94"/>
    <x v="103"/>
    <x v="0"/>
    <x v="0"/>
    <x v="84"/>
    <x v="0"/>
    <x v="0"/>
  </r>
  <r>
    <x v="0"/>
    <n v="1.39"/>
    <x v="103"/>
    <x v="94"/>
    <x v="103"/>
    <x v="0"/>
    <x v="0"/>
    <x v="84"/>
    <x v="1"/>
    <x v="1"/>
  </r>
  <r>
    <x v="0"/>
    <n v="24.62"/>
    <x v="104"/>
    <x v="95"/>
    <x v="104"/>
    <x v="0"/>
    <x v="0"/>
    <x v="85"/>
    <x v="0"/>
    <x v="0"/>
  </r>
  <r>
    <x v="0"/>
    <n v="1.92"/>
    <x v="105"/>
    <x v="96"/>
    <x v="105"/>
    <x v="0"/>
    <x v="0"/>
    <x v="86"/>
    <x v="0"/>
    <x v="0"/>
  </r>
  <r>
    <x v="0"/>
    <n v="1.92"/>
    <x v="106"/>
    <x v="97"/>
    <x v="106"/>
    <x v="0"/>
    <x v="0"/>
    <x v="87"/>
    <x v="0"/>
    <x v="0"/>
  </r>
  <r>
    <x v="0"/>
    <n v="1.1399999999999999"/>
    <x v="106"/>
    <x v="97"/>
    <x v="106"/>
    <x v="0"/>
    <x v="0"/>
    <x v="87"/>
    <x v="1"/>
    <x v="1"/>
  </r>
  <r>
    <x v="0"/>
    <n v="1.92"/>
    <x v="107"/>
    <x v="98"/>
    <x v="107"/>
    <x v="0"/>
    <x v="0"/>
    <x v="88"/>
    <x v="0"/>
    <x v="0"/>
  </r>
  <r>
    <x v="0"/>
    <n v="5.58"/>
    <x v="108"/>
    <x v="6"/>
    <x v="108"/>
    <x v="0"/>
    <x v="0"/>
    <x v="89"/>
    <x v="0"/>
    <x v="0"/>
  </r>
  <r>
    <x v="0"/>
    <n v="2.36"/>
    <x v="109"/>
    <x v="99"/>
    <x v="109"/>
    <x v="0"/>
    <x v="0"/>
    <x v="89"/>
    <x v="0"/>
    <x v="0"/>
  </r>
  <r>
    <x v="0"/>
    <n v="2.14"/>
    <x v="110"/>
    <x v="100"/>
    <x v="110"/>
    <x v="0"/>
    <x v="0"/>
    <x v="89"/>
    <x v="0"/>
    <x v="0"/>
  </r>
  <r>
    <x v="0"/>
    <n v="5.92"/>
    <x v="111"/>
    <x v="101"/>
    <x v="111"/>
    <x v="0"/>
    <x v="0"/>
    <x v="89"/>
    <x v="0"/>
    <x v="0"/>
  </r>
  <r>
    <x v="0"/>
    <n v="0.14000000000000001"/>
    <x v="108"/>
    <x v="6"/>
    <x v="108"/>
    <x v="0"/>
    <x v="0"/>
    <x v="89"/>
    <x v="1"/>
    <x v="1"/>
  </r>
  <r>
    <x v="0"/>
    <n v="0.01"/>
    <x v="109"/>
    <x v="99"/>
    <x v="109"/>
    <x v="0"/>
    <x v="0"/>
    <x v="89"/>
    <x v="1"/>
    <x v="1"/>
  </r>
  <r>
    <x v="0"/>
    <n v="14.59"/>
    <x v="112"/>
    <x v="102"/>
    <x v="112"/>
    <x v="0"/>
    <x v="0"/>
    <x v="90"/>
    <x v="0"/>
    <x v="0"/>
  </r>
  <r>
    <x v="0"/>
    <n v="1.92"/>
    <x v="113"/>
    <x v="103"/>
    <x v="113"/>
    <x v="0"/>
    <x v="0"/>
    <x v="91"/>
    <x v="0"/>
    <x v="0"/>
  </r>
  <r>
    <x v="0"/>
    <n v="7.06"/>
    <x v="114"/>
    <x v="104"/>
    <x v="114"/>
    <x v="0"/>
    <x v="0"/>
    <x v="92"/>
    <x v="0"/>
    <x v="0"/>
  </r>
  <r>
    <x v="0"/>
    <n v="0.01"/>
    <x v="114"/>
    <x v="104"/>
    <x v="114"/>
    <x v="0"/>
    <x v="0"/>
    <x v="92"/>
    <x v="1"/>
    <x v="1"/>
  </r>
  <r>
    <x v="0"/>
    <n v="19.48"/>
    <x v="115"/>
    <x v="105"/>
    <x v="115"/>
    <x v="0"/>
    <x v="0"/>
    <x v="93"/>
    <x v="0"/>
    <x v="0"/>
  </r>
  <r>
    <x v="0"/>
    <n v="0.56000000000000005"/>
    <x v="115"/>
    <x v="105"/>
    <x v="115"/>
    <x v="0"/>
    <x v="0"/>
    <x v="93"/>
    <x v="1"/>
    <x v="1"/>
  </r>
  <r>
    <x v="0"/>
    <n v="2.44"/>
    <x v="116"/>
    <x v="106"/>
    <x v="116"/>
    <x v="0"/>
    <x v="0"/>
    <x v="94"/>
    <x v="0"/>
    <x v="0"/>
  </r>
  <r>
    <x v="0"/>
    <n v="14.98"/>
    <x v="116"/>
    <x v="106"/>
    <x v="116"/>
    <x v="0"/>
    <x v="0"/>
    <x v="94"/>
    <x v="1"/>
    <x v="1"/>
  </r>
  <r>
    <x v="0"/>
    <n v="2.02"/>
    <x v="117"/>
    <x v="107"/>
    <x v="117"/>
    <x v="0"/>
    <x v="0"/>
    <x v="95"/>
    <x v="0"/>
    <x v="0"/>
  </r>
  <r>
    <x v="0"/>
    <n v="64.19"/>
    <x v="118"/>
    <x v="108"/>
    <x v="118"/>
    <x v="0"/>
    <x v="0"/>
    <x v="96"/>
    <x v="0"/>
    <x v="0"/>
  </r>
  <r>
    <x v="0"/>
    <n v="22.82"/>
    <x v="118"/>
    <x v="108"/>
    <x v="118"/>
    <x v="0"/>
    <x v="0"/>
    <x v="96"/>
    <x v="1"/>
    <x v="1"/>
  </r>
  <r>
    <x v="0"/>
    <n v="6.95"/>
    <x v="119"/>
    <x v="109"/>
    <x v="119"/>
    <x v="0"/>
    <x v="0"/>
    <x v="97"/>
    <x v="0"/>
    <x v="0"/>
  </r>
  <r>
    <x v="0"/>
    <n v="2.81"/>
    <x v="120"/>
    <x v="110"/>
    <x v="120"/>
    <x v="0"/>
    <x v="0"/>
    <x v="98"/>
    <x v="0"/>
    <x v="0"/>
  </r>
  <r>
    <x v="0"/>
    <n v="1.92"/>
    <x v="121"/>
    <x v="111"/>
    <x v="121"/>
    <x v="0"/>
    <x v="0"/>
    <x v="99"/>
    <x v="0"/>
    <x v="0"/>
  </r>
  <r>
    <x v="0"/>
    <n v="2.0699999999999998"/>
    <x v="122"/>
    <x v="112"/>
    <x v="122"/>
    <x v="0"/>
    <x v="0"/>
    <x v="100"/>
    <x v="0"/>
    <x v="0"/>
  </r>
  <r>
    <x v="0"/>
    <n v="2.74"/>
    <x v="123"/>
    <x v="113"/>
    <x v="123"/>
    <x v="0"/>
    <x v="0"/>
    <x v="101"/>
    <x v="0"/>
    <x v="0"/>
  </r>
  <r>
    <x v="0"/>
    <n v="3.92"/>
    <x v="124"/>
    <x v="114"/>
    <x v="124"/>
    <x v="0"/>
    <x v="0"/>
    <x v="101"/>
    <x v="0"/>
    <x v="0"/>
  </r>
  <r>
    <x v="0"/>
    <n v="2.1"/>
    <x v="125"/>
    <x v="115"/>
    <x v="125"/>
    <x v="0"/>
    <x v="0"/>
    <x v="102"/>
    <x v="0"/>
    <x v="0"/>
  </r>
  <r>
    <x v="0"/>
    <n v="4.72"/>
    <x v="126"/>
    <x v="116"/>
    <x v="126"/>
    <x v="0"/>
    <x v="0"/>
    <x v="103"/>
    <x v="0"/>
    <x v="0"/>
  </r>
  <r>
    <x v="0"/>
    <n v="2.19"/>
    <x v="127"/>
    <x v="117"/>
    <x v="127"/>
    <x v="0"/>
    <x v="0"/>
    <x v="104"/>
    <x v="0"/>
    <x v="0"/>
  </r>
  <r>
    <x v="0"/>
    <n v="0.01"/>
    <x v="127"/>
    <x v="117"/>
    <x v="127"/>
    <x v="0"/>
    <x v="0"/>
    <x v="104"/>
    <x v="1"/>
    <x v="1"/>
  </r>
  <r>
    <x v="0"/>
    <n v="1.92"/>
    <x v="128"/>
    <x v="118"/>
    <x v="128"/>
    <x v="0"/>
    <x v="0"/>
    <x v="105"/>
    <x v="0"/>
    <x v="0"/>
  </r>
  <r>
    <x v="0"/>
    <n v="94.76"/>
    <x v="129"/>
    <x v="119"/>
    <x v="129"/>
    <x v="0"/>
    <x v="0"/>
    <x v="106"/>
    <x v="0"/>
    <x v="0"/>
  </r>
  <r>
    <x v="0"/>
    <n v="34.840000000000003"/>
    <x v="130"/>
    <x v="120"/>
    <x v="130"/>
    <x v="0"/>
    <x v="0"/>
    <x v="106"/>
    <x v="0"/>
    <x v="0"/>
  </r>
  <r>
    <x v="0"/>
    <n v="38.28"/>
    <x v="129"/>
    <x v="119"/>
    <x v="129"/>
    <x v="0"/>
    <x v="0"/>
    <x v="106"/>
    <x v="1"/>
    <x v="1"/>
  </r>
  <r>
    <x v="0"/>
    <n v="20.84"/>
    <x v="130"/>
    <x v="120"/>
    <x v="130"/>
    <x v="0"/>
    <x v="0"/>
    <x v="106"/>
    <x v="1"/>
    <x v="1"/>
  </r>
  <r>
    <x v="0"/>
    <n v="2.42"/>
    <x v="131"/>
    <x v="121"/>
    <x v="131"/>
    <x v="0"/>
    <x v="0"/>
    <x v="107"/>
    <x v="0"/>
    <x v="0"/>
  </r>
  <r>
    <x v="0"/>
    <n v="73.459999999999994"/>
    <x v="132"/>
    <x v="122"/>
    <x v="132"/>
    <x v="0"/>
    <x v="0"/>
    <x v="108"/>
    <x v="0"/>
    <x v="0"/>
  </r>
  <r>
    <x v="0"/>
    <n v="2.52"/>
    <x v="132"/>
    <x v="122"/>
    <x v="132"/>
    <x v="0"/>
    <x v="0"/>
    <x v="108"/>
    <x v="1"/>
    <x v="1"/>
  </r>
  <r>
    <x v="0"/>
    <n v="4.0199999999999996"/>
    <x v="133"/>
    <x v="123"/>
    <x v="132"/>
    <x v="0"/>
    <x v="0"/>
    <x v="109"/>
    <x v="0"/>
    <x v="0"/>
  </r>
  <r>
    <x v="0"/>
    <n v="2.82"/>
    <x v="134"/>
    <x v="124"/>
    <x v="133"/>
    <x v="0"/>
    <x v="0"/>
    <x v="110"/>
    <x v="0"/>
    <x v="0"/>
  </r>
  <r>
    <x v="0"/>
    <n v="0"/>
    <x v="134"/>
    <x v="124"/>
    <x v="133"/>
    <x v="0"/>
    <x v="0"/>
    <x v="110"/>
    <x v="1"/>
    <x v="1"/>
  </r>
  <r>
    <x v="0"/>
    <n v="19.5"/>
    <x v="135"/>
    <x v="6"/>
    <x v="134"/>
    <x v="0"/>
    <x v="0"/>
    <x v="111"/>
    <x v="0"/>
    <x v="0"/>
  </r>
  <r>
    <x v="0"/>
    <n v="121.97"/>
    <x v="136"/>
    <x v="125"/>
    <x v="135"/>
    <x v="0"/>
    <x v="0"/>
    <x v="111"/>
    <x v="0"/>
    <x v="0"/>
  </r>
  <r>
    <x v="0"/>
    <n v="130.77000000000001"/>
    <x v="137"/>
    <x v="126"/>
    <x v="136"/>
    <x v="0"/>
    <x v="0"/>
    <x v="111"/>
    <x v="0"/>
    <x v="0"/>
  </r>
  <r>
    <x v="0"/>
    <n v="4.75"/>
    <x v="135"/>
    <x v="6"/>
    <x v="134"/>
    <x v="0"/>
    <x v="0"/>
    <x v="111"/>
    <x v="1"/>
    <x v="1"/>
  </r>
  <r>
    <x v="0"/>
    <n v="20.3"/>
    <x v="136"/>
    <x v="125"/>
    <x v="135"/>
    <x v="0"/>
    <x v="0"/>
    <x v="111"/>
    <x v="1"/>
    <x v="1"/>
  </r>
  <r>
    <x v="0"/>
    <n v="25.85"/>
    <x v="137"/>
    <x v="126"/>
    <x v="136"/>
    <x v="0"/>
    <x v="0"/>
    <x v="111"/>
    <x v="1"/>
    <x v="1"/>
  </r>
  <r>
    <x v="0"/>
    <n v="33.19"/>
    <x v="138"/>
    <x v="127"/>
    <x v="137"/>
    <x v="0"/>
    <x v="0"/>
    <x v="112"/>
    <x v="0"/>
    <x v="0"/>
  </r>
  <r>
    <x v="0"/>
    <n v="6.28"/>
    <x v="139"/>
    <x v="128"/>
    <x v="138"/>
    <x v="0"/>
    <x v="0"/>
    <x v="113"/>
    <x v="0"/>
    <x v="0"/>
  </r>
  <r>
    <x v="0"/>
    <n v="4.1100000000000003"/>
    <x v="139"/>
    <x v="128"/>
    <x v="138"/>
    <x v="0"/>
    <x v="0"/>
    <x v="113"/>
    <x v="1"/>
    <x v="1"/>
  </r>
  <r>
    <x v="0"/>
    <n v="47.55"/>
    <x v="140"/>
    <x v="129"/>
    <x v="139"/>
    <x v="0"/>
    <x v="0"/>
    <x v="114"/>
    <x v="0"/>
    <x v="0"/>
  </r>
  <r>
    <x v="0"/>
    <n v="52.62"/>
    <x v="140"/>
    <x v="129"/>
    <x v="139"/>
    <x v="0"/>
    <x v="0"/>
    <x v="114"/>
    <x v="1"/>
    <x v="1"/>
  </r>
  <r>
    <x v="0"/>
    <n v="9.36"/>
    <x v="141"/>
    <x v="130"/>
    <x v="140"/>
    <x v="0"/>
    <x v="0"/>
    <x v="115"/>
    <x v="0"/>
    <x v="0"/>
  </r>
  <r>
    <x v="0"/>
    <n v="1.29"/>
    <x v="141"/>
    <x v="130"/>
    <x v="140"/>
    <x v="0"/>
    <x v="0"/>
    <x v="115"/>
    <x v="1"/>
    <x v="1"/>
  </r>
  <r>
    <x v="0"/>
    <n v="3.87"/>
    <x v="142"/>
    <x v="131"/>
    <x v="141"/>
    <x v="0"/>
    <x v="0"/>
    <x v="116"/>
    <x v="0"/>
    <x v="0"/>
  </r>
  <r>
    <x v="0"/>
    <n v="16.239999999999998"/>
    <x v="142"/>
    <x v="131"/>
    <x v="141"/>
    <x v="0"/>
    <x v="0"/>
    <x v="116"/>
    <x v="1"/>
    <x v="1"/>
  </r>
  <r>
    <x v="0"/>
    <n v="2.21"/>
    <x v="143"/>
    <x v="132"/>
    <x v="142"/>
    <x v="0"/>
    <x v="0"/>
    <x v="117"/>
    <x v="0"/>
    <x v="0"/>
  </r>
  <r>
    <x v="0"/>
    <n v="0.39"/>
    <x v="143"/>
    <x v="132"/>
    <x v="142"/>
    <x v="0"/>
    <x v="0"/>
    <x v="117"/>
    <x v="1"/>
    <x v="1"/>
  </r>
  <r>
    <x v="0"/>
    <n v="2.74"/>
    <x v="144"/>
    <x v="133"/>
    <x v="143"/>
    <x v="0"/>
    <x v="0"/>
    <x v="118"/>
    <x v="0"/>
    <x v="0"/>
  </r>
  <r>
    <x v="0"/>
    <n v="148.21"/>
    <x v="145"/>
    <x v="6"/>
    <x v="144"/>
    <x v="0"/>
    <x v="0"/>
    <x v="119"/>
    <x v="0"/>
    <x v="0"/>
  </r>
  <r>
    <x v="0"/>
    <n v="6.9"/>
    <x v="146"/>
    <x v="134"/>
    <x v="145"/>
    <x v="0"/>
    <x v="0"/>
    <x v="120"/>
    <x v="0"/>
    <x v="0"/>
  </r>
  <r>
    <x v="0"/>
    <n v="0.05"/>
    <x v="146"/>
    <x v="134"/>
    <x v="145"/>
    <x v="0"/>
    <x v="0"/>
    <x v="120"/>
    <x v="1"/>
    <x v="1"/>
  </r>
  <r>
    <x v="0"/>
    <n v="122.47"/>
    <x v="147"/>
    <x v="135"/>
    <x v="146"/>
    <x v="0"/>
    <x v="0"/>
    <x v="121"/>
    <x v="0"/>
    <x v="0"/>
  </r>
  <r>
    <x v="0"/>
    <n v="10.25"/>
    <x v="147"/>
    <x v="135"/>
    <x v="146"/>
    <x v="0"/>
    <x v="0"/>
    <x v="121"/>
    <x v="1"/>
    <x v="1"/>
  </r>
  <r>
    <x v="0"/>
    <n v="14.5"/>
    <x v="148"/>
    <x v="6"/>
    <x v="147"/>
    <x v="0"/>
    <x v="0"/>
    <x v="122"/>
    <x v="0"/>
    <x v="0"/>
  </r>
  <r>
    <x v="0"/>
    <n v="4.6500000000000004"/>
    <x v="148"/>
    <x v="6"/>
    <x v="147"/>
    <x v="0"/>
    <x v="0"/>
    <x v="122"/>
    <x v="1"/>
    <x v="1"/>
  </r>
  <r>
    <x v="0"/>
    <n v="11.11"/>
    <x v="149"/>
    <x v="136"/>
    <x v="148"/>
    <x v="0"/>
    <x v="0"/>
    <x v="123"/>
    <x v="0"/>
    <x v="0"/>
  </r>
  <r>
    <x v="0"/>
    <n v="28.91"/>
    <x v="149"/>
    <x v="136"/>
    <x v="148"/>
    <x v="0"/>
    <x v="0"/>
    <x v="123"/>
    <x v="1"/>
    <x v="1"/>
  </r>
  <r>
    <x v="0"/>
    <n v="3.08"/>
    <x v="150"/>
    <x v="137"/>
    <x v="149"/>
    <x v="0"/>
    <x v="0"/>
    <x v="124"/>
    <x v="0"/>
    <x v="0"/>
  </r>
  <r>
    <x v="0"/>
    <n v="0.12"/>
    <x v="150"/>
    <x v="137"/>
    <x v="149"/>
    <x v="0"/>
    <x v="0"/>
    <x v="124"/>
    <x v="1"/>
    <x v="1"/>
  </r>
  <r>
    <x v="0"/>
    <n v="2.98"/>
    <x v="151"/>
    <x v="138"/>
    <x v="150"/>
    <x v="0"/>
    <x v="0"/>
    <x v="125"/>
    <x v="0"/>
    <x v="0"/>
  </r>
  <r>
    <x v="0"/>
    <n v="184.44"/>
    <x v="152"/>
    <x v="139"/>
    <x v="151"/>
    <x v="0"/>
    <x v="0"/>
    <x v="126"/>
    <x v="0"/>
    <x v="0"/>
  </r>
  <r>
    <x v="0"/>
    <n v="138.68"/>
    <x v="152"/>
    <x v="139"/>
    <x v="151"/>
    <x v="0"/>
    <x v="0"/>
    <x v="126"/>
    <x v="1"/>
    <x v="1"/>
  </r>
  <r>
    <x v="0"/>
    <n v="1.92"/>
    <x v="153"/>
    <x v="140"/>
    <x v="152"/>
    <x v="0"/>
    <x v="0"/>
    <x v="127"/>
    <x v="0"/>
    <x v="0"/>
  </r>
  <r>
    <x v="0"/>
    <n v="2.02"/>
    <x v="154"/>
    <x v="141"/>
    <x v="153"/>
    <x v="0"/>
    <x v="0"/>
    <x v="128"/>
    <x v="0"/>
    <x v="0"/>
  </r>
  <r>
    <x v="0"/>
    <n v="1.92"/>
    <x v="155"/>
    <x v="142"/>
    <x v="154"/>
    <x v="0"/>
    <x v="0"/>
    <x v="129"/>
    <x v="0"/>
    <x v="0"/>
  </r>
  <r>
    <x v="0"/>
    <n v="1.92"/>
    <x v="156"/>
    <x v="143"/>
    <x v="155"/>
    <x v="0"/>
    <x v="0"/>
    <x v="130"/>
    <x v="0"/>
    <x v="0"/>
  </r>
  <r>
    <x v="0"/>
    <n v="4.22"/>
    <x v="157"/>
    <x v="144"/>
    <x v="156"/>
    <x v="0"/>
    <x v="0"/>
    <x v="131"/>
    <x v="0"/>
    <x v="0"/>
  </r>
  <r>
    <x v="0"/>
    <n v="1.92"/>
    <x v="158"/>
    <x v="145"/>
    <x v="157"/>
    <x v="0"/>
    <x v="0"/>
    <x v="132"/>
    <x v="0"/>
    <x v="0"/>
  </r>
  <r>
    <x v="0"/>
    <n v="2.3199999999999998"/>
    <x v="159"/>
    <x v="146"/>
    <x v="158"/>
    <x v="0"/>
    <x v="0"/>
    <x v="133"/>
    <x v="0"/>
    <x v="0"/>
  </r>
  <r>
    <x v="0"/>
    <n v="16.29"/>
    <x v="160"/>
    <x v="147"/>
    <x v="159"/>
    <x v="0"/>
    <x v="0"/>
    <x v="134"/>
    <x v="0"/>
    <x v="0"/>
  </r>
  <r>
    <x v="0"/>
    <n v="0.01"/>
    <x v="160"/>
    <x v="147"/>
    <x v="159"/>
    <x v="0"/>
    <x v="0"/>
    <x v="134"/>
    <x v="1"/>
    <x v="1"/>
  </r>
  <r>
    <x v="0"/>
    <n v="9.06"/>
    <x v="161"/>
    <x v="148"/>
    <x v="160"/>
    <x v="0"/>
    <x v="0"/>
    <x v="135"/>
    <x v="0"/>
    <x v="0"/>
  </r>
  <r>
    <x v="0"/>
    <n v="7.75"/>
    <x v="162"/>
    <x v="149"/>
    <x v="161"/>
    <x v="0"/>
    <x v="0"/>
    <x v="136"/>
    <x v="0"/>
    <x v="0"/>
  </r>
  <r>
    <x v="0"/>
    <n v="1.23"/>
    <x v="162"/>
    <x v="149"/>
    <x v="161"/>
    <x v="0"/>
    <x v="0"/>
    <x v="136"/>
    <x v="1"/>
    <x v="1"/>
  </r>
  <r>
    <x v="0"/>
    <n v="11.31"/>
    <x v="163"/>
    <x v="150"/>
    <x v="162"/>
    <x v="0"/>
    <x v="0"/>
    <x v="137"/>
    <x v="0"/>
    <x v="0"/>
  </r>
  <r>
    <x v="0"/>
    <n v="0.6"/>
    <x v="163"/>
    <x v="150"/>
    <x v="162"/>
    <x v="0"/>
    <x v="0"/>
    <x v="137"/>
    <x v="1"/>
    <x v="1"/>
  </r>
  <r>
    <x v="0"/>
    <n v="4.28"/>
    <x v="164"/>
    <x v="151"/>
    <x v="163"/>
    <x v="0"/>
    <x v="0"/>
    <x v="138"/>
    <x v="0"/>
    <x v="0"/>
  </r>
  <r>
    <x v="0"/>
    <n v="0.51"/>
    <x v="164"/>
    <x v="151"/>
    <x v="163"/>
    <x v="0"/>
    <x v="0"/>
    <x v="138"/>
    <x v="1"/>
    <x v="1"/>
  </r>
  <r>
    <x v="0"/>
    <n v="23.52"/>
    <x v="165"/>
    <x v="152"/>
    <x v="164"/>
    <x v="0"/>
    <x v="0"/>
    <x v="139"/>
    <x v="0"/>
    <x v="0"/>
  </r>
  <r>
    <x v="0"/>
    <n v="12.04"/>
    <x v="165"/>
    <x v="152"/>
    <x v="164"/>
    <x v="0"/>
    <x v="0"/>
    <x v="139"/>
    <x v="1"/>
    <x v="1"/>
  </r>
  <r>
    <x v="0"/>
    <n v="4.12"/>
    <x v="166"/>
    <x v="6"/>
    <x v="165"/>
    <x v="0"/>
    <x v="0"/>
    <x v="140"/>
    <x v="0"/>
    <x v="0"/>
  </r>
  <r>
    <x v="0"/>
    <n v="6.17"/>
    <x v="166"/>
    <x v="6"/>
    <x v="165"/>
    <x v="0"/>
    <x v="0"/>
    <x v="140"/>
    <x v="1"/>
    <x v="1"/>
  </r>
  <r>
    <x v="0"/>
    <n v="4.0199999999999996"/>
    <x v="167"/>
    <x v="153"/>
    <x v="166"/>
    <x v="0"/>
    <x v="0"/>
    <x v="141"/>
    <x v="0"/>
    <x v="0"/>
  </r>
  <r>
    <x v="0"/>
    <n v="1.99"/>
    <x v="168"/>
    <x v="154"/>
    <x v="167"/>
    <x v="0"/>
    <x v="0"/>
    <x v="142"/>
    <x v="0"/>
    <x v="0"/>
  </r>
  <r>
    <x v="0"/>
    <n v="7.85"/>
    <x v="169"/>
    <x v="155"/>
    <x v="168"/>
    <x v="0"/>
    <x v="0"/>
    <x v="143"/>
    <x v="0"/>
    <x v="0"/>
  </r>
  <r>
    <x v="0"/>
    <n v="2.3199999999999998"/>
    <x v="170"/>
    <x v="156"/>
    <x v="169"/>
    <x v="0"/>
    <x v="0"/>
    <x v="144"/>
    <x v="0"/>
    <x v="0"/>
  </r>
  <r>
    <x v="0"/>
    <n v="29.62"/>
    <x v="171"/>
    <x v="157"/>
    <x v="170"/>
    <x v="0"/>
    <x v="0"/>
    <x v="145"/>
    <x v="0"/>
    <x v="0"/>
  </r>
  <r>
    <x v="0"/>
    <n v="7"/>
    <x v="171"/>
    <x v="157"/>
    <x v="170"/>
    <x v="0"/>
    <x v="0"/>
    <x v="145"/>
    <x v="1"/>
    <x v="1"/>
  </r>
  <r>
    <x v="0"/>
    <n v="18.059999999999999"/>
    <x v="172"/>
    <x v="158"/>
    <x v="171"/>
    <x v="0"/>
    <x v="0"/>
    <x v="146"/>
    <x v="0"/>
    <x v="0"/>
  </r>
  <r>
    <x v="0"/>
    <n v="2.08"/>
    <x v="173"/>
    <x v="159"/>
    <x v="172"/>
    <x v="0"/>
    <x v="0"/>
    <x v="147"/>
    <x v="0"/>
    <x v="0"/>
  </r>
  <r>
    <x v="0"/>
    <n v="2.69"/>
    <x v="174"/>
    <x v="160"/>
    <x v="173"/>
    <x v="0"/>
    <x v="0"/>
    <x v="148"/>
    <x v="0"/>
    <x v="0"/>
  </r>
  <r>
    <x v="0"/>
    <n v="3.13"/>
    <x v="175"/>
    <x v="161"/>
    <x v="174"/>
    <x v="0"/>
    <x v="0"/>
    <x v="149"/>
    <x v="0"/>
    <x v="0"/>
  </r>
  <r>
    <x v="0"/>
    <n v="3.05"/>
    <x v="176"/>
    <x v="162"/>
    <x v="175"/>
    <x v="0"/>
    <x v="0"/>
    <x v="150"/>
    <x v="0"/>
    <x v="0"/>
  </r>
  <r>
    <x v="0"/>
    <n v="0.04"/>
    <x v="176"/>
    <x v="162"/>
    <x v="175"/>
    <x v="0"/>
    <x v="0"/>
    <x v="150"/>
    <x v="1"/>
    <x v="1"/>
  </r>
  <r>
    <x v="0"/>
    <n v="21.12"/>
    <x v="177"/>
    <x v="163"/>
    <x v="176"/>
    <x v="0"/>
    <x v="0"/>
    <x v="151"/>
    <x v="0"/>
    <x v="0"/>
  </r>
  <r>
    <x v="0"/>
    <n v="1.97"/>
    <x v="178"/>
    <x v="164"/>
    <x v="177"/>
    <x v="0"/>
    <x v="0"/>
    <x v="151"/>
    <x v="0"/>
    <x v="0"/>
  </r>
  <r>
    <x v="0"/>
    <n v="2.1800000000000002"/>
    <x v="179"/>
    <x v="165"/>
    <x v="178"/>
    <x v="0"/>
    <x v="0"/>
    <x v="152"/>
    <x v="0"/>
    <x v="0"/>
  </r>
  <r>
    <x v="0"/>
    <n v="2.08"/>
    <x v="180"/>
    <x v="166"/>
    <x v="179"/>
    <x v="0"/>
    <x v="0"/>
    <x v="152"/>
    <x v="0"/>
    <x v="0"/>
  </r>
  <r>
    <x v="0"/>
    <n v="7.56"/>
    <x v="181"/>
    <x v="167"/>
    <x v="180"/>
    <x v="0"/>
    <x v="0"/>
    <x v="152"/>
    <x v="0"/>
    <x v="0"/>
  </r>
  <r>
    <x v="0"/>
    <n v="37.549999999999997"/>
    <x v="182"/>
    <x v="168"/>
    <x v="181"/>
    <x v="0"/>
    <x v="0"/>
    <x v="153"/>
    <x v="0"/>
    <x v="0"/>
  </r>
  <r>
    <x v="0"/>
    <n v="9.6199999999999992"/>
    <x v="183"/>
    <x v="169"/>
    <x v="182"/>
    <x v="0"/>
    <x v="0"/>
    <x v="154"/>
    <x v="0"/>
    <x v="0"/>
  </r>
  <r>
    <x v="0"/>
    <n v="0.16"/>
    <x v="183"/>
    <x v="169"/>
    <x v="182"/>
    <x v="0"/>
    <x v="0"/>
    <x v="154"/>
    <x v="1"/>
    <x v="1"/>
  </r>
  <r>
    <x v="0"/>
    <n v="8.44"/>
    <x v="184"/>
    <x v="170"/>
    <x v="183"/>
    <x v="0"/>
    <x v="0"/>
    <x v="155"/>
    <x v="0"/>
    <x v="0"/>
  </r>
  <r>
    <x v="0"/>
    <n v="2.79"/>
    <x v="184"/>
    <x v="170"/>
    <x v="183"/>
    <x v="0"/>
    <x v="0"/>
    <x v="155"/>
    <x v="1"/>
    <x v="1"/>
  </r>
  <r>
    <x v="0"/>
    <n v="2.3199999999999998"/>
    <x v="185"/>
    <x v="171"/>
    <x v="184"/>
    <x v="0"/>
    <x v="0"/>
    <x v="156"/>
    <x v="0"/>
    <x v="0"/>
  </r>
  <r>
    <x v="0"/>
    <n v="29.56"/>
    <x v="186"/>
    <x v="172"/>
    <x v="185"/>
    <x v="0"/>
    <x v="0"/>
    <x v="157"/>
    <x v="0"/>
    <x v="0"/>
  </r>
  <r>
    <x v="0"/>
    <n v="10"/>
    <x v="186"/>
    <x v="172"/>
    <x v="185"/>
    <x v="0"/>
    <x v="0"/>
    <x v="157"/>
    <x v="1"/>
    <x v="1"/>
  </r>
  <r>
    <x v="0"/>
    <n v="34.869999999999997"/>
    <x v="187"/>
    <x v="173"/>
    <x v="186"/>
    <x v="0"/>
    <x v="0"/>
    <x v="158"/>
    <x v="0"/>
    <x v="0"/>
  </r>
  <r>
    <x v="0"/>
    <n v="30.56"/>
    <x v="188"/>
    <x v="174"/>
    <x v="187"/>
    <x v="0"/>
    <x v="0"/>
    <x v="158"/>
    <x v="0"/>
    <x v="0"/>
  </r>
  <r>
    <x v="0"/>
    <n v="8.16"/>
    <x v="189"/>
    <x v="175"/>
    <x v="188"/>
    <x v="0"/>
    <x v="0"/>
    <x v="158"/>
    <x v="0"/>
    <x v="0"/>
  </r>
  <r>
    <x v="0"/>
    <n v="7.28"/>
    <x v="190"/>
    <x v="176"/>
    <x v="189"/>
    <x v="0"/>
    <x v="0"/>
    <x v="158"/>
    <x v="0"/>
    <x v="0"/>
  </r>
  <r>
    <x v="0"/>
    <n v="6.21"/>
    <x v="187"/>
    <x v="173"/>
    <x v="186"/>
    <x v="0"/>
    <x v="0"/>
    <x v="158"/>
    <x v="1"/>
    <x v="1"/>
  </r>
  <r>
    <x v="0"/>
    <n v="0.63"/>
    <x v="189"/>
    <x v="175"/>
    <x v="188"/>
    <x v="0"/>
    <x v="0"/>
    <x v="158"/>
    <x v="1"/>
    <x v="1"/>
  </r>
  <r>
    <x v="0"/>
    <n v="0.02"/>
    <x v="190"/>
    <x v="176"/>
    <x v="189"/>
    <x v="0"/>
    <x v="0"/>
    <x v="158"/>
    <x v="1"/>
    <x v="1"/>
  </r>
  <r>
    <x v="0"/>
    <n v="3.93"/>
    <x v="191"/>
    <x v="177"/>
    <x v="190"/>
    <x v="0"/>
    <x v="0"/>
    <x v="159"/>
    <x v="0"/>
    <x v="0"/>
  </r>
  <r>
    <x v="0"/>
    <n v="0.64"/>
    <x v="191"/>
    <x v="177"/>
    <x v="190"/>
    <x v="0"/>
    <x v="0"/>
    <x v="159"/>
    <x v="1"/>
    <x v="1"/>
  </r>
  <r>
    <x v="0"/>
    <n v="2.0299999999999998"/>
    <x v="192"/>
    <x v="178"/>
    <x v="191"/>
    <x v="0"/>
    <x v="0"/>
    <x v="160"/>
    <x v="0"/>
    <x v="0"/>
  </r>
  <r>
    <x v="0"/>
    <n v="2.5299999999999998"/>
    <x v="193"/>
    <x v="179"/>
    <x v="192"/>
    <x v="0"/>
    <x v="0"/>
    <x v="161"/>
    <x v="0"/>
    <x v="0"/>
  </r>
  <r>
    <x v="0"/>
    <n v="0.02"/>
    <x v="193"/>
    <x v="179"/>
    <x v="192"/>
    <x v="0"/>
    <x v="0"/>
    <x v="161"/>
    <x v="1"/>
    <x v="1"/>
  </r>
  <r>
    <x v="0"/>
    <n v="16.170000000000002"/>
    <x v="194"/>
    <x v="180"/>
    <x v="193"/>
    <x v="0"/>
    <x v="0"/>
    <x v="162"/>
    <x v="0"/>
    <x v="0"/>
  </r>
  <r>
    <x v="0"/>
    <n v="2.25"/>
    <x v="194"/>
    <x v="180"/>
    <x v="193"/>
    <x v="0"/>
    <x v="0"/>
    <x v="162"/>
    <x v="1"/>
    <x v="1"/>
  </r>
  <r>
    <x v="0"/>
    <n v="25.23"/>
    <x v="195"/>
    <x v="181"/>
    <x v="194"/>
    <x v="0"/>
    <x v="0"/>
    <x v="163"/>
    <x v="0"/>
    <x v="0"/>
  </r>
  <r>
    <x v="0"/>
    <n v="22.62"/>
    <x v="195"/>
    <x v="181"/>
    <x v="194"/>
    <x v="0"/>
    <x v="0"/>
    <x v="163"/>
    <x v="1"/>
    <x v="1"/>
  </r>
  <r>
    <x v="0"/>
    <n v="2.21"/>
    <x v="196"/>
    <x v="182"/>
    <x v="195"/>
    <x v="0"/>
    <x v="0"/>
    <x v="164"/>
    <x v="0"/>
    <x v="0"/>
  </r>
  <r>
    <x v="0"/>
    <n v="2.52"/>
    <x v="197"/>
    <x v="183"/>
    <x v="196"/>
    <x v="0"/>
    <x v="0"/>
    <x v="165"/>
    <x v="0"/>
    <x v="0"/>
  </r>
  <r>
    <x v="0"/>
    <n v="1.92"/>
    <x v="198"/>
    <x v="184"/>
    <x v="197"/>
    <x v="0"/>
    <x v="0"/>
    <x v="166"/>
    <x v="0"/>
    <x v="0"/>
  </r>
  <r>
    <x v="0"/>
    <n v="14.25"/>
    <x v="199"/>
    <x v="185"/>
    <x v="198"/>
    <x v="0"/>
    <x v="0"/>
    <x v="167"/>
    <x v="0"/>
    <x v="0"/>
  </r>
  <r>
    <x v="0"/>
    <n v="22.06"/>
    <x v="199"/>
    <x v="185"/>
    <x v="198"/>
    <x v="0"/>
    <x v="0"/>
    <x v="167"/>
    <x v="1"/>
    <x v="1"/>
  </r>
  <r>
    <x v="0"/>
    <n v="40.03"/>
    <x v="200"/>
    <x v="186"/>
    <x v="199"/>
    <x v="0"/>
    <x v="0"/>
    <x v="168"/>
    <x v="0"/>
    <x v="0"/>
  </r>
  <r>
    <x v="0"/>
    <n v="1.92"/>
    <x v="201"/>
    <x v="187"/>
    <x v="200"/>
    <x v="0"/>
    <x v="0"/>
    <x v="168"/>
    <x v="0"/>
    <x v="0"/>
  </r>
  <r>
    <x v="0"/>
    <n v="2.2799999999999998"/>
    <x v="200"/>
    <x v="186"/>
    <x v="199"/>
    <x v="0"/>
    <x v="0"/>
    <x v="168"/>
    <x v="1"/>
    <x v="1"/>
  </r>
  <r>
    <x v="0"/>
    <n v="13.89"/>
    <x v="202"/>
    <x v="188"/>
    <x v="201"/>
    <x v="0"/>
    <x v="0"/>
    <x v="169"/>
    <x v="0"/>
    <x v="0"/>
  </r>
  <r>
    <x v="0"/>
    <n v="16.28"/>
    <x v="202"/>
    <x v="188"/>
    <x v="201"/>
    <x v="0"/>
    <x v="0"/>
    <x v="169"/>
    <x v="1"/>
    <x v="1"/>
  </r>
  <r>
    <x v="0"/>
    <n v="2.86"/>
    <x v="203"/>
    <x v="189"/>
    <x v="202"/>
    <x v="0"/>
    <x v="0"/>
    <x v="170"/>
    <x v="0"/>
    <x v="0"/>
  </r>
  <r>
    <x v="0"/>
    <n v="8.49"/>
    <x v="204"/>
    <x v="190"/>
    <x v="203"/>
    <x v="0"/>
    <x v="0"/>
    <x v="171"/>
    <x v="0"/>
    <x v="0"/>
  </r>
  <r>
    <x v="0"/>
    <n v="1.92"/>
    <x v="205"/>
    <x v="191"/>
    <x v="204"/>
    <x v="0"/>
    <x v="0"/>
    <x v="172"/>
    <x v="0"/>
    <x v="0"/>
  </r>
  <r>
    <x v="0"/>
    <n v="3.12"/>
    <x v="205"/>
    <x v="191"/>
    <x v="204"/>
    <x v="0"/>
    <x v="0"/>
    <x v="172"/>
    <x v="1"/>
    <x v="1"/>
  </r>
  <r>
    <x v="0"/>
    <n v="5.63"/>
    <x v="206"/>
    <x v="6"/>
    <x v="205"/>
    <x v="0"/>
    <x v="0"/>
    <x v="173"/>
    <x v="0"/>
    <x v="0"/>
  </r>
  <r>
    <x v="0"/>
    <n v="1.93"/>
    <x v="207"/>
    <x v="192"/>
    <x v="206"/>
    <x v="0"/>
    <x v="0"/>
    <x v="174"/>
    <x v="0"/>
    <x v="0"/>
  </r>
  <r>
    <x v="0"/>
    <n v="2.78"/>
    <x v="208"/>
    <x v="193"/>
    <x v="207"/>
    <x v="0"/>
    <x v="0"/>
    <x v="175"/>
    <x v="0"/>
    <x v="0"/>
  </r>
  <r>
    <x v="0"/>
    <n v="5.1100000000000003"/>
    <x v="209"/>
    <x v="194"/>
    <x v="208"/>
    <x v="0"/>
    <x v="0"/>
    <x v="176"/>
    <x v="0"/>
    <x v="0"/>
  </r>
  <r>
    <x v="0"/>
    <n v="5.16"/>
    <x v="210"/>
    <x v="6"/>
    <x v="209"/>
    <x v="0"/>
    <x v="0"/>
    <x v="177"/>
    <x v="0"/>
    <x v="0"/>
  </r>
  <r>
    <x v="0"/>
    <n v="2.0099999999999998"/>
    <x v="210"/>
    <x v="6"/>
    <x v="209"/>
    <x v="0"/>
    <x v="0"/>
    <x v="177"/>
    <x v="1"/>
    <x v="1"/>
  </r>
  <r>
    <x v="0"/>
    <n v="3.84"/>
    <x v="211"/>
    <x v="195"/>
    <x v="210"/>
    <x v="0"/>
    <x v="0"/>
    <x v="178"/>
    <x v="0"/>
    <x v="0"/>
  </r>
  <r>
    <x v="0"/>
    <n v="0.35"/>
    <x v="211"/>
    <x v="195"/>
    <x v="210"/>
    <x v="0"/>
    <x v="0"/>
    <x v="178"/>
    <x v="1"/>
    <x v="1"/>
  </r>
  <r>
    <x v="0"/>
    <n v="3.84"/>
    <x v="212"/>
    <x v="196"/>
    <x v="211"/>
    <x v="0"/>
    <x v="0"/>
    <x v="179"/>
    <x v="0"/>
    <x v="0"/>
  </r>
  <r>
    <x v="0"/>
    <n v="2.0299999999999998"/>
    <x v="213"/>
    <x v="197"/>
    <x v="212"/>
    <x v="0"/>
    <x v="0"/>
    <x v="180"/>
    <x v="0"/>
    <x v="0"/>
  </r>
  <r>
    <x v="0"/>
    <n v="2.42"/>
    <x v="214"/>
    <x v="198"/>
    <x v="213"/>
    <x v="0"/>
    <x v="0"/>
    <x v="181"/>
    <x v="0"/>
    <x v="0"/>
  </r>
  <r>
    <x v="0"/>
    <n v="1.92"/>
    <x v="215"/>
    <x v="199"/>
    <x v="214"/>
    <x v="0"/>
    <x v="0"/>
    <x v="181"/>
    <x v="0"/>
    <x v="0"/>
  </r>
  <r>
    <x v="0"/>
    <n v="2.2799999999999998"/>
    <x v="216"/>
    <x v="200"/>
    <x v="215"/>
    <x v="0"/>
    <x v="0"/>
    <x v="182"/>
    <x v="0"/>
    <x v="0"/>
  </r>
  <r>
    <x v="0"/>
    <n v="5.88"/>
    <x v="217"/>
    <x v="201"/>
    <x v="216"/>
    <x v="0"/>
    <x v="0"/>
    <x v="183"/>
    <x v="0"/>
    <x v="0"/>
  </r>
  <r>
    <x v="0"/>
    <n v="0.7"/>
    <x v="217"/>
    <x v="201"/>
    <x v="216"/>
    <x v="0"/>
    <x v="0"/>
    <x v="183"/>
    <x v="1"/>
    <x v="1"/>
  </r>
  <r>
    <x v="0"/>
    <n v="7.3"/>
    <x v="218"/>
    <x v="202"/>
    <x v="217"/>
    <x v="0"/>
    <x v="0"/>
    <x v="184"/>
    <x v="0"/>
    <x v="0"/>
  </r>
  <r>
    <x v="0"/>
    <n v="2.52"/>
    <x v="218"/>
    <x v="202"/>
    <x v="217"/>
    <x v="0"/>
    <x v="0"/>
    <x v="184"/>
    <x v="1"/>
    <x v="1"/>
  </r>
  <r>
    <x v="0"/>
    <n v="11.47"/>
    <x v="219"/>
    <x v="6"/>
    <x v="218"/>
    <x v="0"/>
    <x v="0"/>
    <x v="185"/>
    <x v="0"/>
    <x v="0"/>
  </r>
  <r>
    <x v="0"/>
    <n v="2.33"/>
    <x v="219"/>
    <x v="6"/>
    <x v="218"/>
    <x v="0"/>
    <x v="0"/>
    <x v="185"/>
    <x v="1"/>
    <x v="1"/>
  </r>
  <r>
    <x v="0"/>
    <n v="28.65"/>
    <x v="220"/>
    <x v="203"/>
    <x v="219"/>
    <x v="0"/>
    <x v="0"/>
    <x v="186"/>
    <x v="0"/>
    <x v="0"/>
  </r>
  <r>
    <x v="0"/>
    <n v="51.66"/>
    <x v="220"/>
    <x v="203"/>
    <x v="219"/>
    <x v="0"/>
    <x v="0"/>
    <x v="186"/>
    <x v="1"/>
    <x v="1"/>
  </r>
  <r>
    <x v="0"/>
    <n v="1.92"/>
    <x v="221"/>
    <x v="204"/>
    <x v="220"/>
    <x v="0"/>
    <x v="0"/>
    <x v="187"/>
    <x v="0"/>
    <x v="0"/>
  </r>
  <r>
    <x v="0"/>
    <n v="1.92"/>
    <x v="222"/>
    <x v="205"/>
    <x v="221"/>
    <x v="0"/>
    <x v="0"/>
    <x v="188"/>
    <x v="0"/>
    <x v="0"/>
  </r>
  <r>
    <x v="0"/>
    <n v="63.03"/>
    <x v="223"/>
    <x v="206"/>
    <x v="222"/>
    <x v="0"/>
    <x v="0"/>
    <x v="189"/>
    <x v="0"/>
    <x v="0"/>
  </r>
  <r>
    <x v="0"/>
    <n v="6.89"/>
    <x v="224"/>
    <x v="207"/>
    <x v="223"/>
    <x v="0"/>
    <x v="0"/>
    <x v="190"/>
    <x v="0"/>
    <x v="0"/>
  </r>
  <r>
    <x v="0"/>
    <n v="2.44"/>
    <x v="225"/>
    <x v="208"/>
    <x v="224"/>
    <x v="0"/>
    <x v="0"/>
    <x v="191"/>
    <x v="0"/>
    <x v="0"/>
  </r>
  <r>
    <x v="0"/>
    <n v="10.97"/>
    <x v="226"/>
    <x v="209"/>
    <x v="225"/>
    <x v="0"/>
    <x v="0"/>
    <x v="192"/>
    <x v="0"/>
    <x v="0"/>
  </r>
  <r>
    <x v="0"/>
    <n v="0.18"/>
    <x v="226"/>
    <x v="209"/>
    <x v="225"/>
    <x v="0"/>
    <x v="0"/>
    <x v="192"/>
    <x v="1"/>
    <x v="1"/>
  </r>
  <r>
    <x v="0"/>
    <n v="26.55"/>
    <x v="227"/>
    <x v="210"/>
    <x v="226"/>
    <x v="0"/>
    <x v="0"/>
    <x v="193"/>
    <x v="0"/>
    <x v="0"/>
  </r>
  <r>
    <x v="0"/>
    <n v="0.16"/>
    <x v="227"/>
    <x v="210"/>
    <x v="226"/>
    <x v="0"/>
    <x v="0"/>
    <x v="193"/>
    <x v="1"/>
    <x v="1"/>
  </r>
  <r>
    <x v="0"/>
    <n v="2.14"/>
    <x v="228"/>
    <x v="211"/>
    <x v="227"/>
    <x v="0"/>
    <x v="0"/>
    <x v="194"/>
    <x v="0"/>
    <x v="0"/>
  </r>
  <r>
    <x v="0"/>
    <n v="3.45"/>
    <x v="229"/>
    <x v="212"/>
    <x v="228"/>
    <x v="0"/>
    <x v="0"/>
    <x v="195"/>
    <x v="0"/>
    <x v="0"/>
  </r>
  <r>
    <x v="0"/>
    <n v="150.38999999999999"/>
    <x v="230"/>
    <x v="213"/>
    <x v="229"/>
    <x v="0"/>
    <x v="0"/>
    <x v="196"/>
    <x v="0"/>
    <x v="0"/>
  </r>
  <r>
    <x v="0"/>
    <n v="56.8"/>
    <x v="230"/>
    <x v="213"/>
    <x v="229"/>
    <x v="0"/>
    <x v="0"/>
    <x v="196"/>
    <x v="1"/>
    <x v="1"/>
  </r>
  <r>
    <x v="0"/>
    <n v="23.41"/>
    <x v="231"/>
    <x v="214"/>
    <x v="230"/>
    <x v="0"/>
    <x v="0"/>
    <x v="197"/>
    <x v="0"/>
    <x v="0"/>
  </r>
  <r>
    <x v="0"/>
    <n v="2.04"/>
    <x v="232"/>
    <x v="215"/>
    <x v="231"/>
    <x v="0"/>
    <x v="0"/>
    <x v="197"/>
    <x v="0"/>
    <x v="0"/>
  </r>
  <r>
    <x v="0"/>
    <n v="2.92"/>
    <x v="231"/>
    <x v="214"/>
    <x v="230"/>
    <x v="0"/>
    <x v="0"/>
    <x v="197"/>
    <x v="1"/>
    <x v="1"/>
  </r>
  <r>
    <x v="0"/>
    <n v="3.26"/>
    <x v="233"/>
    <x v="216"/>
    <x v="232"/>
    <x v="0"/>
    <x v="0"/>
    <x v="198"/>
    <x v="0"/>
    <x v="0"/>
  </r>
  <r>
    <x v="0"/>
    <n v="10.63"/>
    <x v="234"/>
    <x v="217"/>
    <x v="233"/>
    <x v="0"/>
    <x v="0"/>
    <x v="199"/>
    <x v="0"/>
    <x v="0"/>
  </r>
  <r>
    <x v="0"/>
    <n v="2.19"/>
    <x v="235"/>
    <x v="218"/>
    <x v="234"/>
    <x v="0"/>
    <x v="0"/>
    <x v="200"/>
    <x v="0"/>
    <x v="0"/>
  </r>
  <r>
    <x v="0"/>
    <n v="3.16"/>
    <x v="236"/>
    <x v="219"/>
    <x v="235"/>
    <x v="0"/>
    <x v="0"/>
    <x v="201"/>
    <x v="0"/>
    <x v="0"/>
  </r>
  <r>
    <x v="0"/>
    <n v="38.79"/>
    <x v="237"/>
    <x v="220"/>
    <x v="236"/>
    <x v="0"/>
    <x v="0"/>
    <x v="201"/>
    <x v="0"/>
    <x v="0"/>
  </r>
  <r>
    <x v="0"/>
    <n v="7.4"/>
    <x v="236"/>
    <x v="219"/>
    <x v="235"/>
    <x v="0"/>
    <x v="0"/>
    <x v="201"/>
    <x v="1"/>
    <x v="1"/>
  </r>
  <r>
    <x v="0"/>
    <n v="5.01"/>
    <x v="237"/>
    <x v="220"/>
    <x v="236"/>
    <x v="0"/>
    <x v="0"/>
    <x v="201"/>
    <x v="1"/>
    <x v="1"/>
  </r>
  <r>
    <x v="0"/>
    <n v="2.08"/>
    <x v="238"/>
    <x v="221"/>
    <x v="237"/>
    <x v="0"/>
    <x v="0"/>
    <x v="202"/>
    <x v="0"/>
    <x v="0"/>
  </r>
  <r>
    <x v="0"/>
    <n v="1.93"/>
    <x v="239"/>
    <x v="222"/>
    <x v="238"/>
    <x v="0"/>
    <x v="0"/>
    <x v="203"/>
    <x v="0"/>
    <x v="0"/>
  </r>
  <r>
    <x v="0"/>
    <n v="4.66"/>
    <x v="240"/>
    <x v="223"/>
    <x v="239"/>
    <x v="0"/>
    <x v="0"/>
    <x v="204"/>
    <x v="0"/>
    <x v="0"/>
  </r>
  <r>
    <x v="0"/>
    <n v="7.92"/>
    <x v="241"/>
    <x v="224"/>
    <x v="240"/>
    <x v="0"/>
    <x v="0"/>
    <x v="205"/>
    <x v="0"/>
    <x v="0"/>
  </r>
  <r>
    <x v="0"/>
    <n v="3.05"/>
    <x v="242"/>
    <x v="225"/>
    <x v="241"/>
    <x v="0"/>
    <x v="0"/>
    <x v="206"/>
    <x v="0"/>
    <x v="0"/>
  </r>
  <r>
    <x v="0"/>
    <n v="4.7699999999999996"/>
    <x v="243"/>
    <x v="226"/>
    <x v="242"/>
    <x v="0"/>
    <x v="0"/>
    <x v="207"/>
    <x v="0"/>
    <x v="0"/>
  </r>
  <r>
    <x v="0"/>
    <n v="20.16"/>
    <x v="243"/>
    <x v="226"/>
    <x v="242"/>
    <x v="0"/>
    <x v="0"/>
    <x v="207"/>
    <x v="1"/>
    <x v="1"/>
  </r>
  <r>
    <x v="0"/>
    <n v="4.2300000000000004"/>
    <x v="244"/>
    <x v="227"/>
    <x v="243"/>
    <x v="0"/>
    <x v="0"/>
    <x v="208"/>
    <x v="0"/>
    <x v="0"/>
  </r>
  <r>
    <x v="0"/>
    <n v="17.190000000000001"/>
    <x v="244"/>
    <x v="227"/>
    <x v="243"/>
    <x v="0"/>
    <x v="0"/>
    <x v="208"/>
    <x v="1"/>
    <x v="1"/>
  </r>
  <r>
    <x v="0"/>
    <n v="2.16"/>
    <x v="245"/>
    <x v="228"/>
    <x v="244"/>
    <x v="0"/>
    <x v="0"/>
    <x v="209"/>
    <x v="0"/>
    <x v="0"/>
  </r>
  <r>
    <x v="0"/>
    <n v="3.93"/>
    <x v="246"/>
    <x v="229"/>
    <x v="245"/>
    <x v="0"/>
    <x v="0"/>
    <x v="209"/>
    <x v="0"/>
    <x v="0"/>
  </r>
  <r>
    <x v="0"/>
    <n v="12.12"/>
    <x v="247"/>
    <x v="230"/>
    <x v="246"/>
    <x v="0"/>
    <x v="0"/>
    <x v="210"/>
    <x v="0"/>
    <x v="0"/>
  </r>
  <r>
    <x v="0"/>
    <n v="4.09"/>
    <x v="247"/>
    <x v="230"/>
    <x v="246"/>
    <x v="0"/>
    <x v="0"/>
    <x v="210"/>
    <x v="1"/>
    <x v="1"/>
  </r>
  <r>
    <x v="0"/>
    <n v="9.68"/>
    <x v="248"/>
    <x v="231"/>
    <x v="247"/>
    <x v="0"/>
    <x v="0"/>
    <x v="211"/>
    <x v="0"/>
    <x v="0"/>
  </r>
  <r>
    <x v="0"/>
    <n v="41.15"/>
    <x v="248"/>
    <x v="231"/>
    <x v="247"/>
    <x v="0"/>
    <x v="0"/>
    <x v="211"/>
    <x v="1"/>
    <x v="1"/>
  </r>
  <r>
    <x v="0"/>
    <n v="3"/>
    <x v="249"/>
    <x v="232"/>
    <x v="248"/>
    <x v="0"/>
    <x v="0"/>
    <x v="212"/>
    <x v="0"/>
    <x v="0"/>
  </r>
  <r>
    <x v="0"/>
    <n v="6.69"/>
    <x v="250"/>
    <x v="233"/>
    <x v="249"/>
    <x v="0"/>
    <x v="0"/>
    <x v="213"/>
    <x v="0"/>
    <x v="0"/>
  </r>
  <r>
    <x v="0"/>
    <n v="12.14"/>
    <x v="251"/>
    <x v="234"/>
    <x v="250"/>
    <x v="0"/>
    <x v="0"/>
    <x v="214"/>
    <x v="0"/>
    <x v="0"/>
  </r>
  <r>
    <x v="0"/>
    <n v="25.39"/>
    <x v="252"/>
    <x v="235"/>
    <x v="251"/>
    <x v="0"/>
    <x v="0"/>
    <x v="214"/>
    <x v="0"/>
    <x v="0"/>
  </r>
  <r>
    <x v="0"/>
    <n v="0.01"/>
    <x v="251"/>
    <x v="234"/>
    <x v="250"/>
    <x v="0"/>
    <x v="0"/>
    <x v="214"/>
    <x v="1"/>
    <x v="1"/>
  </r>
  <r>
    <x v="0"/>
    <n v="1.1599999999999999"/>
    <x v="252"/>
    <x v="235"/>
    <x v="251"/>
    <x v="0"/>
    <x v="0"/>
    <x v="214"/>
    <x v="1"/>
    <x v="1"/>
  </r>
  <r>
    <x v="0"/>
    <n v="6.28"/>
    <x v="253"/>
    <x v="236"/>
    <x v="252"/>
    <x v="0"/>
    <x v="0"/>
    <x v="215"/>
    <x v="0"/>
    <x v="0"/>
  </r>
  <r>
    <x v="0"/>
    <n v="0.04"/>
    <x v="253"/>
    <x v="236"/>
    <x v="252"/>
    <x v="0"/>
    <x v="0"/>
    <x v="215"/>
    <x v="1"/>
    <x v="1"/>
  </r>
  <r>
    <x v="0"/>
    <n v="1.92"/>
    <x v="254"/>
    <x v="237"/>
    <x v="253"/>
    <x v="0"/>
    <x v="0"/>
    <x v="216"/>
    <x v="0"/>
    <x v="0"/>
  </r>
  <r>
    <x v="0"/>
    <n v="3.62"/>
    <x v="255"/>
    <x v="238"/>
    <x v="254"/>
    <x v="0"/>
    <x v="0"/>
    <x v="217"/>
    <x v="0"/>
    <x v="0"/>
  </r>
  <r>
    <x v="0"/>
    <n v="10.93"/>
    <x v="255"/>
    <x v="238"/>
    <x v="254"/>
    <x v="0"/>
    <x v="0"/>
    <x v="217"/>
    <x v="1"/>
    <x v="1"/>
  </r>
  <r>
    <x v="0"/>
    <n v="4.33"/>
    <x v="256"/>
    <x v="239"/>
    <x v="255"/>
    <x v="0"/>
    <x v="0"/>
    <x v="218"/>
    <x v="0"/>
    <x v="0"/>
  </r>
  <r>
    <x v="0"/>
    <n v="0.6"/>
    <x v="256"/>
    <x v="239"/>
    <x v="255"/>
    <x v="0"/>
    <x v="0"/>
    <x v="218"/>
    <x v="1"/>
    <x v="1"/>
  </r>
  <r>
    <x v="0"/>
    <n v="2.3199999999999998"/>
    <x v="257"/>
    <x v="240"/>
    <x v="256"/>
    <x v="0"/>
    <x v="0"/>
    <x v="219"/>
    <x v="0"/>
    <x v="0"/>
  </r>
  <r>
    <x v="0"/>
    <n v="2.2599999999999998"/>
    <x v="258"/>
    <x v="241"/>
    <x v="257"/>
    <x v="0"/>
    <x v="0"/>
    <x v="220"/>
    <x v="0"/>
    <x v="0"/>
  </r>
  <r>
    <x v="0"/>
    <n v="5.73"/>
    <x v="259"/>
    <x v="242"/>
    <x v="258"/>
    <x v="0"/>
    <x v="0"/>
    <x v="221"/>
    <x v="0"/>
    <x v="0"/>
  </r>
  <r>
    <x v="0"/>
    <n v="0.33"/>
    <x v="259"/>
    <x v="242"/>
    <x v="258"/>
    <x v="0"/>
    <x v="0"/>
    <x v="221"/>
    <x v="1"/>
    <x v="1"/>
  </r>
  <r>
    <x v="0"/>
    <n v="7.62"/>
    <x v="260"/>
    <x v="243"/>
    <x v="259"/>
    <x v="0"/>
    <x v="0"/>
    <x v="222"/>
    <x v="0"/>
    <x v="0"/>
  </r>
  <r>
    <x v="0"/>
    <n v="5.99"/>
    <x v="261"/>
    <x v="244"/>
    <x v="260"/>
    <x v="0"/>
    <x v="0"/>
    <x v="222"/>
    <x v="0"/>
    <x v="0"/>
  </r>
  <r>
    <x v="0"/>
    <n v="12.62"/>
    <x v="262"/>
    <x v="245"/>
    <x v="261"/>
    <x v="0"/>
    <x v="0"/>
    <x v="223"/>
    <x v="0"/>
    <x v="0"/>
  </r>
  <r>
    <x v="0"/>
    <n v="12.8"/>
    <x v="263"/>
    <x v="246"/>
    <x v="262"/>
    <x v="0"/>
    <x v="0"/>
    <x v="223"/>
    <x v="0"/>
    <x v="0"/>
  </r>
  <r>
    <x v="0"/>
    <n v="1.51"/>
    <x v="262"/>
    <x v="245"/>
    <x v="261"/>
    <x v="0"/>
    <x v="0"/>
    <x v="223"/>
    <x v="1"/>
    <x v="1"/>
  </r>
  <r>
    <x v="0"/>
    <n v="11.64"/>
    <x v="264"/>
    <x v="247"/>
    <x v="263"/>
    <x v="0"/>
    <x v="0"/>
    <x v="224"/>
    <x v="0"/>
    <x v="0"/>
  </r>
  <r>
    <x v="0"/>
    <n v="3.49"/>
    <x v="264"/>
    <x v="247"/>
    <x v="263"/>
    <x v="0"/>
    <x v="0"/>
    <x v="224"/>
    <x v="1"/>
    <x v="1"/>
  </r>
  <r>
    <x v="0"/>
    <n v="2.19"/>
    <x v="265"/>
    <x v="248"/>
    <x v="264"/>
    <x v="0"/>
    <x v="0"/>
    <x v="225"/>
    <x v="0"/>
    <x v="0"/>
  </r>
  <r>
    <x v="0"/>
    <n v="3.64"/>
    <x v="265"/>
    <x v="248"/>
    <x v="264"/>
    <x v="0"/>
    <x v="0"/>
    <x v="225"/>
    <x v="1"/>
    <x v="1"/>
  </r>
  <r>
    <x v="0"/>
    <n v="4.18"/>
    <x v="266"/>
    <x v="249"/>
    <x v="265"/>
    <x v="0"/>
    <x v="0"/>
    <x v="226"/>
    <x v="0"/>
    <x v="0"/>
  </r>
  <r>
    <x v="0"/>
    <n v="6.73"/>
    <x v="267"/>
    <x v="250"/>
    <x v="266"/>
    <x v="0"/>
    <x v="0"/>
    <x v="227"/>
    <x v="0"/>
    <x v="0"/>
  </r>
  <r>
    <x v="0"/>
    <n v="0.72"/>
    <x v="267"/>
    <x v="250"/>
    <x v="266"/>
    <x v="0"/>
    <x v="0"/>
    <x v="227"/>
    <x v="1"/>
    <x v="1"/>
  </r>
  <r>
    <x v="0"/>
    <n v="2.58"/>
    <x v="268"/>
    <x v="251"/>
    <x v="267"/>
    <x v="0"/>
    <x v="0"/>
    <x v="228"/>
    <x v="0"/>
    <x v="0"/>
  </r>
  <r>
    <x v="0"/>
    <n v="0.54"/>
    <x v="268"/>
    <x v="251"/>
    <x v="267"/>
    <x v="0"/>
    <x v="0"/>
    <x v="228"/>
    <x v="1"/>
    <x v="1"/>
  </r>
  <r>
    <x v="0"/>
    <n v="2"/>
    <x v="269"/>
    <x v="252"/>
    <x v="268"/>
    <x v="0"/>
    <x v="0"/>
    <x v="229"/>
    <x v="0"/>
    <x v="0"/>
  </r>
  <r>
    <x v="0"/>
    <n v="4.3600000000000003"/>
    <x v="270"/>
    <x v="253"/>
    <x v="269"/>
    <x v="0"/>
    <x v="0"/>
    <x v="229"/>
    <x v="0"/>
    <x v="0"/>
  </r>
  <r>
    <x v="0"/>
    <n v="0.12"/>
    <x v="269"/>
    <x v="252"/>
    <x v="268"/>
    <x v="0"/>
    <x v="0"/>
    <x v="229"/>
    <x v="1"/>
    <x v="1"/>
  </r>
  <r>
    <x v="0"/>
    <n v="0.09"/>
    <x v="270"/>
    <x v="253"/>
    <x v="269"/>
    <x v="0"/>
    <x v="0"/>
    <x v="229"/>
    <x v="1"/>
    <x v="1"/>
  </r>
  <r>
    <x v="0"/>
    <n v="10.87"/>
    <x v="271"/>
    <x v="254"/>
    <x v="270"/>
    <x v="0"/>
    <x v="0"/>
    <x v="230"/>
    <x v="0"/>
    <x v="0"/>
  </r>
  <r>
    <x v="0"/>
    <n v="0.45"/>
    <x v="271"/>
    <x v="254"/>
    <x v="270"/>
    <x v="0"/>
    <x v="0"/>
    <x v="230"/>
    <x v="1"/>
    <x v="1"/>
  </r>
  <r>
    <x v="0"/>
    <n v="10.1"/>
    <x v="272"/>
    <x v="255"/>
    <x v="271"/>
    <x v="0"/>
    <x v="0"/>
    <x v="231"/>
    <x v="0"/>
    <x v="0"/>
  </r>
  <r>
    <x v="0"/>
    <n v="3.23"/>
    <x v="273"/>
    <x v="256"/>
    <x v="272"/>
    <x v="0"/>
    <x v="0"/>
    <x v="231"/>
    <x v="0"/>
    <x v="0"/>
  </r>
  <r>
    <x v="0"/>
    <n v="7.0000000000000007E-2"/>
    <x v="272"/>
    <x v="255"/>
    <x v="271"/>
    <x v="0"/>
    <x v="0"/>
    <x v="231"/>
    <x v="1"/>
    <x v="1"/>
  </r>
  <r>
    <x v="0"/>
    <n v="0.01"/>
    <x v="273"/>
    <x v="256"/>
    <x v="272"/>
    <x v="0"/>
    <x v="0"/>
    <x v="231"/>
    <x v="1"/>
    <x v="1"/>
  </r>
  <r>
    <x v="0"/>
    <n v="1.92"/>
    <x v="274"/>
    <x v="257"/>
    <x v="273"/>
    <x v="0"/>
    <x v="0"/>
    <x v="232"/>
    <x v="0"/>
    <x v="0"/>
  </r>
  <r>
    <x v="0"/>
    <n v="2.48"/>
    <x v="275"/>
    <x v="258"/>
    <x v="274"/>
    <x v="0"/>
    <x v="0"/>
    <x v="233"/>
    <x v="0"/>
    <x v="0"/>
  </r>
  <r>
    <x v="0"/>
    <n v="1.92"/>
    <x v="276"/>
    <x v="259"/>
    <x v="275"/>
    <x v="0"/>
    <x v="0"/>
    <x v="234"/>
    <x v="0"/>
    <x v="0"/>
  </r>
  <r>
    <x v="0"/>
    <n v="6.93"/>
    <x v="277"/>
    <x v="260"/>
    <x v="276"/>
    <x v="0"/>
    <x v="0"/>
    <x v="234"/>
    <x v="0"/>
    <x v="0"/>
  </r>
  <r>
    <x v="0"/>
    <n v="2.86"/>
    <x v="278"/>
    <x v="261"/>
    <x v="277"/>
    <x v="0"/>
    <x v="0"/>
    <x v="234"/>
    <x v="0"/>
    <x v="0"/>
  </r>
  <r>
    <x v="0"/>
    <n v="4.8499999999999996"/>
    <x v="277"/>
    <x v="260"/>
    <x v="276"/>
    <x v="0"/>
    <x v="0"/>
    <x v="234"/>
    <x v="1"/>
    <x v="1"/>
  </r>
  <r>
    <x v="0"/>
    <n v="4.84"/>
    <x v="278"/>
    <x v="261"/>
    <x v="277"/>
    <x v="0"/>
    <x v="0"/>
    <x v="234"/>
    <x v="1"/>
    <x v="1"/>
  </r>
  <r>
    <x v="0"/>
    <n v="1.92"/>
    <x v="279"/>
    <x v="262"/>
    <x v="278"/>
    <x v="0"/>
    <x v="0"/>
    <x v="235"/>
    <x v="0"/>
    <x v="0"/>
  </r>
  <r>
    <x v="0"/>
    <n v="1.99"/>
    <x v="280"/>
    <x v="263"/>
    <x v="279"/>
    <x v="0"/>
    <x v="0"/>
    <x v="236"/>
    <x v="0"/>
    <x v="0"/>
  </r>
  <r>
    <x v="0"/>
    <n v="6.69"/>
    <x v="280"/>
    <x v="263"/>
    <x v="279"/>
    <x v="0"/>
    <x v="0"/>
    <x v="236"/>
    <x v="1"/>
    <x v="1"/>
  </r>
  <r>
    <x v="0"/>
    <n v="2.2200000000000002"/>
    <x v="281"/>
    <x v="264"/>
    <x v="280"/>
    <x v="0"/>
    <x v="0"/>
    <x v="237"/>
    <x v="0"/>
    <x v="0"/>
  </r>
  <r>
    <x v="0"/>
    <n v="1.05"/>
    <x v="281"/>
    <x v="264"/>
    <x v="280"/>
    <x v="0"/>
    <x v="0"/>
    <x v="237"/>
    <x v="1"/>
    <x v="1"/>
  </r>
  <r>
    <x v="0"/>
    <n v="2.4700000000000002"/>
    <x v="282"/>
    <x v="265"/>
    <x v="281"/>
    <x v="0"/>
    <x v="0"/>
    <x v="238"/>
    <x v="0"/>
    <x v="0"/>
  </r>
  <r>
    <x v="0"/>
    <n v="16.27"/>
    <x v="283"/>
    <x v="266"/>
    <x v="282"/>
    <x v="0"/>
    <x v="0"/>
    <x v="239"/>
    <x v="0"/>
    <x v="0"/>
  </r>
  <r>
    <x v="0"/>
    <n v="132.88999999999999"/>
    <x v="284"/>
    <x v="267"/>
    <x v="283"/>
    <x v="0"/>
    <x v="0"/>
    <x v="240"/>
    <x v="0"/>
    <x v="0"/>
  </r>
  <r>
    <x v="0"/>
    <n v="13.97"/>
    <x v="285"/>
    <x v="268"/>
    <x v="284"/>
    <x v="0"/>
    <x v="0"/>
    <x v="240"/>
    <x v="0"/>
    <x v="0"/>
  </r>
  <r>
    <x v="0"/>
    <n v="15.7"/>
    <x v="284"/>
    <x v="267"/>
    <x v="283"/>
    <x v="0"/>
    <x v="0"/>
    <x v="240"/>
    <x v="1"/>
    <x v="1"/>
  </r>
  <r>
    <x v="0"/>
    <n v="0.75"/>
    <x v="285"/>
    <x v="268"/>
    <x v="284"/>
    <x v="0"/>
    <x v="0"/>
    <x v="240"/>
    <x v="1"/>
    <x v="1"/>
  </r>
  <r>
    <x v="0"/>
    <n v="4.2300000000000004"/>
    <x v="286"/>
    <x v="269"/>
    <x v="285"/>
    <x v="0"/>
    <x v="0"/>
    <x v="241"/>
    <x v="0"/>
    <x v="0"/>
  </r>
  <r>
    <x v="0"/>
    <n v="18.66"/>
    <x v="286"/>
    <x v="269"/>
    <x v="285"/>
    <x v="0"/>
    <x v="0"/>
    <x v="241"/>
    <x v="1"/>
    <x v="1"/>
  </r>
  <r>
    <x v="0"/>
    <n v="2.3199999999999998"/>
    <x v="287"/>
    <x v="270"/>
    <x v="286"/>
    <x v="0"/>
    <x v="0"/>
    <x v="242"/>
    <x v="0"/>
    <x v="0"/>
  </r>
  <r>
    <x v="0"/>
    <n v="9.5"/>
    <x v="288"/>
    <x v="271"/>
    <x v="287"/>
    <x v="0"/>
    <x v="0"/>
    <x v="243"/>
    <x v="0"/>
    <x v="0"/>
  </r>
  <r>
    <x v="0"/>
    <n v="1.92"/>
    <x v="289"/>
    <x v="272"/>
    <x v="288"/>
    <x v="0"/>
    <x v="0"/>
    <x v="244"/>
    <x v="0"/>
    <x v="0"/>
  </r>
  <r>
    <x v="0"/>
    <n v="1.96"/>
    <x v="290"/>
    <x v="273"/>
    <x v="289"/>
    <x v="0"/>
    <x v="0"/>
    <x v="245"/>
    <x v="0"/>
    <x v="0"/>
  </r>
  <r>
    <x v="0"/>
    <n v="0.28999999999999998"/>
    <x v="290"/>
    <x v="273"/>
    <x v="289"/>
    <x v="0"/>
    <x v="0"/>
    <x v="245"/>
    <x v="1"/>
    <x v="1"/>
  </r>
  <r>
    <x v="0"/>
    <n v="2.74"/>
    <x v="291"/>
    <x v="274"/>
    <x v="290"/>
    <x v="0"/>
    <x v="0"/>
    <x v="246"/>
    <x v="0"/>
    <x v="0"/>
  </r>
  <r>
    <x v="0"/>
    <n v="4.01"/>
    <x v="292"/>
    <x v="275"/>
    <x v="291"/>
    <x v="0"/>
    <x v="0"/>
    <x v="247"/>
    <x v="0"/>
    <x v="0"/>
  </r>
  <r>
    <x v="0"/>
    <n v="2.15"/>
    <x v="293"/>
    <x v="276"/>
    <x v="292"/>
    <x v="0"/>
    <x v="0"/>
    <x v="248"/>
    <x v="0"/>
    <x v="0"/>
  </r>
  <r>
    <x v="0"/>
    <n v="1.92"/>
    <x v="294"/>
    <x v="277"/>
    <x v="293"/>
    <x v="0"/>
    <x v="0"/>
    <x v="249"/>
    <x v="0"/>
    <x v="0"/>
  </r>
  <r>
    <x v="0"/>
    <n v="2.0099999999999998"/>
    <x v="295"/>
    <x v="278"/>
    <x v="294"/>
    <x v="0"/>
    <x v="0"/>
    <x v="250"/>
    <x v="0"/>
    <x v="0"/>
  </r>
  <r>
    <x v="0"/>
    <n v="2.9"/>
    <x v="296"/>
    <x v="279"/>
    <x v="295"/>
    <x v="0"/>
    <x v="0"/>
    <x v="251"/>
    <x v="0"/>
    <x v="0"/>
  </r>
  <r>
    <x v="0"/>
    <n v="2.94"/>
    <x v="297"/>
    <x v="280"/>
    <x v="296"/>
    <x v="0"/>
    <x v="0"/>
    <x v="252"/>
    <x v="0"/>
    <x v="0"/>
  </r>
  <r>
    <x v="0"/>
    <n v="158.97999999999999"/>
    <x v="298"/>
    <x v="281"/>
    <x v="297"/>
    <x v="0"/>
    <x v="0"/>
    <x v="253"/>
    <x v="0"/>
    <x v="0"/>
  </r>
  <r>
    <x v="0"/>
    <n v="28"/>
    <x v="298"/>
    <x v="281"/>
    <x v="297"/>
    <x v="0"/>
    <x v="0"/>
    <x v="253"/>
    <x v="1"/>
    <x v="1"/>
  </r>
  <r>
    <x v="0"/>
    <n v="1.92"/>
    <x v="299"/>
    <x v="282"/>
    <x v="298"/>
    <x v="0"/>
    <x v="0"/>
    <x v="254"/>
    <x v="0"/>
    <x v="0"/>
  </r>
  <r>
    <x v="0"/>
    <n v="2.31"/>
    <x v="300"/>
    <x v="283"/>
    <x v="299"/>
    <x v="0"/>
    <x v="0"/>
    <x v="255"/>
    <x v="0"/>
    <x v="0"/>
  </r>
  <r>
    <x v="0"/>
    <n v="14.55"/>
    <x v="301"/>
    <x v="284"/>
    <x v="300"/>
    <x v="0"/>
    <x v="0"/>
    <x v="256"/>
    <x v="0"/>
    <x v="0"/>
  </r>
  <r>
    <x v="0"/>
    <n v="24.39"/>
    <x v="302"/>
    <x v="285"/>
    <x v="301"/>
    <x v="0"/>
    <x v="0"/>
    <x v="257"/>
    <x v="0"/>
    <x v="0"/>
  </r>
  <r>
    <x v="0"/>
    <n v="2.06"/>
    <x v="302"/>
    <x v="285"/>
    <x v="301"/>
    <x v="0"/>
    <x v="0"/>
    <x v="257"/>
    <x v="1"/>
    <x v="1"/>
  </r>
  <r>
    <x v="0"/>
    <n v="26.06"/>
    <x v="303"/>
    <x v="286"/>
    <x v="302"/>
    <x v="0"/>
    <x v="0"/>
    <x v="258"/>
    <x v="0"/>
    <x v="0"/>
  </r>
  <r>
    <x v="0"/>
    <n v="0.05"/>
    <x v="303"/>
    <x v="286"/>
    <x v="302"/>
    <x v="0"/>
    <x v="0"/>
    <x v="258"/>
    <x v="1"/>
    <x v="1"/>
  </r>
  <r>
    <x v="0"/>
    <n v="2.2400000000000002"/>
    <x v="304"/>
    <x v="287"/>
    <x v="303"/>
    <x v="0"/>
    <x v="0"/>
    <x v="259"/>
    <x v="0"/>
    <x v="0"/>
  </r>
  <r>
    <x v="0"/>
    <n v="0.02"/>
    <x v="304"/>
    <x v="287"/>
    <x v="303"/>
    <x v="0"/>
    <x v="0"/>
    <x v="259"/>
    <x v="1"/>
    <x v="1"/>
  </r>
  <r>
    <x v="0"/>
    <n v="3.7"/>
    <x v="305"/>
    <x v="288"/>
    <x v="304"/>
    <x v="0"/>
    <x v="0"/>
    <x v="260"/>
    <x v="0"/>
    <x v="0"/>
  </r>
  <r>
    <x v="0"/>
    <n v="3.11"/>
    <x v="306"/>
    <x v="289"/>
    <x v="305"/>
    <x v="0"/>
    <x v="0"/>
    <x v="260"/>
    <x v="0"/>
    <x v="0"/>
  </r>
  <r>
    <x v="0"/>
    <n v="0.01"/>
    <x v="306"/>
    <x v="289"/>
    <x v="305"/>
    <x v="0"/>
    <x v="0"/>
    <x v="260"/>
    <x v="1"/>
    <x v="1"/>
  </r>
  <r>
    <x v="0"/>
    <n v="8.33"/>
    <x v="307"/>
    <x v="290"/>
    <x v="306"/>
    <x v="0"/>
    <x v="0"/>
    <x v="261"/>
    <x v="0"/>
    <x v="0"/>
  </r>
  <r>
    <x v="0"/>
    <n v="0.94"/>
    <x v="307"/>
    <x v="290"/>
    <x v="306"/>
    <x v="0"/>
    <x v="0"/>
    <x v="261"/>
    <x v="1"/>
    <x v="1"/>
  </r>
  <r>
    <x v="0"/>
    <n v="5.66"/>
    <x v="308"/>
    <x v="291"/>
    <x v="307"/>
    <x v="0"/>
    <x v="0"/>
    <x v="262"/>
    <x v="0"/>
    <x v="0"/>
  </r>
  <r>
    <x v="0"/>
    <n v="3.18"/>
    <x v="309"/>
    <x v="292"/>
    <x v="308"/>
    <x v="0"/>
    <x v="0"/>
    <x v="262"/>
    <x v="0"/>
    <x v="0"/>
  </r>
  <r>
    <x v="0"/>
    <n v="7.75"/>
    <x v="309"/>
    <x v="292"/>
    <x v="308"/>
    <x v="0"/>
    <x v="0"/>
    <x v="262"/>
    <x v="1"/>
    <x v="1"/>
  </r>
  <r>
    <x v="0"/>
    <n v="2.0299999999999998"/>
    <x v="310"/>
    <x v="293"/>
    <x v="309"/>
    <x v="0"/>
    <x v="0"/>
    <x v="263"/>
    <x v="0"/>
    <x v="0"/>
  </r>
  <r>
    <x v="0"/>
    <n v="3.67"/>
    <x v="311"/>
    <x v="294"/>
    <x v="310"/>
    <x v="0"/>
    <x v="0"/>
    <x v="263"/>
    <x v="0"/>
    <x v="0"/>
  </r>
  <r>
    <x v="0"/>
    <n v="0.04"/>
    <x v="310"/>
    <x v="293"/>
    <x v="309"/>
    <x v="0"/>
    <x v="0"/>
    <x v="263"/>
    <x v="1"/>
    <x v="1"/>
  </r>
  <r>
    <x v="0"/>
    <n v="0.57999999999999996"/>
    <x v="311"/>
    <x v="294"/>
    <x v="310"/>
    <x v="0"/>
    <x v="0"/>
    <x v="263"/>
    <x v="1"/>
    <x v="1"/>
  </r>
  <r>
    <x v="0"/>
    <n v="8.1300000000000008"/>
    <x v="312"/>
    <x v="295"/>
    <x v="311"/>
    <x v="0"/>
    <x v="0"/>
    <x v="264"/>
    <x v="0"/>
    <x v="0"/>
  </r>
  <r>
    <x v="0"/>
    <n v="1.95"/>
    <x v="313"/>
    <x v="296"/>
    <x v="312"/>
    <x v="0"/>
    <x v="0"/>
    <x v="265"/>
    <x v="0"/>
    <x v="0"/>
  </r>
  <r>
    <x v="0"/>
    <n v="5.27"/>
    <x v="314"/>
    <x v="297"/>
    <x v="313"/>
    <x v="0"/>
    <x v="0"/>
    <x v="266"/>
    <x v="0"/>
    <x v="0"/>
  </r>
  <r>
    <x v="0"/>
    <n v="0.6"/>
    <x v="314"/>
    <x v="297"/>
    <x v="313"/>
    <x v="0"/>
    <x v="0"/>
    <x v="266"/>
    <x v="1"/>
    <x v="1"/>
  </r>
  <r>
    <x v="0"/>
    <n v="101.85"/>
    <x v="315"/>
    <x v="298"/>
    <x v="314"/>
    <x v="0"/>
    <x v="0"/>
    <x v="267"/>
    <x v="0"/>
    <x v="0"/>
  </r>
  <r>
    <x v="0"/>
    <n v="30.36"/>
    <x v="315"/>
    <x v="298"/>
    <x v="314"/>
    <x v="0"/>
    <x v="0"/>
    <x v="267"/>
    <x v="1"/>
    <x v="1"/>
  </r>
  <r>
    <x v="0"/>
    <n v="1.92"/>
    <x v="316"/>
    <x v="299"/>
    <x v="315"/>
    <x v="0"/>
    <x v="0"/>
    <x v="268"/>
    <x v="0"/>
    <x v="0"/>
  </r>
  <r>
    <x v="0"/>
    <n v="2.74"/>
    <x v="317"/>
    <x v="300"/>
    <x v="316"/>
    <x v="0"/>
    <x v="0"/>
    <x v="269"/>
    <x v="0"/>
    <x v="0"/>
  </r>
  <r>
    <x v="0"/>
    <n v="1.93"/>
    <x v="318"/>
    <x v="301"/>
    <x v="317"/>
    <x v="0"/>
    <x v="0"/>
    <x v="269"/>
    <x v="0"/>
    <x v="0"/>
  </r>
  <r>
    <x v="0"/>
    <n v="2.57"/>
    <x v="319"/>
    <x v="302"/>
    <x v="318"/>
    <x v="0"/>
    <x v="0"/>
    <x v="270"/>
    <x v="0"/>
    <x v="0"/>
  </r>
  <r>
    <x v="0"/>
    <n v="7.15"/>
    <x v="320"/>
    <x v="303"/>
    <x v="319"/>
    <x v="0"/>
    <x v="0"/>
    <x v="270"/>
    <x v="0"/>
    <x v="0"/>
  </r>
  <r>
    <x v="0"/>
    <n v="0.01"/>
    <x v="319"/>
    <x v="302"/>
    <x v="318"/>
    <x v="0"/>
    <x v="0"/>
    <x v="270"/>
    <x v="1"/>
    <x v="1"/>
  </r>
  <r>
    <x v="0"/>
    <n v="14.5"/>
    <x v="321"/>
    <x v="304"/>
    <x v="320"/>
    <x v="0"/>
    <x v="0"/>
    <x v="271"/>
    <x v="0"/>
    <x v="0"/>
  </r>
  <r>
    <x v="0"/>
    <n v="2.21"/>
    <x v="321"/>
    <x v="304"/>
    <x v="320"/>
    <x v="0"/>
    <x v="0"/>
    <x v="271"/>
    <x v="1"/>
    <x v="1"/>
  </r>
  <r>
    <x v="0"/>
    <n v="14.08"/>
    <x v="322"/>
    <x v="305"/>
    <x v="321"/>
    <x v="0"/>
    <x v="0"/>
    <x v="272"/>
    <x v="0"/>
    <x v="0"/>
  </r>
  <r>
    <x v="0"/>
    <n v="36.29"/>
    <x v="322"/>
    <x v="305"/>
    <x v="321"/>
    <x v="0"/>
    <x v="0"/>
    <x v="272"/>
    <x v="1"/>
    <x v="1"/>
  </r>
  <r>
    <x v="0"/>
    <n v="2.04"/>
    <x v="323"/>
    <x v="306"/>
    <x v="322"/>
    <x v="0"/>
    <x v="0"/>
    <x v="273"/>
    <x v="0"/>
    <x v="0"/>
  </r>
  <r>
    <x v="0"/>
    <n v="10.52"/>
    <x v="324"/>
    <x v="307"/>
    <x v="323"/>
    <x v="0"/>
    <x v="0"/>
    <x v="273"/>
    <x v="0"/>
    <x v="0"/>
  </r>
  <r>
    <x v="0"/>
    <n v="93.88"/>
    <x v="325"/>
    <x v="308"/>
    <x v="324"/>
    <x v="0"/>
    <x v="0"/>
    <x v="273"/>
    <x v="0"/>
    <x v="0"/>
  </r>
  <r>
    <x v="0"/>
    <n v="285.16000000000003"/>
    <x v="326"/>
    <x v="309"/>
    <x v="325"/>
    <x v="0"/>
    <x v="0"/>
    <x v="273"/>
    <x v="0"/>
    <x v="0"/>
  </r>
  <r>
    <x v="0"/>
    <n v="2.08"/>
    <x v="323"/>
    <x v="306"/>
    <x v="322"/>
    <x v="0"/>
    <x v="0"/>
    <x v="273"/>
    <x v="1"/>
    <x v="1"/>
  </r>
  <r>
    <x v="0"/>
    <n v="46.23"/>
    <x v="325"/>
    <x v="308"/>
    <x v="324"/>
    <x v="0"/>
    <x v="0"/>
    <x v="273"/>
    <x v="1"/>
    <x v="1"/>
  </r>
  <r>
    <x v="0"/>
    <n v="39.76"/>
    <x v="326"/>
    <x v="309"/>
    <x v="325"/>
    <x v="0"/>
    <x v="0"/>
    <x v="273"/>
    <x v="1"/>
    <x v="1"/>
  </r>
  <r>
    <x v="0"/>
    <n v="3.42"/>
    <x v="327"/>
    <x v="310"/>
    <x v="326"/>
    <x v="0"/>
    <x v="0"/>
    <x v="274"/>
    <x v="0"/>
    <x v="0"/>
  </r>
  <r>
    <x v="0"/>
    <n v="5.24"/>
    <x v="328"/>
    <x v="311"/>
    <x v="327"/>
    <x v="0"/>
    <x v="0"/>
    <x v="275"/>
    <x v="0"/>
    <x v="0"/>
  </r>
  <r>
    <x v="0"/>
    <n v="0.1"/>
    <x v="328"/>
    <x v="311"/>
    <x v="327"/>
    <x v="0"/>
    <x v="0"/>
    <x v="275"/>
    <x v="1"/>
    <x v="1"/>
  </r>
  <r>
    <x v="0"/>
    <n v="2.67"/>
    <x v="329"/>
    <x v="312"/>
    <x v="328"/>
    <x v="0"/>
    <x v="0"/>
    <x v="276"/>
    <x v="0"/>
    <x v="0"/>
  </r>
  <r>
    <x v="0"/>
    <n v="2.74"/>
    <x v="330"/>
    <x v="313"/>
    <x v="329"/>
    <x v="0"/>
    <x v="0"/>
    <x v="277"/>
    <x v="0"/>
    <x v="0"/>
  </r>
  <r>
    <x v="0"/>
    <n v="19.13"/>
    <x v="331"/>
    <x v="6"/>
    <x v="330"/>
    <x v="0"/>
    <x v="0"/>
    <x v="278"/>
    <x v="0"/>
    <x v="0"/>
  </r>
  <r>
    <x v="0"/>
    <n v="0.16"/>
    <x v="331"/>
    <x v="6"/>
    <x v="330"/>
    <x v="0"/>
    <x v="0"/>
    <x v="278"/>
    <x v="1"/>
    <x v="1"/>
  </r>
  <r>
    <x v="0"/>
    <n v="10.039999999999999"/>
    <x v="332"/>
    <x v="314"/>
    <x v="331"/>
    <x v="0"/>
    <x v="0"/>
    <x v="279"/>
    <x v="0"/>
    <x v="0"/>
  </r>
  <r>
    <x v="0"/>
    <n v="2.5"/>
    <x v="333"/>
    <x v="315"/>
    <x v="332"/>
    <x v="0"/>
    <x v="0"/>
    <x v="279"/>
    <x v="0"/>
    <x v="0"/>
  </r>
  <r>
    <x v="0"/>
    <n v="0.28000000000000003"/>
    <x v="333"/>
    <x v="315"/>
    <x v="332"/>
    <x v="0"/>
    <x v="0"/>
    <x v="279"/>
    <x v="1"/>
    <x v="1"/>
  </r>
  <r>
    <x v="0"/>
    <n v="63.98"/>
    <x v="334"/>
    <x v="316"/>
    <x v="333"/>
    <x v="0"/>
    <x v="0"/>
    <x v="280"/>
    <x v="0"/>
    <x v="0"/>
  </r>
  <r>
    <x v="0"/>
    <n v="32.6"/>
    <x v="334"/>
    <x v="316"/>
    <x v="333"/>
    <x v="0"/>
    <x v="0"/>
    <x v="280"/>
    <x v="1"/>
    <x v="1"/>
  </r>
  <r>
    <x v="0"/>
    <n v="1.92"/>
    <x v="335"/>
    <x v="317"/>
    <x v="334"/>
    <x v="0"/>
    <x v="0"/>
    <x v="281"/>
    <x v="0"/>
    <x v="0"/>
  </r>
  <r>
    <x v="0"/>
    <n v="3.05"/>
    <x v="336"/>
    <x v="318"/>
    <x v="335"/>
    <x v="0"/>
    <x v="0"/>
    <x v="282"/>
    <x v="0"/>
    <x v="0"/>
  </r>
  <r>
    <x v="0"/>
    <n v="25.04"/>
    <x v="337"/>
    <x v="319"/>
    <x v="336"/>
    <x v="0"/>
    <x v="0"/>
    <x v="283"/>
    <x v="0"/>
    <x v="0"/>
  </r>
  <r>
    <x v="0"/>
    <n v="1.92"/>
    <x v="338"/>
    <x v="320"/>
    <x v="337"/>
    <x v="0"/>
    <x v="0"/>
    <x v="283"/>
    <x v="0"/>
    <x v="0"/>
  </r>
  <r>
    <x v="0"/>
    <n v="1.92"/>
    <x v="339"/>
    <x v="321"/>
    <x v="338"/>
    <x v="0"/>
    <x v="0"/>
    <x v="284"/>
    <x v="0"/>
    <x v="0"/>
  </r>
  <r>
    <x v="0"/>
    <n v="2.41"/>
    <x v="340"/>
    <x v="322"/>
    <x v="339"/>
    <x v="0"/>
    <x v="0"/>
    <x v="285"/>
    <x v="0"/>
    <x v="0"/>
  </r>
  <r>
    <x v="0"/>
    <n v="9.08"/>
    <x v="341"/>
    <x v="323"/>
    <x v="340"/>
    <x v="0"/>
    <x v="0"/>
    <x v="286"/>
    <x v="0"/>
    <x v="0"/>
  </r>
  <r>
    <x v="0"/>
    <n v="11.04"/>
    <x v="341"/>
    <x v="323"/>
    <x v="340"/>
    <x v="0"/>
    <x v="0"/>
    <x v="286"/>
    <x v="1"/>
    <x v="1"/>
  </r>
  <r>
    <x v="0"/>
    <n v="1.92"/>
    <x v="342"/>
    <x v="324"/>
    <x v="341"/>
    <x v="0"/>
    <x v="0"/>
    <x v="287"/>
    <x v="0"/>
    <x v="0"/>
  </r>
  <r>
    <x v="0"/>
    <n v="1.93"/>
    <x v="343"/>
    <x v="325"/>
    <x v="342"/>
    <x v="0"/>
    <x v="0"/>
    <x v="288"/>
    <x v="0"/>
    <x v="0"/>
  </r>
  <r>
    <x v="0"/>
    <n v="16.75"/>
    <x v="344"/>
    <x v="326"/>
    <x v="343"/>
    <x v="0"/>
    <x v="0"/>
    <x v="289"/>
    <x v="0"/>
    <x v="0"/>
  </r>
  <r>
    <x v="0"/>
    <n v="9.69"/>
    <x v="344"/>
    <x v="326"/>
    <x v="343"/>
    <x v="0"/>
    <x v="0"/>
    <x v="289"/>
    <x v="1"/>
    <x v="1"/>
  </r>
  <r>
    <x v="0"/>
    <n v="15.99"/>
    <x v="345"/>
    <x v="327"/>
    <x v="344"/>
    <x v="0"/>
    <x v="0"/>
    <x v="290"/>
    <x v="0"/>
    <x v="0"/>
  </r>
  <r>
    <x v="0"/>
    <n v="2.4700000000000002"/>
    <x v="346"/>
    <x v="328"/>
    <x v="345"/>
    <x v="0"/>
    <x v="0"/>
    <x v="291"/>
    <x v="0"/>
    <x v="0"/>
  </r>
  <r>
    <x v="0"/>
    <n v="54.85"/>
    <x v="347"/>
    <x v="329"/>
    <x v="346"/>
    <x v="0"/>
    <x v="0"/>
    <x v="292"/>
    <x v="0"/>
    <x v="0"/>
  </r>
  <r>
    <x v="0"/>
    <n v="0.49"/>
    <x v="347"/>
    <x v="329"/>
    <x v="346"/>
    <x v="0"/>
    <x v="0"/>
    <x v="292"/>
    <x v="1"/>
    <x v="1"/>
  </r>
  <r>
    <x v="0"/>
    <n v="3.76"/>
    <x v="348"/>
    <x v="330"/>
    <x v="347"/>
    <x v="0"/>
    <x v="0"/>
    <x v="293"/>
    <x v="0"/>
    <x v="0"/>
  </r>
  <r>
    <x v="0"/>
    <n v="10.77"/>
    <x v="349"/>
    <x v="331"/>
    <x v="348"/>
    <x v="0"/>
    <x v="0"/>
    <x v="294"/>
    <x v="0"/>
    <x v="0"/>
  </r>
  <r>
    <x v="0"/>
    <n v="19.149999999999999"/>
    <x v="349"/>
    <x v="331"/>
    <x v="348"/>
    <x v="0"/>
    <x v="0"/>
    <x v="294"/>
    <x v="1"/>
    <x v="1"/>
  </r>
  <r>
    <x v="0"/>
    <n v="2.5099999999999998"/>
    <x v="350"/>
    <x v="332"/>
    <x v="349"/>
    <x v="0"/>
    <x v="0"/>
    <x v="295"/>
    <x v="0"/>
    <x v="0"/>
  </r>
  <r>
    <x v="0"/>
    <n v="12.22"/>
    <x v="350"/>
    <x v="332"/>
    <x v="349"/>
    <x v="0"/>
    <x v="0"/>
    <x v="295"/>
    <x v="1"/>
    <x v="1"/>
  </r>
  <r>
    <x v="0"/>
    <n v="11.36"/>
    <x v="351"/>
    <x v="333"/>
    <x v="350"/>
    <x v="0"/>
    <x v="0"/>
    <x v="296"/>
    <x v="0"/>
    <x v="0"/>
  </r>
  <r>
    <x v="0"/>
    <n v="64.75"/>
    <x v="352"/>
    <x v="334"/>
    <x v="351"/>
    <x v="0"/>
    <x v="0"/>
    <x v="297"/>
    <x v="0"/>
    <x v="0"/>
  </r>
  <r>
    <x v="0"/>
    <n v="39.130000000000003"/>
    <x v="352"/>
    <x v="334"/>
    <x v="351"/>
    <x v="0"/>
    <x v="0"/>
    <x v="297"/>
    <x v="1"/>
    <x v="1"/>
  </r>
  <r>
    <x v="0"/>
    <n v="3.84"/>
    <x v="353"/>
    <x v="335"/>
    <x v="352"/>
    <x v="0"/>
    <x v="0"/>
    <x v="298"/>
    <x v="0"/>
    <x v="0"/>
  </r>
  <r>
    <x v="0"/>
    <n v="1.92"/>
    <x v="354"/>
    <x v="336"/>
    <x v="353"/>
    <x v="0"/>
    <x v="0"/>
    <x v="299"/>
    <x v="0"/>
    <x v="0"/>
  </r>
  <r>
    <x v="0"/>
    <n v="9.11"/>
    <x v="355"/>
    <x v="337"/>
    <x v="354"/>
    <x v="0"/>
    <x v="0"/>
    <x v="300"/>
    <x v="0"/>
    <x v="0"/>
  </r>
  <r>
    <x v="0"/>
    <n v="0.16"/>
    <x v="355"/>
    <x v="337"/>
    <x v="354"/>
    <x v="0"/>
    <x v="0"/>
    <x v="300"/>
    <x v="1"/>
    <x v="1"/>
  </r>
  <r>
    <x v="0"/>
    <n v="8.8000000000000007"/>
    <x v="356"/>
    <x v="338"/>
    <x v="355"/>
    <x v="0"/>
    <x v="0"/>
    <x v="301"/>
    <x v="0"/>
    <x v="0"/>
  </r>
  <r>
    <x v="0"/>
    <n v="3.16"/>
    <x v="357"/>
    <x v="6"/>
    <x v="356"/>
    <x v="0"/>
    <x v="0"/>
    <x v="302"/>
    <x v="0"/>
    <x v="0"/>
  </r>
  <r>
    <x v="0"/>
    <n v="1.92"/>
    <x v="358"/>
    <x v="339"/>
    <x v="357"/>
    <x v="0"/>
    <x v="0"/>
    <x v="303"/>
    <x v="0"/>
    <x v="0"/>
  </r>
  <r>
    <x v="0"/>
    <n v="2.34"/>
    <x v="359"/>
    <x v="340"/>
    <x v="358"/>
    <x v="0"/>
    <x v="0"/>
    <x v="304"/>
    <x v="0"/>
    <x v="0"/>
  </r>
  <r>
    <x v="0"/>
    <n v="14.24"/>
    <x v="360"/>
    <x v="6"/>
    <x v="359"/>
    <x v="0"/>
    <x v="0"/>
    <x v="305"/>
    <x v="0"/>
    <x v="0"/>
  </r>
  <r>
    <x v="0"/>
    <n v="1.42"/>
    <x v="360"/>
    <x v="6"/>
    <x v="359"/>
    <x v="0"/>
    <x v="0"/>
    <x v="305"/>
    <x v="1"/>
    <x v="1"/>
  </r>
  <r>
    <x v="0"/>
    <n v="79.31"/>
    <x v="361"/>
    <x v="341"/>
    <x v="360"/>
    <x v="0"/>
    <x v="0"/>
    <x v="306"/>
    <x v="0"/>
    <x v="0"/>
  </r>
  <r>
    <x v="0"/>
    <n v="3.03"/>
    <x v="362"/>
    <x v="342"/>
    <x v="361"/>
    <x v="0"/>
    <x v="0"/>
    <x v="307"/>
    <x v="0"/>
    <x v="0"/>
  </r>
  <r>
    <x v="0"/>
    <n v="3.01"/>
    <x v="363"/>
    <x v="343"/>
    <x v="362"/>
    <x v="0"/>
    <x v="0"/>
    <x v="308"/>
    <x v="0"/>
    <x v="0"/>
  </r>
  <r>
    <x v="0"/>
    <n v="0.69"/>
    <x v="363"/>
    <x v="343"/>
    <x v="362"/>
    <x v="0"/>
    <x v="0"/>
    <x v="308"/>
    <x v="1"/>
    <x v="1"/>
  </r>
  <r>
    <x v="0"/>
    <n v="26.99"/>
    <x v="364"/>
    <x v="344"/>
    <x v="363"/>
    <x v="0"/>
    <x v="0"/>
    <x v="309"/>
    <x v="0"/>
    <x v="0"/>
  </r>
  <r>
    <x v="0"/>
    <n v="3.91"/>
    <x v="364"/>
    <x v="344"/>
    <x v="363"/>
    <x v="0"/>
    <x v="0"/>
    <x v="309"/>
    <x v="1"/>
    <x v="1"/>
  </r>
  <r>
    <x v="0"/>
    <n v="2.58"/>
    <x v="365"/>
    <x v="345"/>
    <x v="364"/>
    <x v="0"/>
    <x v="0"/>
    <x v="310"/>
    <x v="0"/>
    <x v="0"/>
  </r>
  <r>
    <x v="0"/>
    <n v="2.89"/>
    <x v="366"/>
    <x v="346"/>
    <x v="365"/>
    <x v="0"/>
    <x v="0"/>
    <x v="311"/>
    <x v="0"/>
    <x v="0"/>
  </r>
  <r>
    <x v="0"/>
    <n v="3.14"/>
    <x v="367"/>
    <x v="347"/>
    <x v="366"/>
    <x v="0"/>
    <x v="0"/>
    <x v="312"/>
    <x v="0"/>
    <x v="0"/>
  </r>
  <r>
    <x v="0"/>
    <n v="3.25"/>
    <x v="368"/>
    <x v="348"/>
    <x v="367"/>
    <x v="0"/>
    <x v="0"/>
    <x v="312"/>
    <x v="0"/>
    <x v="0"/>
  </r>
  <r>
    <x v="0"/>
    <n v="2.19"/>
    <x v="368"/>
    <x v="348"/>
    <x v="367"/>
    <x v="0"/>
    <x v="0"/>
    <x v="312"/>
    <x v="1"/>
    <x v="1"/>
  </r>
  <r>
    <x v="0"/>
    <n v="58.1"/>
    <x v="369"/>
    <x v="349"/>
    <x v="368"/>
    <x v="0"/>
    <x v="0"/>
    <x v="313"/>
    <x v="0"/>
    <x v="0"/>
  </r>
  <r>
    <x v="0"/>
    <n v="17.829999999999998"/>
    <x v="370"/>
    <x v="350"/>
    <x v="369"/>
    <x v="0"/>
    <x v="0"/>
    <x v="313"/>
    <x v="0"/>
    <x v="0"/>
  </r>
  <r>
    <x v="0"/>
    <n v="8.74"/>
    <x v="371"/>
    <x v="351"/>
    <x v="370"/>
    <x v="0"/>
    <x v="0"/>
    <x v="313"/>
    <x v="0"/>
    <x v="0"/>
  </r>
  <r>
    <x v="0"/>
    <n v="0.62"/>
    <x v="369"/>
    <x v="349"/>
    <x v="368"/>
    <x v="0"/>
    <x v="0"/>
    <x v="313"/>
    <x v="1"/>
    <x v="1"/>
  </r>
  <r>
    <x v="0"/>
    <n v="0.05"/>
    <x v="370"/>
    <x v="350"/>
    <x v="369"/>
    <x v="0"/>
    <x v="0"/>
    <x v="313"/>
    <x v="1"/>
    <x v="1"/>
  </r>
  <r>
    <x v="0"/>
    <n v="2.4300000000000002"/>
    <x v="372"/>
    <x v="352"/>
    <x v="371"/>
    <x v="0"/>
    <x v="0"/>
    <x v="314"/>
    <x v="0"/>
    <x v="0"/>
  </r>
  <r>
    <x v="0"/>
    <n v="0.06"/>
    <x v="372"/>
    <x v="352"/>
    <x v="371"/>
    <x v="0"/>
    <x v="0"/>
    <x v="314"/>
    <x v="1"/>
    <x v="1"/>
  </r>
  <r>
    <x v="0"/>
    <n v="1.98"/>
    <x v="373"/>
    <x v="353"/>
    <x v="372"/>
    <x v="0"/>
    <x v="0"/>
    <x v="315"/>
    <x v="0"/>
    <x v="0"/>
  </r>
  <r>
    <x v="0"/>
    <n v="0.01"/>
    <x v="373"/>
    <x v="353"/>
    <x v="372"/>
    <x v="0"/>
    <x v="0"/>
    <x v="315"/>
    <x v="1"/>
    <x v="1"/>
  </r>
  <r>
    <x v="0"/>
    <n v="4.54"/>
    <x v="374"/>
    <x v="354"/>
    <x v="373"/>
    <x v="0"/>
    <x v="0"/>
    <x v="316"/>
    <x v="0"/>
    <x v="0"/>
  </r>
  <r>
    <x v="0"/>
    <n v="7.0000000000000007E-2"/>
    <x v="374"/>
    <x v="354"/>
    <x v="373"/>
    <x v="0"/>
    <x v="0"/>
    <x v="316"/>
    <x v="1"/>
    <x v="1"/>
  </r>
  <r>
    <x v="0"/>
    <n v="5.0199999999999996"/>
    <x v="375"/>
    <x v="355"/>
    <x v="374"/>
    <x v="0"/>
    <x v="0"/>
    <x v="317"/>
    <x v="0"/>
    <x v="0"/>
  </r>
  <r>
    <x v="0"/>
    <n v="1.89"/>
    <x v="375"/>
    <x v="355"/>
    <x v="374"/>
    <x v="0"/>
    <x v="0"/>
    <x v="317"/>
    <x v="1"/>
    <x v="1"/>
  </r>
  <r>
    <x v="0"/>
    <n v="10.58"/>
    <x v="376"/>
    <x v="6"/>
    <x v="375"/>
    <x v="0"/>
    <x v="0"/>
    <x v="318"/>
    <x v="0"/>
    <x v="0"/>
  </r>
  <r>
    <x v="0"/>
    <n v="12.81"/>
    <x v="377"/>
    <x v="356"/>
    <x v="376"/>
    <x v="0"/>
    <x v="0"/>
    <x v="319"/>
    <x v="0"/>
    <x v="0"/>
  </r>
  <r>
    <x v="0"/>
    <n v="8.18"/>
    <x v="377"/>
    <x v="356"/>
    <x v="376"/>
    <x v="0"/>
    <x v="0"/>
    <x v="319"/>
    <x v="1"/>
    <x v="1"/>
  </r>
  <r>
    <x v="0"/>
    <n v="1.92"/>
    <x v="378"/>
    <x v="357"/>
    <x v="377"/>
    <x v="0"/>
    <x v="0"/>
    <x v="320"/>
    <x v="0"/>
    <x v="0"/>
  </r>
  <r>
    <x v="0"/>
    <n v="1.93"/>
    <x v="379"/>
    <x v="358"/>
    <x v="378"/>
    <x v="0"/>
    <x v="0"/>
    <x v="320"/>
    <x v="0"/>
    <x v="0"/>
  </r>
  <r>
    <x v="0"/>
    <n v="1.92"/>
    <x v="380"/>
    <x v="359"/>
    <x v="379"/>
    <x v="0"/>
    <x v="0"/>
    <x v="321"/>
    <x v="0"/>
    <x v="0"/>
  </r>
  <r>
    <x v="0"/>
    <n v="5.59"/>
    <x v="381"/>
    <x v="6"/>
    <x v="380"/>
    <x v="0"/>
    <x v="0"/>
    <x v="322"/>
    <x v="0"/>
    <x v="0"/>
  </r>
  <r>
    <x v="0"/>
    <n v="3.08"/>
    <x v="382"/>
    <x v="360"/>
    <x v="381"/>
    <x v="0"/>
    <x v="0"/>
    <x v="323"/>
    <x v="0"/>
    <x v="0"/>
  </r>
  <r>
    <x v="0"/>
    <n v="0.01"/>
    <x v="382"/>
    <x v="360"/>
    <x v="381"/>
    <x v="0"/>
    <x v="0"/>
    <x v="323"/>
    <x v="1"/>
    <x v="1"/>
  </r>
  <r>
    <x v="0"/>
    <n v="1.93"/>
    <x v="383"/>
    <x v="361"/>
    <x v="382"/>
    <x v="0"/>
    <x v="0"/>
    <x v="324"/>
    <x v="0"/>
    <x v="0"/>
  </r>
  <r>
    <x v="0"/>
    <n v="3.46"/>
    <x v="384"/>
    <x v="362"/>
    <x v="383"/>
    <x v="0"/>
    <x v="0"/>
    <x v="325"/>
    <x v="0"/>
    <x v="0"/>
  </r>
  <r>
    <x v="0"/>
    <n v="7.67"/>
    <x v="385"/>
    <x v="363"/>
    <x v="384"/>
    <x v="0"/>
    <x v="0"/>
    <x v="326"/>
    <x v="0"/>
    <x v="0"/>
  </r>
  <r>
    <x v="0"/>
    <n v="2.98"/>
    <x v="386"/>
    <x v="364"/>
    <x v="385"/>
    <x v="0"/>
    <x v="0"/>
    <x v="327"/>
    <x v="0"/>
    <x v="0"/>
  </r>
  <r>
    <x v="0"/>
    <n v="2.3199999999999998"/>
    <x v="387"/>
    <x v="365"/>
    <x v="386"/>
    <x v="0"/>
    <x v="0"/>
    <x v="327"/>
    <x v="0"/>
    <x v="0"/>
  </r>
  <r>
    <x v="0"/>
    <n v="57.37"/>
    <x v="388"/>
    <x v="6"/>
    <x v="387"/>
    <x v="0"/>
    <x v="0"/>
    <x v="328"/>
    <x v="0"/>
    <x v="0"/>
  </r>
  <r>
    <x v="0"/>
    <n v="4.3600000000000003"/>
    <x v="389"/>
    <x v="366"/>
    <x v="388"/>
    <x v="0"/>
    <x v="0"/>
    <x v="328"/>
    <x v="0"/>
    <x v="0"/>
  </r>
  <r>
    <x v="0"/>
    <n v="10"/>
    <x v="388"/>
    <x v="6"/>
    <x v="387"/>
    <x v="0"/>
    <x v="0"/>
    <x v="328"/>
    <x v="1"/>
    <x v="1"/>
  </r>
  <r>
    <x v="0"/>
    <n v="1.78"/>
    <x v="389"/>
    <x v="366"/>
    <x v="388"/>
    <x v="0"/>
    <x v="0"/>
    <x v="328"/>
    <x v="1"/>
    <x v="1"/>
  </r>
  <r>
    <x v="0"/>
    <n v="4.03"/>
    <x v="390"/>
    <x v="367"/>
    <x v="389"/>
    <x v="0"/>
    <x v="0"/>
    <x v="329"/>
    <x v="0"/>
    <x v="0"/>
  </r>
  <r>
    <x v="0"/>
    <n v="5.29"/>
    <x v="391"/>
    <x v="6"/>
    <x v="390"/>
    <x v="0"/>
    <x v="0"/>
    <x v="330"/>
    <x v="0"/>
    <x v="0"/>
  </r>
  <r>
    <x v="0"/>
    <n v="6.61"/>
    <x v="391"/>
    <x v="6"/>
    <x v="390"/>
    <x v="0"/>
    <x v="0"/>
    <x v="330"/>
    <x v="1"/>
    <x v="1"/>
  </r>
  <r>
    <x v="0"/>
    <n v="2.39"/>
    <x v="392"/>
    <x v="368"/>
    <x v="391"/>
    <x v="0"/>
    <x v="0"/>
    <x v="331"/>
    <x v="0"/>
    <x v="0"/>
  </r>
  <r>
    <x v="0"/>
    <n v="5.85"/>
    <x v="393"/>
    <x v="369"/>
    <x v="392"/>
    <x v="0"/>
    <x v="0"/>
    <x v="332"/>
    <x v="0"/>
    <x v="0"/>
  </r>
  <r>
    <x v="0"/>
    <n v="0.08"/>
    <x v="393"/>
    <x v="369"/>
    <x v="392"/>
    <x v="0"/>
    <x v="0"/>
    <x v="332"/>
    <x v="1"/>
    <x v="1"/>
  </r>
  <r>
    <x v="0"/>
    <n v="4.49"/>
    <x v="394"/>
    <x v="370"/>
    <x v="393"/>
    <x v="0"/>
    <x v="0"/>
    <x v="333"/>
    <x v="0"/>
    <x v="0"/>
  </r>
  <r>
    <x v="0"/>
    <n v="4.33"/>
    <x v="395"/>
    <x v="371"/>
    <x v="394"/>
    <x v="0"/>
    <x v="0"/>
    <x v="333"/>
    <x v="0"/>
    <x v="0"/>
  </r>
  <r>
    <x v="0"/>
    <n v="1.92"/>
    <x v="396"/>
    <x v="372"/>
    <x v="395"/>
    <x v="0"/>
    <x v="0"/>
    <x v="333"/>
    <x v="0"/>
    <x v="0"/>
  </r>
  <r>
    <x v="0"/>
    <n v="0.02"/>
    <x v="396"/>
    <x v="372"/>
    <x v="395"/>
    <x v="0"/>
    <x v="0"/>
    <x v="333"/>
    <x v="1"/>
    <x v="1"/>
  </r>
  <r>
    <x v="0"/>
    <n v="37.950000000000003"/>
    <x v="397"/>
    <x v="373"/>
    <x v="396"/>
    <x v="0"/>
    <x v="0"/>
    <x v="334"/>
    <x v="0"/>
    <x v="0"/>
  </r>
  <r>
    <x v="0"/>
    <n v="57.72"/>
    <x v="397"/>
    <x v="373"/>
    <x v="396"/>
    <x v="0"/>
    <x v="0"/>
    <x v="334"/>
    <x v="1"/>
    <x v="1"/>
  </r>
  <r>
    <x v="0"/>
    <n v="1.92"/>
    <x v="398"/>
    <x v="374"/>
    <x v="397"/>
    <x v="0"/>
    <x v="0"/>
    <x v="335"/>
    <x v="0"/>
    <x v="0"/>
  </r>
  <r>
    <x v="0"/>
    <n v="13.04"/>
    <x v="399"/>
    <x v="375"/>
    <x v="398"/>
    <x v="0"/>
    <x v="0"/>
    <x v="336"/>
    <x v="0"/>
    <x v="0"/>
  </r>
  <r>
    <x v="0"/>
    <n v="3.15"/>
    <x v="400"/>
    <x v="376"/>
    <x v="399"/>
    <x v="0"/>
    <x v="0"/>
    <x v="337"/>
    <x v="0"/>
    <x v="0"/>
  </r>
  <r>
    <x v="0"/>
    <n v="-0.02"/>
    <x v="400"/>
    <x v="376"/>
    <x v="399"/>
    <x v="0"/>
    <x v="0"/>
    <x v="337"/>
    <x v="1"/>
    <x v="1"/>
  </r>
  <r>
    <x v="0"/>
    <n v="2.2400000000000002"/>
    <x v="401"/>
    <x v="377"/>
    <x v="400"/>
    <x v="0"/>
    <x v="0"/>
    <x v="338"/>
    <x v="0"/>
    <x v="0"/>
  </r>
  <r>
    <x v="0"/>
    <n v="0.1"/>
    <x v="401"/>
    <x v="377"/>
    <x v="400"/>
    <x v="0"/>
    <x v="0"/>
    <x v="338"/>
    <x v="1"/>
    <x v="1"/>
  </r>
  <r>
    <x v="0"/>
    <n v="2.52"/>
    <x v="402"/>
    <x v="378"/>
    <x v="401"/>
    <x v="0"/>
    <x v="0"/>
    <x v="339"/>
    <x v="0"/>
    <x v="0"/>
  </r>
  <r>
    <x v="0"/>
    <n v="2.82"/>
    <x v="403"/>
    <x v="379"/>
    <x v="402"/>
    <x v="0"/>
    <x v="0"/>
    <x v="340"/>
    <x v="0"/>
    <x v="0"/>
  </r>
  <r>
    <x v="0"/>
    <n v="0.26"/>
    <x v="403"/>
    <x v="379"/>
    <x v="402"/>
    <x v="0"/>
    <x v="0"/>
    <x v="340"/>
    <x v="1"/>
    <x v="1"/>
  </r>
  <r>
    <x v="0"/>
    <n v="9.7200000000000006"/>
    <x v="404"/>
    <x v="6"/>
    <x v="403"/>
    <x v="0"/>
    <x v="0"/>
    <x v="341"/>
    <x v="0"/>
    <x v="0"/>
  </r>
  <r>
    <x v="0"/>
    <n v="3.51"/>
    <x v="405"/>
    <x v="380"/>
    <x v="404"/>
    <x v="0"/>
    <x v="0"/>
    <x v="342"/>
    <x v="0"/>
    <x v="0"/>
  </r>
  <r>
    <x v="0"/>
    <n v="3.18"/>
    <x v="406"/>
    <x v="381"/>
    <x v="405"/>
    <x v="0"/>
    <x v="0"/>
    <x v="343"/>
    <x v="0"/>
    <x v="0"/>
  </r>
  <r>
    <x v="0"/>
    <n v="1.92"/>
    <x v="407"/>
    <x v="382"/>
    <x v="406"/>
    <x v="0"/>
    <x v="0"/>
    <x v="344"/>
    <x v="0"/>
    <x v="0"/>
  </r>
  <r>
    <x v="0"/>
    <n v="0.19"/>
    <x v="407"/>
    <x v="382"/>
    <x v="406"/>
    <x v="0"/>
    <x v="0"/>
    <x v="344"/>
    <x v="1"/>
    <x v="1"/>
  </r>
  <r>
    <x v="0"/>
    <n v="5.41"/>
    <x v="408"/>
    <x v="383"/>
    <x v="407"/>
    <x v="0"/>
    <x v="0"/>
    <x v="345"/>
    <x v="0"/>
    <x v="0"/>
  </r>
  <r>
    <x v="0"/>
    <n v="4.08"/>
    <x v="409"/>
    <x v="384"/>
    <x v="408"/>
    <x v="0"/>
    <x v="0"/>
    <x v="345"/>
    <x v="0"/>
    <x v="0"/>
  </r>
  <r>
    <x v="0"/>
    <n v="35.06"/>
    <x v="410"/>
    <x v="385"/>
    <x v="409"/>
    <x v="0"/>
    <x v="0"/>
    <x v="346"/>
    <x v="0"/>
    <x v="0"/>
  </r>
  <r>
    <x v="0"/>
    <n v="1.97"/>
    <x v="410"/>
    <x v="385"/>
    <x v="409"/>
    <x v="0"/>
    <x v="0"/>
    <x v="346"/>
    <x v="1"/>
    <x v="1"/>
  </r>
  <r>
    <x v="0"/>
    <n v="13.21"/>
    <x v="411"/>
    <x v="386"/>
    <x v="410"/>
    <x v="0"/>
    <x v="0"/>
    <x v="347"/>
    <x v="0"/>
    <x v="0"/>
  </r>
  <r>
    <x v="0"/>
    <n v="33.880000000000003"/>
    <x v="411"/>
    <x v="386"/>
    <x v="410"/>
    <x v="0"/>
    <x v="0"/>
    <x v="347"/>
    <x v="1"/>
    <x v="1"/>
  </r>
  <r>
    <x v="0"/>
    <n v="2.3199999999999998"/>
    <x v="412"/>
    <x v="387"/>
    <x v="411"/>
    <x v="0"/>
    <x v="0"/>
    <x v="348"/>
    <x v="0"/>
    <x v="0"/>
  </r>
  <r>
    <x v="0"/>
    <n v="5.01"/>
    <x v="413"/>
    <x v="388"/>
    <x v="412"/>
    <x v="0"/>
    <x v="0"/>
    <x v="349"/>
    <x v="0"/>
    <x v="0"/>
  </r>
  <r>
    <x v="0"/>
    <n v="1.92"/>
    <x v="414"/>
    <x v="389"/>
    <x v="413"/>
    <x v="0"/>
    <x v="0"/>
    <x v="350"/>
    <x v="0"/>
    <x v="0"/>
  </r>
  <r>
    <x v="0"/>
    <n v="5.61"/>
    <x v="415"/>
    <x v="390"/>
    <x v="414"/>
    <x v="0"/>
    <x v="0"/>
    <x v="351"/>
    <x v="0"/>
    <x v="0"/>
  </r>
  <r>
    <x v="0"/>
    <n v="2.3199999999999998"/>
    <x v="416"/>
    <x v="391"/>
    <x v="415"/>
    <x v="0"/>
    <x v="0"/>
    <x v="352"/>
    <x v="0"/>
    <x v="0"/>
  </r>
  <r>
    <x v="0"/>
    <n v="19.84"/>
    <x v="417"/>
    <x v="392"/>
    <x v="416"/>
    <x v="0"/>
    <x v="0"/>
    <x v="353"/>
    <x v="0"/>
    <x v="0"/>
  </r>
  <r>
    <x v="0"/>
    <n v="1.38"/>
    <x v="417"/>
    <x v="392"/>
    <x v="416"/>
    <x v="0"/>
    <x v="0"/>
    <x v="353"/>
    <x v="1"/>
    <x v="1"/>
  </r>
  <r>
    <x v="0"/>
    <n v="3.73"/>
    <x v="418"/>
    <x v="393"/>
    <x v="417"/>
    <x v="0"/>
    <x v="0"/>
    <x v="354"/>
    <x v="0"/>
    <x v="0"/>
  </r>
  <r>
    <x v="0"/>
    <n v="1.98"/>
    <x v="419"/>
    <x v="394"/>
    <x v="418"/>
    <x v="0"/>
    <x v="0"/>
    <x v="355"/>
    <x v="0"/>
    <x v="0"/>
  </r>
  <r>
    <x v="0"/>
    <n v="3.72"/>
    <x v="420"/>
    <x v="395"/>
    <x v="419"/>
    <x v="0"/>
    <x v="0"/>
    <x v="356"/>
    <x v="0"/>
    <x v="0"/>
  </r>
  <r>
    <x v="0"/>
    <n v="0.46"/>
    <x v="420"/>
    <x v="395"/>
    <x v="419"/>
    <x v="0"/>
    <x v="0"/>
    <x v="356"/>
    <x v="1"/>
    <x v="1"/>
  </r>
  <r>
    <x v="0"/>
    <n v="1.92"/>
    <x v="421"/>
    <x v="396"/>
    <x v="420"/>
    <x v="0"/>
    <x v="0"/>
    <x v="357"/>
    <x v="0"/>
    <x v="0"/>
  </r>
  <r>
    <x v="0"/>
    <n v="5.16"/>
    <x v="422"/>
    <x v="397"/>
    <x v="421"/>
    <x v="0"/>
    <x v="0"/>
    <x v="358"/>
    <x v="0"/>
    <x v="0"/>
  </r>
  <r>
    <x v="0"/>
    <n v="4.99"/>
    <x v="422"/>
    <x v="397"/>
    <x v="421"/>
    <x v="0"/>
    <x v="0"/>
    <x v="358"/>
    <x v="1"/>
    <x v="1"/>
  </r>
  <r>
    <x v="0"/>
    <n v="2.67"/>
    <x v="423"/>
    <x v="398"/>
    <x v="422"/>
    <x v="0"/>
    <x v="0"/>
    <x v="359"/>
    <x v="0"/>
    <x v="0"/>
  </r>
  <r>
    <x v="0"/>
    <n v="12.13"/>
    <x v="424"/>
    <x v="399"/>
    <x v="423"/>
    <x v="0"/>
    <x v="0"/>
    <x v="360"/>
    <x v="0"/>
    <x v="0"/>
  </r>
  <r>
    <x v="0"/>
    <n v="31.04"/>
    <x v="425"/>
    <x v="400"/>
    <x v="424"/>
    <x v="0"/>
    <x v="0"/>
    <x v="361"/>
    <x v="0"/>
    <x v="0"/>
  </r>
  <r>
    <x v="0"/>
    <n v="0.17"/>
    <x v="425"/>
    <x v="400"/>
    <x v="424"/>
    <x v="0"/>
    <x v="0"/>
    <x v="361"/>
    <x v="1"/>
    <x v="1"/>
  </r>
  <r>
    <x v="0"/>
    <n v="19.309999999999999"/>
    <x v="426"/>
    <x v="401"/>
    <x v="425"/>
    <x v="0"/>
    <x v="0"/>
    <x v="362"/>
    <x v="0"/>
    <x v="0"/>
  </r>
  <r>
    <x v="0"/>
    <n v="0.56999999999999995"/>
    <x v="426"/>
    <x v="401"/>
    <x v="425"/>
    <x v="0"/>
    <x v="0"/>
    <x v="362"/>
    <x v="1"/>
    <x v="1"/>
  </r>
  <r>
    <x v="0"/>
    <n v="7.15"/>
    <x v="427"/>
    <x v="402"/>
    <x v="426"/>
    <x v="0"/>
    <x v="0"/>
    <x v="363"/>
    <x v="0"/>
    <x v="0"/>
  </r>
  <r>
    <x v="0"/>
    <n v="22.97"/>
    <x v="428"/>
    <x v="403"/>
    <x v="427"/>
    <x v="0"/>
    <x v="0"/>
    <x v="364"/>
    <x v="0"/>
    <x v="0"/>
  </r>
  <r>
    <x v="0"/>
    <n v="25.65"/>
    <x v="428"/>
    <x v="403"/>
    <x v="427"/>
    <x v="0"/>
    <x v="0"/>
    <x v="364"/>
    <x v="1"/>
    <x v="1"/>
  </r>
  <r>
    <x v="0"/>
    <n v="1.4"/>
    <x v="429"/>
    <x v="404"/>
    <x v="428"/>
    <x v="0"/>
    <x v="0"/>
    <x v="365"/>
    <x v="0"/>
    <x v="0"/>
  </r>
  <r>
    <x v="0"/>
    <n v="4.32"/>
    <x v="429"/>
    <x v="404"/>
    <x v="428"/>
    <x v="0"/>
    <x v="0"/>
    <x v="365"/>
    <x v="1"/>
    <x v="1"/>
  </r>
  <r>
    <x v="0"/>
    <n v="31.79"/>
    <x v="430"/>
    <x v="405"/>
    <x v="429"/>
    <x v="0"/>
    <x v="0"/>
    <x v="366"/>
    <x v="0"/>
    <x v="0"/>
  </r>
  <r>
    <x v="0"/>
    <n v="7.21"/>
    <x v="431"/>
    <x v="406"/>
    <x v="430"/>
    <x v="0"/>
    <x v="0"/>
    <x v="367"/>
    <x v="0"/>
    <x v="0"/>
  </r>
  <r>
    <x v="0"/>
    <n v="4.1500000000000004"/>
    <x v="432"/>
    <x v="6"/>
    <x v="431"/>
    <x v="0"/>
    <x v="0"/>
    <x v="368"/>
    <x v="0"/>
    <x v="0"/>
  </r>
  <r>
    <x v="0"/>
    <n v="0.53"/>
    <x v="432"/>
    <x v="6"/>
    <x v="431"/>
    <x v="0"/>
    <x v="0"/>
    <x v="368"/>
    <x v="1"/>
    <x v="1"/>
  </r>
  <r>
    <x v="0"/>
    <n v="17"/>
    <x v="433"/>
    <x v="407"/>
    <x v="432"/>
    <x v="0"/>
    <x v="0"/>
    <x v="369"/>
    <x v="0"/>
    <x v="0"/>
  </r>
  <r>
    <x v="0"/>
    <n v="1.43"/>
    <x v="434"/>
    <x v="408"/>
    <x v="433"/>
    <x v="0"/>
    <x v="0"/>
    <x v="370"/>
    <x v="0"/>
    <x v="0"/>
  </r>
  <r>
    <x v="0"/>
    <n v="2.34"/>
    <x v="435"/>
    <x v="409"/>
    <x v="434"/>
    <x v="0"/>
    <x v="0"/>
    <x v="371"/>
    <x v="0"/>
    <x v="0"/>
  </r>
  <r>
    <x v="0"/>
    <n v="3.14"/>
    <x v="436"/>
    <x v="410"/>
    <x v="435"/>
    <x v="0"/>
    <x v="0"/>
    <x v="372"/>
    <x v="0"/>
    <x v="0"/>
  </r>
  <r>
    <x v="0"/>
    <n v="2.48"/>
    <x v="437"/>
    <x v="411"/>
    <x v="436"/>
    <x v="0"/>
    <x v="0"/>
    <x v="373"/>
    <x v="0"/>
    <x v="0"/>
  </r>
  <r>
    <x v="0"/>
    <n v="2.74"/>
    <x v="438"/>
    <x v="412"/>
    <x v="437"/>
    <x v="0"/>
    <x v="0"/>
    <x v="374"/>
    <x v="0"/>
    <x v="0"/>
  </r>
  <r>
    <x v="0"/>
    <n v="2.3199999999999998"/>
    <x v="439"/>
    <x v="413"/>
    <x v="438"/>
    <x v="0"/>
    <x v="0"/>
    <x v="375"/>
    <x v="0"/>
    <x v="0"/>
  </r>
  <r>
    <x v="0"/>
    <n v="14.6"/>
    <x v="440"/>
    <x v="414"/>
    <x v="439"/>
    <x v="0"/>
    <x v="0"/>
    <x v="376"/>
    <x v="0"/>
    <x v="0"/>
  </r>
  <r>
    <x v="0"/>
    <n v="13.77"/>
    <x v="441"/>
    <x v="415"/>
    <x v="440"/>
    <x v="0"/>
    <x v="0"/>
    <x v="376"/>
    <x v="0"/>
    <x v="0"/>
  </r>
  <r>
    <x v="0"/>
    <n v="0.02"/>
    <x v="440"/>
    <x v="414"/>
    <x v="439"/>
    <x v="0"/>
    <x v="0"/>
    <x v="376"/>
    <x v="1"/>
    <x v="1"/>
  </r>
  <r>
    <x v="0"/>
    <n v="1.96"/>
    <x v="442"/>
    <x v="416"/>
    <x v="441"/>
    <x v="0"/>
    <x v="0"/>
    <x v="377"/>
    <x v="0"/>
    <x v="0"/>
  </r>
  <r>
    <x v="0"/>
    <n v="1.92"/>
    <x v="443"/>
    <x v="417"/>
    <x v="442"/>
    <x v="0"/>
    <x v="0"/>
    <x v="378"/>
    <x v="0"/>
    <x v="0"/>
  </r>
  <r>
    <x v="0"/>
    <n v="7.53"/>
    <x v="444"/>
    <x v="418"/>
    <x v="443"/>
    <x v="0"/>
    <x v="0"/>
    <x v="379"/>
    <x v="0"/>
    <x v="0"/>
  </r>
  <r>
    <x v="0"/>
    <n v="1.93"/>
    <x v="445"/>
    <x v="419"/>
    <x v="444"/>
    <x v="0"/>
    <x v="0"/>
    <x v="380"/>
    <x v="0"/>
    <x v="0"/>
  </r>
  <r>
    <x v="0"/>
    <n v="2.2400000000000002"/>
    <x v="446"/>
    <x v="420"/>
    <x v="445"/>
    <x v="0"/>
    <x v="0"/>
    <x v="380"/>
    <x v="0"/>
    <x v="0"/>
  </r>
  <r>
    <x v="0"/>
    <n v="12.29"/>
    <x v="446"/>
    <x v="420"/>
    <x v="445"/>
    <x v="0"/>
    <x v="0"/>
    <x v="380"/>
    <x v="1"/>
    <x v="1"/>
  </r>
  <r>
    <x v="0"/>
    <n v="2.65"/>
    <x v="447"/>
    <x v="421"/>
    <x v="446"/>
    <x v="0"/>
    <x v="0"/>
    <x v="381"/>
    <x v="0"/>
    <x v="0"/>
  </r>
  <r>
    <x v="0"/>
    <n v="4.08"/>
    <x v="448"/>
    <x v="422"/>
    <x v="447"/>
    <x v="0"/>
    <x v="0"/>
    <x v="382"/>
    <x v="0"/>
    <x v="0"/>
  </r>
  <r>
    <x v="0"/>
    <n v="28.73"/>
    <x v="449"/>
    <x v="423"/>
    <x v="448"/>
    <x v="0"/>
    <x v="0"/>
    <x v="383"/>
    <x v="0"/>
    <x v="0"/>
  </r>
  <r>
    <x v="0"/>
    <n v="16.25"/>
    <x v="449"/>
    <x v="423"/>
    <x v="448"/>
    <x v="0"/>
    <x v="0"/>
    <x v="383"/>
    <x v="1"/>
    <x v="1"/>
  </r>
  <r>
    <x v="0"/>
    <n v="19.37"/>
    <x v="450"/>
    <x v="6"/>
    <x v="449"/>
    <x v="0"/>
    <x v="0"/>
    <x v="384"/>
    <x v="0"/>
    <x v="0"/>
  </r>
  <r>
    <x v="0"/>
    <n v="0.05"/>
    <x v="450"/>
    <x v="6"/>
    <x v="449"/>
    <x v="0"/>
    <x v="0"/>
    <x v="384"/>
    <x v="1"/>
    <x v="1"/>
  </r>
  <r>
    <x v="0"/>
    <n v="20.57"/>
    <x v="451"/>
    <x v="424"/>
    <x v="450"/>
    <x v="0"/>
    <x v="0"/>
    <x v="385"/>
    <x v="0"/>
    <x v="0"/>
  </r>
  <r>
    <x v="0"/>
    <n v="13.63"/>
    <x v="451"/>
    <x v="424"/>
    <x v="450"/>
    <x v="0"/>
    <x v="0"/>
    <x v="385"/>
    <x v="1"/>
    <x v="1"/>
  </r>
  <r>
    <x v="0"/>
    <n v="1.92"/>
    <x v="452"/>
    <x v="425"/>
    <x v="451"/>
    <x v="0"/>
    <x v="0"/>
    <x v="386"/>
    <x v="0"/>
    <x v="0"/>
  </r>
  <r>
    <x v="0"/>
    <n v="5.9"/>
    <x v="453"/>
    <x v="426"/>
    <x v="452"/>
    <x v="0"/>
    <x v="0"/>
    <x v="387"/>
    <x v="0"/>
    <x v="0"/>
  </r>
  <r>
    <x v="0"/>
    <n v="1.71"/>
    <x v="453"/>
    <x v="426"/>
    <x v="452"/>
    <x v="0"/>
    <x v="0"/>
    <x v="387"/>
    <x v="1"/>
    <x v="1"/>
  </r>
  <r>
    <x v="0"/>
    <n v="9.56"/>
    <x v="454"/>
    <x v="6"/>
    <x v="453"/>
    <x v="0"/>
    <x v="0"/>
    <x v="388"/>
    <x v="0"/>
    <x v="0"/>
  </r>
  <r>
    <x v="0"/>
    <n v="18.05"/>
    <x v="454"/>
    <x v="6"/>
    <x v="453"/>
    <x v="0"/>
    <x v="0"/>
    <x v="388"/>
    <x v="1"/>
    <x v="1"/>
  </r>
  <r>
    <x v="0"/>
    <n v="26.61"/>
    <x v="455"/>
    <x v="427"/>
    <x v="454"/>
    <x v="0"/>
    <x v="0"/>
    <x v="389"/>
    <x v="0"/>
    <x v="0"/>
  </r>
  <r>
    <x v="0"/>
    <n v="47.85"/>
    <x v="455"/>
    <x v="427"/>
    <x v="454"/>
    <x v="0"/>
    <x v="0"/>
    <x v="389"/>
    <x v="1"/>
    <x v="1"/>
  </r>
  <r>
    <x v="0"/>
    <n v="3.92"/>
    <x v="456"/>
    <x v="428"/>
    <x v="455"/>
    <x v="0"/>
    <x v="0"/>
    <x v="390"/>
    <x v="0"/>
    <x v="0"/>
  </r>
  <r>
    <x v="0"/>
    <n v="3.63"/>
    <x v="457"/>
    <x v="429"/>
    <x v="456"/>
    <x v="0"/>
    <x v="0"/>
    <x v="390"/>
    <x v="0"/>
    <x v="0"/>
  </r>
  <r>
    <x v="0"/>
    <n v="1.92"/>
    <x v="458"/>
    <x v="430"/>
    <x v="457"/>
    <x v="0"/>
    <x v="0"/>
    <x v="390"/>
    <x v="0"/>
    <x v="0"/>
  </r>
  <r>
    <x v="0"/>
    <n v="0.11"/>
    <x v="456"/>
    <x v="428"/>
    <x v="455"/>
    <x v="0"/>
    <x v="0"/>
    <x v="390"/>
    <x v="1"/>
    <x v="1"/>
  </r>
  <r>
    <x v="0"/>
    <n v="0.46"/>
    <x v="458"/>
    <x v="430"/>
    <x v="457"/>
    <x v="0"/>
    <x v="0"/>
    <x v="390"/>
    <x v="1"/>
    <x v="1"/>
  </r>
  <r>
    <x v="0"/>
    <n v="1.92"/>
    <x v="459"/>
    <x v="431"/>
    <x v="458"/>
    <x v="0"/>
    <x v="0"/>
    <x v="391"/>
    <x v="0"/>
    <x v="0"/>
  </r>
  <r>
    <x v="0"/>
    <n v="28.42"/>
    <x v="460"/>
    <x v="432"/>
    <x v="459"/>
    <x v="0"/>
    <x v="0"/>
    <x v="392"/>
    <x v="0"/>
    <x v="0"/>
  </r>
  <r>
    <x v="0"/>
    <n v="4.1900000000000004"/>
    <x v="460"/>
    <x v="432"/>
    <x v="459"/>
    <x v="0"/>
    <x v="0"/>
    <x v="392"/>
    <x v="1"/>
    <x v="1"/>
  </r>
  <r>
    <x v="0"/>
    <n v="10.72"/>
    <x v="461"/>
    <x v="433"/>
    <x v="460"/>
    <x v="0"/>
    <x v="0"/>
    <x v="393"/>
    <x v="0"/>
    <x v="0"/>
  </r>
  <r>
    <x v="0"/>
    <n v="2.61"/>
    <x v="462"/>
    <x v="434"/>
    <x v="461"/>
    <x v="0"/>
    <x v="0"/>
    <x v="394"/>
    <x v="0"/>
    <x v="0"/>
  </r>
  <r>
    <x v="0"/>
    <n v="12.47"/>
    <x v="463"/>
    <x v="6"/>
    <x v="462"/>
    <x v="0"/>
    <x v="0"/>
    <x v="395"/>
    <x v="0"/>
    <x v="0"/>
  </r>
  <r>
    <x v="0"/>
    <n v="0.31"/>
    <x v="463"/>
    <x v="6"/>
    <x v="462"/>
    <x v="0"/>
    <x v="0"/>
    <x v="395"/>
    <x v="1"/>
    <x v="1"/>
  </r>
  <r>
    <x v="0"/>
    <n v="7.17"/>
    <x v="464"/>
    <x v="435"/>
    <x v="463"/>
    <x v="0"/>
    <x v="0"/>
    <x v="396"/>
    <x v="0"/>
    <x v="0"/>
  </r>
  <r>
    <x v="0"/>
    <n v="0.01"/>
    <x v="464"/>
    <x v="435"/>
    <x v="463"/>
    <x v="0"/>
    <x v="0"/>
    <x v="396"/>
    <x v="1"/>
    <x v="1"/>
  </r>
  <r>
    <x v="0"/>
    <n v="2.33"/>
    <x v="465"/>
    <x v="436"/>
    <x v="464"/>
    <x v="0"/>
    <x v="0"/>
    <x v="397"/>
    <x v="0"/>
    <x v="0"/>
  </r>
  <r>
    <x v="0"/>
    <n v="2.3199999999999998"/>
    <x v="466"/>
    <x v="437"/>
    <x v="465"/>
    <x v="0"/>
    <x v="0"/>
    <x v="398"/>
    <x v="0"/>
    <x v="0"/>
  </r>
  <r>
    <x v="0"/>
    <n v="9.1999999999999993"/>
    <x v="467"/>
    <x v="438"/>
    <x v="466"/>
    <x v="0"/>
    <x v="0"/>
    <x v="399"/>
    <x v="0"/>
    <x v="0"/>
  </r>
  <r>
    <x v="0"/>
    <n v="2.68"/>
    <x v="467"/>
    <x v="438"/>
    <x v="466"/>
    <x v="0"/>
    <x v="0"/>
    <x v="399"/>
    <x v="1"/>
    <x v="1"/>
  </r>
  <r>
    <x v="0"/>
    <n v="2.4700000000000002"/>
    <x v="468"/>
    <x v="6"/>
    <x v="467"/>
    <x v="0"/>
    <x v="0"/>
    <x v="400"/>
    <x v="0"/>
    <x v="0"/>
  </r>
  <r>
    <x v="0"/>
    <n v="13.29"/>
    <x v="469"/>
    <x v="439"/>
    <x v="468"/>
    <x v="0"/>
    <x v="0"/>
    <x v="401"/>
    <x v="0"/>
    <x v="0"/>
  </r>
  <r>
    <x v="0"/>
    <n v="5.1100000000000003"/>
    <x v="469"/>
    <x v="439"/>
    <x v="468"/>
    <x v="0"/>
    <x v="0"/>
    <x v="401"/>
    <x v="1"/>
    <x v="1"/>
  </r>
  <r>
    <x v="0"/>
    <n v="14.54"/>
    <x v="470"/>
    <x v="440"/>
    <x v="469"/>
    <x v="0"/>
    <x v="0"/>
    <x v="402"/>
    <x v="0"/>
    <x v="0"/>
  </r>
  <r>
    <x v="0"/>
    <n v="2.39"/>
    <x v="470"/>
    <x v="440"/>
    <x v="469"/>
    <x v="0"/>
    <x v="0"/>
    <x v="402"/>
    <x v="1"/>
    <x v="1"/>
  </r>
  <r>
    <x v="0"/>
    <n v="1.96"/>
    <x v="471"/>
    <x v="441"/>
    <x v="470"/>
    <x v="0"/>
    <x v="0"/>
    <x v="403"/>
    <x v="0"/>
    <x v="0"/>
  </r>
  <r>
    <x v="0"/>
    <n v="5.71"/>
    <x v="472"/>
    <x v="442"/>
    <x v="471"/>
    <x v="0"/>
    <x v="0"/>
    <x v="404"/>
    <x v="0"/>
    <x v="0"/>
  </r>
  <r>
    <x v="0"/>
    <n v="1.65"/>
    <x v="472"/>
    <x v="442"/>
    <x v="471"/>
    <x v="0"/>
    <x v="0"/>
    <x v="404"/>
    <x v="1"/>
    <x v="1"/>
  </r>
  <r>
    <x v="0"/>
    <n v="2.82"/>
    <x v="473"/>
    <x v="443"/>
    <x v="472"/>
    <x v="0"/>
    <x v="0"/>
    <x v="405"/>
    <x v="0"/>
    <x v="0"/>
  </r>
  <r>
    <x v="0"/>
    <n v="7.88"/>
    <x v="474"/>
    <x v="444"/>
    <x v="473"/>
    <x v="0"/>
    <x v="0"/>
    <x v="406"/>
    <x v="0"/>
    <x v="0"/>
  </r>
  <r>
    <x v="0"/>
    <n v="0.05"/>
    <x v="474"/>
    <x v="444"/>
    <x v="473"/>
    <x v="0"/>
    <x v="0"/>
    <x v="406"/>
    <x v="1"/>
    <x v="1"/>
  </r>
  <r>
    <x v="0"/>
    <n v="1.97"/>
    <x v="475"/>
    <x v="445"/>
    <x v="474"/>
    <x v="0"/>
    <x v="0"/>
    <x v="407"/>
    <x v="0"/>
    <x v="0"/>
  </r>
  <r>
    <x v="0"/>
    <n v="12.44"/>
    <x v="476"/>
    <x v="446"/>
    <x v="475"/>
    <x v="0"/>
    <x v="0"/>
    <x v="408"/>
    <x v="0"/>
    <x v="0"/>
  </r>
  <r>
    <x v="0"/>
    <n v="1.42"/>
    <x v="476"/>
    <x v="446"/>
    <x v="475"/>
    <x v="0"/>
    <x v="0"/>
    <x v="408"/>
    <x v="1"/>
    <x v="1"/>
  </r>
  <r>
    <x v="0"/>
    <n v="2.42"/>
    <x v="477"/>
    <x v="447"/>
    <x v="476"/>
    <x v="0"/>
    <x v="0"/>
    <x v="409"/>
    <x v="0"/>
    <x v="0"/>
  </r>
  <r>
    <x v="0"/>
    <n v="1.93"/>
    <x v="478"/>
    <x v="448"/>
    <x v="477"/>
    <x v="0"/>
    <x v="0"/>
    <x v="410"/>
    <x v="0"/>
    <x v="0"/>
  </r>
  <r>
    <x v="0"/>
    <n v="8.94"/>
    <x v="479"/>
    <x v="449"/>
    <x v="478"/>
    <x v="0"/>
    <x v="0"/>
    <x v="411"/>
    <x v="0"/>
    <x v="0"/>
  </r>
  <r>
    <x v="0"/>
    <n v="0.02"/>
    <x v="479"/>
    <x v="449"/>
    <x v="478"/>
    <x v="0"/>
    <x v="0"/>
    <x v="411"/>
    <x v="1"/>
    <x v="1"/>
  </r>
  <r>
    <x v="0"/>
    <n v="2.57"/>
    <x v="480"/>
    <x v="450"/>
    <x v="479"/>
    <x v="0"/>
    <x v="0"/>
    <x v="412"/>
    <x v="0"/>
    <x v="0"/>
  </r>
  <r>
    <x v="0"/>
    <n v="2.4700000000000002"/>
    <x v="481"/>
    <x v="6"/>
    <x v="48"/>
    <x v="0"/>
    <x v="0"/>
    <x v="413"/>
    <x v="0"/>
    <x v="0"/>
  </r>
  <r>
    <x v="0"/>
    <n v="3.39"/>
    <x v="482"/>
    <x v="451"/>
    <x v="480"/>
    <x v="0"/>
    <x v="0"/>
    <x v="414"/>
    <x v="0"/>
    <x v="0"/>
  </r>
  <r>
    <x v="0"/>
    <n v="0.05"/>
    <x v="482"/>
    <x v="451"/>
    <x v="480"/>
    <x v="0"/>
    <x v="0"/>
    <x v="414"/>
    <x v="1"/>
    <x v="1"/>
  </r>
  <r>
    <x v="0"/>
    <n v="5.85"/>
    <x v="483"/>
    <x v="452"/>
    <x v="481"/>
    <x v="0"/>
    <x v="0"/>
    <x v="415"/>
    <x v="0"/>
    <x v="0"/>
  </r>
  <r>
    <x v="0"/>
    <n v="2.1"/>
    <x v="484"/>
    <x v="453"/>
    <x v="482"/>
    <x v="0"/>
    <x v="0"/>
    <x v="416"/>
    <x v="0"/>
    <x v="0"/>
  </r>
  <r>
    <x v="0"/>
    <n v="1.93"/>
    <x v="485"/>
    <x v="454"/>
    <x v="483"/>
    <x v="0"/>
    <x v="0"/>
    <x v="417"/>
    <x v="0"/>
    <x v="0"/>
  </r>
  <r>
    <x v="0"/>
    <n v="35.700000000000003"/>
    <x v="486"/>
    <x v="455"/>
    <x v="484"/>
    <x v="0"/>
    <x v="0"/>
    <x v="418"/>
    <x v="0"/>
    <x v="0"/>
  </r>
  <r>
    <x v="0"/>
    <n v="60.36"/>
    <x v="486"/>
    <x v="455"/>
    <x v="484"/>
    <x v="0"/>
    <x v="0"/>
    <x v="418"/>
    <x v="1"/>
    <x v="1"/>
  </r>
  <r>
    <x v="0"/>
    <n v="2.78"/>
    <x v="487"/>
    <x v="456"/>
    <x v="485"/>
    <x v="0"/>
    <x v="0"/>
    <x v="419"/>
    <x v="0"/>
    <x v="0"/>
  </r>
  <r>
    <x v="0"/>
    <n v="0.03"/>
    <x v="487"/>
    <x v="456"/>
    <x v="485"/>
    <x v="0"/>
    <x v="0"/>
    <x v="419"/>
    <x v="1"/>
    <x v="1"/>
  </r>
  <r>
    <x v="0"/>
    <n v="2.08"/>
    <x v="488"/>
    <x v="457"/>
    <x v="486"/>
    <x v="0"/>
    <x v="0"/>
    <x v="420"/>
    <x v="0"/>
    <x v="0"/>
  </r>
  <r>
    <x v="0"/>
    <n v="2.9"/>
    <x v="489"/>
    <x v="458"/>
    <x v="487"/>
    <x v="0"/>
    <x v="0"/>
    <x v="421"/>
    <x v="0"/>
    <x v="0"/>
  </r>
  <r>
    <x v="0"/>
    <n v="-0.03"/>
    <x v="489"/>
    <x v="458"/>
    <x v="487"/>
    <x v="0"/>
    <x v="0"/>
    <x v="421"/>
    <x v="1"/>
    <x v="1"/>
  </r>
  <r>
    <x v="1"/>
    <m/>
    <x v="490"/>
    <x v="459"/>
    <x v="488"/>
    <x v="1"/>
    <x v="1"/>
    <x v="422"/>
    <x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">
  <r>
    <x v="0"/>
    <x v="0"/>
    <x v="0"/>
  </r>
  <r>
    <x v="1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otal Payment Due" cacheId="1" dataOnRows="1" applyNumberFormats="0" applyBorderFormats="0" applyFontFormats="0" applyPatternFormats="0" applyAlignmentFormats="0" applyWidthHeightFormats="1" dataCaption="Data" updatedVersion="3" showItems="0" showMultipleLabel="0" showMemberPropertyTips="0" rowGrandTotals="0" colGrandTotals="0" itemPrintTitles="1" showDropZones="0" indent="0" compact="0" compactData="0" gridDropZones="1">
  <location ref="A731:B733" firstHeaderRow="1" firstDataRow="2" firstDataCol="1"/>
  <pivotFields count="3">
    <pivotField axis="axisCol" compact="0" outline="0" subtotalTop="0" showAll="0" includeNewItemsInFilter="1" defaultSubtotal="0">
      <items count="2">
        <item x="0"/>
        <item h="1" x="1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2">
        <item x="0"/>
        <item h="1" x="1"/>
      </items>
    </pivotField>
  </pivotFields>
  <rowFields count="1">
    <field x="2"/>
  </rowFields>
  <rowItems count="1">
    <i>
      <x/>
    </i>
  </rowItems>
  <colFields count="1">
    <field x="0"/>
  </colFields>
  <colItems count="1">
    <i>
      <x/>
    </i>
  </colItems>
  <dataFields count="1">
    <dataField name="Sum of Amount" fld="1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Commission - Data - Main Table Short" cacheId="0" dataOnRows="1" applyNumberFormats="0" applyBorderFormats="0" applyFontFormats="0" applyPatternFormats="0" applyAlignmentFormats="0" applyWidthHeightFormats="1" dataCaption="Data" updatedVersion="3" showItems="0" showMultipleLabel="0" showMemberPropertyTips="0" rowGrandTotals="0" colGrandTotals="0" itemPrintTitles="1" showDropZones="0" indent="0" compact="0" compactData="0" gridDropZones="1">
  <location ref="A3:I719" firstHeaderRow="1" firstDataRow="2" firstDataCol="8"/>
  <pivotFields count="10">
    <pivotField axis="axisCol" compact="0" outline="0" subtotalTop="0" showAll="0" includeNewItemsInFilter="1" defaultSubtotal="0">
      <items count="2">
        <item x="0"/>
        <item h="1" x="1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491">
        <item x="127"/>
        <item x="211"/>
        <item x="436"/>
        <item x="171"/>
        <item x="400"/>
        <item x="359"/>
        <item x="114"/>
        <item x="56"/>
        <item x="212"/>
        <item x="144"/>
        <item x="191"/>
        <item x="407"/>
        <item x="485"/>
        <item x="410"/>
        <item x="84"/>
        <item x="95"/>
        <item x="207"/>
        <item x="156"/>
        <item x="54"/>
        <item x="438"/>
        <item x="62"/>
        <item x="481"/>
        <item x="454"/>
        <item x="158"/>
        <item x="402"/>
        <item x="208"/>
        <item x="328"/>
        <item x="40"/>
        <item x="439"/>
        <item x="437"/>
        <item x="55"/>
        <item x="468"/>
        <item x="367"/>
        <item x="6"/>
        <item x="57"/>
        <item x="357"/>
        <item x="339"/>
        <item x="98"/>
        <item x="151"/>
        <item x="187"/>
        <item x="236"/>
        <item x="471"/>
        <item x="384"/>
        <item x="332"/>
        <item x="65"/>
        <item x="290"/>
        <item x="354"/>
        <item x="245"/>
        <item x="430"/>
        <item x="299"/>
        <item x="239"/>
        <item x="459"/>
        <item x="49"/>
        <item x="456"/>
        <item x="30"/>
        <item x="109"/>
        <item x="343"/>
        <item x="154"/>
        <item x="77"/>
        <item x="36"/>
        <item x="363"/>
        <item x="335"/>
        <item x="214"/>
        <item x="231"/>
        <item x="401"/>
        <item x="58"/>
        <item x="350"/>
        <item x="210"/>
        <item x="346"/>
        <item x="271"/>
        <item x="300"/>
        <item x="275"/>
        <item x="91"/>
        <item x="414"/>
        <item x="369"/>
        <item x="70"/>
        <item x="177"/>
        <item x="39"/>
        <item x="415"/>
        <item x="466"/>
        <item x="126"/>
        <item x="20"/>
        <item x="294"/>
        <item x="445"/>
        <item x="255"/>
        <item x="412"/>
        <item x="443"/>
        <item x="52"/>
        <item x="59"/>
        <item x="373"/>
        <item x="313"/>
        <item x="480"/>
        <item x="394"/>
        <item x="392"/>
        <item x="386"/>
        <item x="416"/>
        <item x="182"/>
        <item x="44"/>
        <item x="398"/>
        <item x="421"/>
        <item x="188"/>
        <item x="257"/>
        <item x="5"/>
        <item x="395"/>
        <item x="242"/>
        <item x="153"/>
        <item x="60"/>
        <item x="217"/>
        <item x="280"/>
        <item x="35"/>
        <item x="477"/>
        <item x="215"/>
        <item x="133"/>
        <item x="319"/>
        <item x="33"/>
        <item x="396"/>
        <item x="23"/>
        <item x="276"/>
        <item x="238"/>
        <item x="288"/>
        <item x="353"/>
        <item x="78"/>
        <item x="168"/>
        <item x="66"/>
        <item x="295"/>
        <item x="316"/>
        <item x="442"/>
        <item x="22"/>
        <item x="272"/>
        <item x="45"/>
        <item x="320"/>
        <item x="179"/>
        <item x="146"/>
        <item x="228"/>
        <item x="408"/>
        <item x="279"/>
        <item x="349"/>
        <item x="281"/>
        <item x="221"/>
        <item x="293"/>
        <item x="17"/>
        <item x="233"/>
        <item x="222"/>
        <item x="310"/>
        <item x="311"/>
        <item x="2"/>
        <item x="247"/>
        <item x="254"/>
        <item x="87"/>
        <item x="283"/>
        <item x="173"/>
        <item x="106"/>
        <item x="434"/>
        <item x="197"/>
        <item x="380"/>
        <item x="112"/>
        <item x="232"/>
        <item x="175"/>
        <item x="107"/>
        <item x="169"/>
        <item x="461"/>
        <item x="362"/>
        <item x="74"/>
        <item x="75"/>
        <item x="296"/>
        <item x="29"/>
        <item x="406"/>
        <item x="200"/>
        <item x="1"/>
        <item x="86"/>
        <item x="318"/>
        <item x="138"/>
        <item x="198"/>
        <item x="446"/>
        <item x="201"/>
        <item x="265"/>
        <item x="260"/>
        <item x="261"/>
        <item x="258"/>
        <item x="440"/>
        <item x="266"/>
        <item x="305"/>
        <item x="131"/>
        <item x="110"/>
        <item x="342"/>
        <item x="96"/>
        <item x="301"/>
        <item x="155"/>
        <item x="93"/>
        <item x="184"/>
        <item x="289"/>
        <item x="79"/>
        <item x="340"/>
        <item x="370"/>
        <item x="472"/>
        <item x="431"/>
        <item x="358"/>
        <item x="150"/>
        <item x="225"/>
        <item x="89"/>
        <item x="61"/>
        <item x="460"/>
        <item x="125"/>
        <item x="478"/>
        <item x="383"/>
        <item x="203"/>
        <item x="164"/>
        <item x="333"/>
        <item x="479"/>
        <item x="433"/>
        <item x="387"/>
        <item x="418"/>
        <item x="196"/>
        <item x="113"/>
        <item x="262"/>
        <item x="12"/>
        <item x="393"/>
        <item x="457"/>
        <item x="26"/>
        <item x="482"/>
        <item x="484"/>
        <item x="448"/>
        <item x="366"/>
        <item x="136"/>
        <item x="213"/>
        <item x="116"/>
        <item x="174"/>
        <item x="3"/>
        <item x="4"/>
        <item x="123"/>
        <item x="142"/>
        <item x="178"/>
        <item x="180"/>
        <item x="181"/>
        <item x="234"/>
        <item x="329"/>
        <item x="487"/>
        <item x="447"/>
        <item x="226"/>
        <item x="120"/>
        <item x="121"/>
        <item x="322"/>
        <item x="291"/>
        <item x="251"/>
        <item x="274"/>
        <item x="94"/>
        <item x="372"/>
        <item x="475"/>
        <item x="205"/>
        <item x="452"/>
        <item x="80"/>
        <item x="141"/>
        <item x="100"/>
        <item x="256"/>
        <item x="282"/>
        <item x="312"/>
        <item x="103"/>
        <item x="192"/>
        <item x="423"/>
        <item x="21"/>
        <item x="462"/>
        <item x="115"/>
        <item x="297"/>
        <item x="413"/>
        <item x="117"/>
        <item x="46"/>
        <item x="128"/>
        <item x="161"/>
        <item x="185"/>
        <item x="105"/>
        <item x="167"/>
        <item x="337"/>
        <item x="338"/>
        <item x="308"/>
        <item x="101"/>
        <item x="235"/>
        <item x="204"/>
        <item x="170"/>
        <item x="259"/>
        <item x="292"/>
        <item x="304"/>
        <item x="458"/>
        <item x="28"/>
        <item x="67"/>
        <item x="483"/>
        <item x="419"/>
        <item x="218"/>
        <item x="83"/>
        <item x="365"/>
        <item x="473"/>
        <item x="199"/>
        <item x="73"/>
        <item x="42"/>
        <item x="139"/>
        <item x="243"/>
        <item x="330"/>
        <item x="102"/>
        <item x="224"/>
        <item x="287"/>
        <item x="129"/>
        <item x="159"/>
        <item x="364"/>
        <item x="216"/>
        <item x="323"/>
        <item x="72"/>
        <item x="19"/>
        <item x="241"/>
        <item x="317"/>
        <item x="269"/>
        <item x="64"/>
        <item x="268"/>
        <item x="162"/>
        <item x="34"/>
        <item x="263"/>
        <item x="488"/>
        <item x="32"/>
        <item x="378"/>
        <item x="122"/>
        <item x="409"/>
        <item x="0"/>
        <item x="435"/>
        <item x="53"/>
        <item x="88"/>
        <item x="379"/>
        <item x="193"/>
        <item x="375"/>
        <item x="273"/>
        <item x="309"/>
        <item x="284"/>
        <item x="390"/>
        <item x="476"/>
        <item x="220"/>
        <item x="277"/>
        <item x="314"/>
        <item x="137"/>
        <item x="382"/>
        <item x="424"/>
        <item x="90"/>
        <item x="38"/>
        <item x="244"/>
        <item x="465"/>
        <item x="444"/>
        <item x="104"/>
        <item x="85"/>
        <item x="385"/>
        <item x="143"/>
        <item x="253"/>
        <item x="69"/>
        <item x="351"/>
        <item x="157"/>
        <item x="307"/>
        <item x="248"/>
        <item x="399"/>
        <item x="76"/>
        <item x="371"/>
        <item x="51"/>
        <item x="411"/>
        <item x="240"/>
        <item x="71"/>
        <item x="41"/>
        <item x="246"/>
        <item x="453"/>
        <item x="92"/>
        <item x="163"/>
        <item x="403"/>
        <item x="327"/>
        <item x="348"/>
        <item x="16"/>
        <item x="189"/>
        <item x="227"/>
        <item x="389"/>
        <item x="381"/>
        <item x="324"/>
        <item x="355"/>
        <item x="285"/>
        <item x="278"/>
        <item x="303"/>
        <item x="147"/>
        <item x="97"/>
        <item x="165"/>
        <item x="302"/>
        <item x="474"/>
        <item x="209"/>
        <item x="229"/>
        <item x="420"/>
        <item x="252"/>
        <item x="9"/>
        <item x="267"/>
        <item x="306"/>
        <item x="489"/>
        <item x="441"/>
        <item x="140"/>
        <item x="183"/>
        <item x="361"/>
        <item x="119"/>
        <item x="50"/>
        <item x="24"/>
        <item x="10"/>
        <item x="7"/>
        <item x="345"/>
        <item x="347"/>
        <item x="37"/>
        <item x="341"/>
        <item x="14"/>
        <item x="405"/>
        <item x="449"/>
        <item x="13"/>
        <item x="31"/>
        <item x="186"/>
        <item x="166"/>
        <item x="368"/>
        <item x="27"/>
        <item x="360"/>
        <item x="82"/>
        <item x="48"/>
        <item x="25"/>
        <item x="422"/>
        <item x="132"/>
        <item x="135"/>
        <item x="124"/>
        <item x="336"/>
        <item x="249"/>
        <item x="172"/>
        <item x="463"/>
        <item x="108"/>
        <item x="111"/>
        <item x="469"/>
        <item x="374"/>
        <item x="219"/>
        <item x="190"/>
        <item x="425"/>
        <item x="264"/>
        <item x="176"/>
        <item x="429"/>
        <item x="432"/>
        <item x="450"/>
        <item x="325"/>
        <item x="148"/>
        <item x="331"/>
        <item x="8"/>
        <item x="15"/>
        <item x="376"/>
        <item x="145"/>
        <item x="43"/>
        <item x="352"/>
        <item x="427"/>
        <item x="356"/>
        <item x="391"/>
        <item x="404"/>
        <item x="286"/>
        <item x="63"/>
        <item x="134"/>
        <item x="206"/>
        <item x="223"/>
        <item x="250"/>
        <item x="270"/>
        <item x="486"/>
        <item x="315"/>
        <item x="388"/>
        <item x="99"/>
        <item x="321"/>
        <item x="194"/>
        <item x="195"/>
        <item x="237"/>
        <item x="298"/>
        <item x="417"/>
        <item x="377"/>
        <item x="130"/>
        <item x="344"/>
        <item x="455"/>
        <item x="149"/>
        <item x="464"/>
        <item x="428"/>
        <item x="426"/>
        <item x="397"/>
        <item x="470"/>
        <item x="160"/>
        <item x="68"/>
        <item x="47"/>
        <item x="202"/>
        <item x="81"/>
        <item x="18"/>
        <item x="467"/>
        <item x="118"/>
        <item x="152"/>
        <item x="11"/>
        <item x="451"/>
        <item x="334"/>
        <item x="230"/>
        <item x="326"/>
        <item h="1" x="490"/>
      </items>
    </pivotField>
    <pivotField axis="axisRow" compact="0" outline="0" subtotalTop="0" showAll="0" includeNewItemsInFilter="1" defaultSubtotal="0">
      <items count="460">
        <item x="6"/>
        <item x="117"/>
        <item x="195"/>
        <item x="410"/>
        <item x="157"/>
        <item x="376"/>
        <item x="340"/>
        <item x="104"/>
        <item x="50"/>
        <item x="196"/>
        <item x="133"/>
        <item x="145"/>
        <item x="138"/>
        <item x="51"/>
        <item x="173"/>
        <item x="441"/>
        <item x="362"/>
        <item x="314"/>
        <item x="58"/>
        <item x="273"/>
        <item x="336"/>
        <item x="228"/>
        <item x="405"/>
        <item x="282"/>
        <item x="222"/>
        <item x="431"/>
        <item x="45"/>
        <item x="428"/>
        <item x="27"/>
        <item x="321"/>
        <item x="99"/>
        <item x="325"/>
        <item x="141"/>
        <item x="69"/>
        <item x="33"/>
        <item x="343"/>
        <item x="317"/>
        <item x="198"/>
        <item x="214"/>
        <item x="377"/>
        <item x="52"/>
        <item x="332"/>
        <item x="328"/>
        <item x="254"/>
        <item x="283"/>
        <item x="258"/>
        <item x="83"/>
        <item x="389"/>
        <item x="349"/>
        <item x="62"/>
        <item x="163"/>
        <item x="36"/>
        <item x="390"/>
        <item x="437"/>
        <item x="116"/>
        <item x="18"/>
        <item x="277"/>
        <item x="419"/>
        <item x="238"/>
        <item x="387"/>
        <item x="417"/>
        <item x="48"/>
        <item x="53"/>
        <item x="353"/>
        <item x="296"/>
        <item x="450"/>
        <item x="37"/>
        <item x="370"/>
        <item x="368"/>
        <item x="364"/>
        <item x="391"/>
        <item x="168"/>
        <item x="40"/>
        <item x="374"/>
        <item x="396"/>
        <item x="174"/>
        <item x="240"/>
        <item x="5"/>
        <item x="371"/>
        <item x="225"/>
        <item x="140"/>
        <item x="54"/>
        <item x="201"/>
        <item x="263"/>
        <item x="32"/>
        <item x="447"/>
        <item x="199"/>
        <item x="123"/>
        <item x="302"/>
        <item x="30"/>
        <item x="372"/>
        <item x="259"/>
        <item x="221"/>
        <item x="271"/>
        <item x="335"/>
        <item x="70"/>
        <item x="154"/>
        <item x="278"/>
        <item x="299"/>
        <item x="416"/>
        <item x="20"/>
        <item x="41"/>
        <item x="303"/>
        <item x="165"/>
        <item x="134"/>
        <item x="211"/>
        <item x="383"/>
        <item x="262"/>
        <item x="331"/>
        <item x="264"/>
        <item x="204"/>
        <item x="276"/>
        <item x="15"/>
        <item x="216"/>
        <item x="205"/>
        <item x="293"/>
        <item x="294"/>
        <item x="2"/>
        <item x="347"/>
        <item x="230"/>
        <item x="237"/>
        <item x="79"/>
        <item x="266"/>
        <item x="159"/>
        <item x="97"/>
        <item x="408"/>
        <item x="183"/>
        <item x="359"/>
        <item x="102"/>
        <item x="215"/>
        <item x="161"/>
        <item x="98"/>
        <item x="155"/>
        <item x="433"/>
        <item x="342"/>
        <item x="66"/>
        <item x="67"/>
        <item x="279"/>
        <item x="26"/>
        <item x="381"/>
        <item x="186"/>
        <item x="1"/>
        <item x="78"/>
        <item x="127"/>
        <item x="184"/>
        <item x="420"/>
        <item x="187"/>
        <item x="248"/>
        <item x="243"/>
        <item x="244"/>
        <item x="241"/>
        <item x="414"/>
        <item x="249"/>
        <item x="288"/>
        <item x="121"/>
        <item x="100"/>
        <item x="324"/>
        <item x="88"/>
        <item x="284"/>
        <item x="142"/>
        <item x="85"/>
        <item x="170"/>
        <item x="272"/>
        <item x="378"/>
        <item x="71"/>
        <item x="322"/>
        <item x="350"/>
        <item x="442"/>
        <item x="406"/>
        <item x="339"/>
        <item x="137"/>
        <item x="208"/>
        <item x="81"/>
        <item x="55"/>
        <item x="432"/>
        <item x="115"/>
        <item x="448"/>
        <item x="361"/>
        <item x="189"/>
        <item x="151"/>
        <item x="315"/>
        <item x="449"/>
        <item x="407"/>
        <item x="365"/>
        <item x="393"/>
        <item x="193"/>
        <item x="182"/>
        <item x="103"/>
        <item x="245"/>
        <item x="10"/>
        <item x="369"/>
        <item x="219"/>
        <item x="429"/>
        <item x="23"/>
        <item x="451"/>
        <item x="453"/>
        <item x="422"/>
        <item x="346"/>
        <item x="125"/>
        <item x="197"/>
        <item x="106"/>
        <item x="160"/>
        <item x="3"/>
        <item x="4"/>
        <item x="113"/>
        <item x="131"/>
        <item x="164"/>
        <item x="166"/>
        <item x="167"/>
        <item x="217"/>
        <item x="312"/>
        <item x="456"/>
        <item x="421"/>
        <item x="209"/>
        <item x="110"/>
        <item x="111"/>
        <item x="305"/>
        <item x="274"/>
        <item x="234"/>
        <item x="257"/>
        <item x="86"/>
        <item x="246"/>
        <item x="352"/>
        <item x="445"/>
        <item x="191"/>
        <item x="425"/>
        <item x="72"/>
        <item x="130"/>
        <item x="91"/>
        <item x="239"/>
        <item x="265"/>
        <item x="295"/>
        <item x="94"/>
        <item x="178"/>
        <item x="398"/>
        <item x="19"/>
        <item x="434"/>
        <item x="105"/>
        <item x="280"/>
        <item x="388"/>
        <item x="107"/>
        <item x="42"/>
        <item x="118"/>
        <item x="148"/>
        <item x="171"/>
        <item x="96"/>
        <item x="153"/>
        <item x="319"/>
        <item x="320"/>
        <item x="291"/>
        <item x="92"/>
        <item x="218"/>
        <item x="190"/>
        <item x="156"/>
        <item x="242"/>
        <item x="275"/>
        <item x="287"/>
        <item x="255"/>
        <item x="21"/>
        <item x="430"/>
        <item x="25"/>
        <item x="59"/>
        <item x="452"/>
        <item x="394"/>
        <item x="202"/>
        <item x="75"/>
        <item x="345"/>
        <item x="443"/>
        <item x="185"/>
        <item x="65"/>
        <item x="39"/>
        <item x="128"/>
        <item x="226"/>
        <item x="313"/>
        <item x="93"/>
        <item x="207"/>
        <item x="270"/>
        <item x="119"/>
        <item x="146"/>
        <item x="344"/>
        <item x="200"/>
        <item x="306"/>
        <item x="64"/>
        <item x="17"/>
        <item x="177"/>
        <item x="382"/>
        <item x="454"/>
        <item x="76"/>
        <item x="87"/>
        <item x="192"/>
        <item x="143"/>
        <item x="412"/>
        <item x="56"/>
        <item x="224"/>
        <item x="300"/>
        <item x="413"/>
        <item x="411"/>
        <item x="252"/>
        <item x="57"/>
        <item x="251"/>
        <item x="149"/>
        <item x="31"/>
        <item x="457"/>
        <item x="29"/>
        <item x="357"/>
        <item x="112"/>
        <item x="384"/>
        <item x="0"/>
        <item x="409"/>
        <item x="49"/>
        <item x="179"/>
        <item x="301"/>
        <item x="80"/>
        <item x="355"/>
        <item x="256"/>
        <item x="292"/>
        <item x="267"/>
        <item x="367"/>
        <item x="446"/>
        <item x="203"/>
        <item x="260"/>
        <item x="297"/>
        <item x="126"/>
        <item x="360"/>
        <item x="358"/>
        <item x="399"/>
        <item x="82"/>
        <item x="35"/>
        <item x="227"/>
        <item x="436"/>
        <item x="418"/>
        <item x="95"/>
        <item x="77"/>
        <item x="363"/>
        <item x="132"/>
        <item x="236"/>
        <item x="61"/>
        <item x="333"/>
        <item x="144"/>
        <item x="290"/>
        <item x="231"/>
        <item x="375"/>
        <item x="68"/>
        <item x="351"/>
        <item x="47"/>
        <item x="386"/>
        <item x="223"/>
        <item x="63"/>
        <item x="38"/>
        <item x="229"/>
        <item x="426"/>
        <item x="84"/>
        <item x="150"/>
        <item x="379"/>
        <item x="310"/>
        <item x="330"/>
        <item x="14"/>
        <item x="175"/>
        <item x="210"/>
        <item x="366"/>
        <item x="307"/>
        <item x="337"/>
        <item x="268"/>
        <item x="261"/>
        <item x="286"/>
        <item x="135"/>
        <item x="89"/>
        <item x="152"/>
        <item x="285"/>
        <item x="444"/>
        <item x="194"/>
        <item x="212"/>
        <item x="395"/>
        <item x="235"/>
        <item x="250"/>
        <item x="289"/>
        <item x="458"/>
        <item x="415"/>
        <item x="129"/>
        <item x="169"/>
        <item x="341"/>
        <item x="109"/>
        <item x="46"/>
        <item x="8"/>
        <item x="7"/>
        <item x="327"/>
        <item x="329"/>
        <item x="34"/>
        <item x="323"/>
        <item x="12"/>
        <item x="380"/>
        <item x="423"/>
        <item x="11"/>
        <item x="28"/>
        <item x="172"/>
        <item x="348"/>
        <item x="24"/>
        <item x="74"/>
        <item x="44"/>
        <item x="22"/>
        <item x="397"/>
        <item x="122"/>
        <item x="114"/>
        <item x="318"/>
        <item x="232"/>
        <item x="158"/>
        <item x="101"/>
        <item x="439"/>
        <item x="404"/>
        <item x="176"/>
        <item x="400"/>
        <item x="247"/>
        <item x="162"/>
        <item x="354"/>
        <item x="311"/>
        <item x="385"/>
        <item x="308"/>
        <item x="13"/>
        <item x="334"/>
        <item x="402"/>
        <item x="338"/>
        <item x="269"/>
        <item x="124"/>
        <item x="206"/>
        <item x="233"/>
        <item x="253"/>
        <item x="455"/>
        <item x="298"/>
        <item x="90"/>
        <item x="304"/>
        <item x="180"/>
        <item x="181"/>
        <item x="220"/>
        <item x="281"/>
        <item x="392"/>
        <item x="356"/>
        <item x="120"/>
        <item x="326"/>
        <item x="427"/>
        <item x="136"/>
        <item x="435"/>
        <item x="403"/>
        <item x="401"/>
        <item x="373"/>
        <item x="440"/>
        <item x="147"/>
        <item x="60"/>
        <item x="43"/>
        <item x="188"/>
        <item x="73"/>
        <item x="16"/>
        <item x="438"/>
        <item x="108"/>
        <item x="139"/>
        <item x="9"/>
        <item x="424"/>
        <item x="316"/>
        <item x="213"/>
        <item x="309"/>
        <item h="1" x="459"/>
      </items>
    </pivotField>
    <pivotField axis="axisRow" compact="0" outline="0" subtotalTop="0" showAll="0" includeNewItemsInFilter="1" defaultSubtotal="0">
      <items count="489">
        <item x="127"/>
        <item x="197"/>
        <item x="106"/>
        <item x="101"/>
        <item x="90"/>
        <item x="209"/>
        <item x="442"/>
        <item x="47"/>
        <item x="48"/>
        <item x="471"/>
        <item x="321"/>
        <item x="399"/>
        <item x="485"/>
        <item x="226"/>
        <item x="121"/>
        <item x="110"/>
        <item x="221"/>
        <item x="405"/>
        <item x="214"/>
        <item x="224"/>
        <item x="204"/>
        <item x="237"/>
        <item x="112"/>
        <item x="470"/>
        <item x="435"/>
        <item x="351"/>
        <item x="56"/>
        <item x="251"/>
        <item x="484"/>
        <item x="115"/>
        <item x="114"/>
        <item x="161"/>
        <item x="377"/>
        <item x="378"/>
        <item x="207"/>
        <item x="152"/>
        <item x="27"/>
        <item x="439"/>
        <item x="211"/>
        <item x="254"/>
        <item x="249"/>
        <item x="380"/>
        <item x="477"/>
        <item x="4"/>
        <item x="184"/>
        <item x="15"/>
        <item x="371"/>
        <item x="88"/>
        <item x="366"/>
        <item x="96"/>
        <item x="358"/>
        <item x="111"/>
        <item x="314"/>
        <item x="464"/>
        <item x="415"/>
        <item x="324"/>
        <item x="117"/>
        <item x="479"/>
        <item x="391"/>
        <item x="198"/>
        <item x="291"/>
        <item x="368"/>
        <item x="192"/>
        <item x="235"/>
        <item x="279"/>
        <item x="255"/>
        <item x="95"/>
        <item x="215"/>
        <item x="45"/>
        <item x="465"/>
        <item x="411"/>
        <item x="455"/>
        <item x="430"/>
        <item x="240"/>
        <item x="138"/>
        <item x="432"/>
        <item x="213"/>
        <item x="396"/>
        <item x="118"/>
        <item x="343"/>
        <item x="84"/>
        <item x="82"/>
        <item x="312"/>
        <item x="149"/>
        <item x="360"/>
        <item x="147"/>
        <item x="413"/>
        <item x="285"/>
        <item x="331"/>
        <item x="422"/>
        <item x="128"/>
        <item x="227"/>
        <item x="361"/>
        <item x="400"/>
        <item x="57"/>
        <item x="232"/>
        <item x="51"/>
        <item x="78"/>
        <item x="210"/>
        <item x="10"/>
        <item x="259"/>
        <item x="365"/>
        <item x="398"/>
        <item x="14"/>
        <item x="284"/>
        <item x="177"/>
        <item x="122"/>
        <item x="414"/>
        <item x="402"/>
        <item x="201"/>
        <item x="486"/>
        <item x="63"/>
        <item x="309"/>
        <item x="266"/>
        <item x="58"/>
        <item x="143"/>
        <item x="36"/>
        <item x="426"/>
        <item x="258"/>
        <item x="28"/>
        <item x="289"/>
        <item x="52"/>
        <item x="332"/>
        <item x="451"/>
        <item x="59"/>
        <item x="49"/>
        <item x="170"/>
        <item x="444"/>
        <item x="220"/>
        <item x="153"/>
        <item x="257"/>
        <item x="61"/>
        <item x="55"/>
        <item x="286"/>
        <item x="421"/>
        <item x="262"/>
        <item x="195"/>
        <item x="287"/>
        <item x="168"/>
        <item x="431"/>
        <item x="13"/>
        <item x="38"/>
        <item x="75"/>
        <item x="462"/>
        <item x="62"/>
        <item x="295"/>
        <item x="297"/>
        <item x="228"/>
        <item x="208"/>
        <item x="410"/>
        <item x="199"/>
        <item x="107"/>
        <item x="148"/>
        <item x="146"/>
        <item x="151"/>
        <item x="374"/>
        <item x="129"/>
        <item x="6"/>
        <item x="200"/>
        <item x="252"/>
        <item x="163"/>
        <item x="26"/>
        <item x="364"/>
        <item x="382"/>
        <item x="375"/>
        <item x="270"/>
        <item x="86"/>
        <item x="69"/>
        <item x="256"/>
        <item x="64"/>
        <item x="264"/>
        <item x="330"/>
        <item x="325"/>
        <item x="407"/>
        <item x="408"/>
        <item x="22"/>
        <item x="453"/>
        <item x="443"/>
        <item x="310"/>
        <item x="124"/>
        <item x="271"/>
        <item x="416"/>
        <item x="327"/>
        <item x="43"/>
        <item x="67"/>
        <item x="273"/>
        <item x="253"/>
        <item x="469"/>
        <item x="357"/>
        <item x="346"/>
        <item x="434"/>
        <item x="164"/>
        <item x="139"/>
        <item x="388"/>
        <item x="66"/>
        <item x="335"/>
        <item x="39"/>
        <item x="41"/>
        <item x="40"/>
        <item x="315"/>
        <item x="157"/>
        <item x="326"/>
        <item x="481"/>
        <item x="91"/>
        <item x="300"/>
        <item x="301"/>
        <item x="345"/>
        <item x="77"/>
        <item x="85"/>
        <item x="186"/>
        <item x="187"/>
        <item x="136"/>
        <item x="294"/>
        <item x="206"/>
        <item x="298"/>
        <item x="302"/>
        <item x="274"/>
        <item x="427"/>
        <item x="438"/>
        <item x="319"/>
        <item x="418"/>
        <item x="181"/>
        <item x="130"/>
        <item x="135"/>
        <item x="32"/>
        <item x="303"/>
        <item x="159"/>
        <item x="176"/>
        <item x="247"/>
        <item x="239"/>
        <item x="429"/>
        <item x="362"/>
        <item x="473"/>
        <item x="463"/>
        <item x="354"/>
        <item x="317"/>
        <item x="476"/>
        <item x="350"/>
        <item x="336"/>
        <item x="359"/>
        <item x="333"/>
        <item x="307"/>
        <item x="156"/>
        <item x="275"/>
        <item x="276"/>
        <item x="46"/>
        <item x="1"/>
        <item x="37"/>
        <item x="277"/>
        <item x="35"/>
        <item x="12"/>
        <item x="11"/>
        <item x="158"/>
        <item x="24"/>
        <item x="126"/>
        <item x="219"/>
        <item x="123"/>
        <item x="406"/>
        <item x="189"/>
        <item x="457"/>
        <item x="131"/>
        <item x="263"/>
        <item x="74"/>
        <item x="393"/>
        <item x="389"/>
        <item x="480"/>
        <item x="34"/>
        <item x="372"/>
        <item x="44"/>
        <item x="140"/>
        <item x="104"/>
        <item x="92"/>
        <item x="120"/>
        <item x="244"/>
        <item x="459"/>
        <item x="458"/>
        <item x="231"/>
        <item x="281"/>
        <item x="30"/>
        <item x="355"/>
        <item x="125"/>
        <item x="441"/>
        <item x="191"/>
        <item x="188"/>
        <item x="134"/>
        <item x="341"/>
        <item x="212"/>
        <item x="308"/>
        <item x="394"/>
        <item x="241"/>
        <item x="162"/>
        <item x="65"/>
        <item x="100"/>
        <item x="174"/>
        <item x="412"/>
        <item x="280"/>
        <item x="223"/>
        <item x="370"/>
        <item x="3"/>
        <item x="9"/>
        <item x="113"/>
        <item x="424"/>
        <item x="242"/>
        <item x="225"/>
        <item x="142"/>
        <item x="155"/>
        <item x="313"/>
        <item x="89"/>
        <item x="238"/>
        <item x="386"/>
        <item x="54"/>
        <item x="60"/>
        <item x="193"/>
        <item x="260"/>
        <item x="340"/>
        <item x="217"/>
        <item x="233"/>
        <item x="397"/>
        <item x="97"/>
        <item x="23"/>
        <item x="144"/>
        <item x="369"/>
        <item x="436"/>
        <item x="81"/>
        <item x="94"/>
        <item x="76"/>
        <item x="172"/>
        <item x="419"/>
        <item x="169"/>
        <item x="404"/>
        <item x="339"/>
        <item x="116"/>
        <item x="445"/>
        <item x="363"/>
        <item x="20"/>
        <item x="87"/>
        <item x="299"/>
        <item x="154"/>
        <item x="185"/>
        <item x="338"/>
        <item x="472"/>
        <item x="196"/>
        <item x="17"/>
        <item x="305"/>
        <item x="316"/>
        <item x="165"/>
        <item x="243"/>
        <item x="329"/>
        <item x="420"/>
        <item x="230"/>
        <item x="229"/>
        <item x="216"/>
        <item x="190"/>
        <item x="433"/>
        <item x="218"/>
        <item x="222"/>
        <item x="173"/>
        <item x="109"/>
        <item x="267"/>
        <item x="349"/>
        <item x="348"/>
        <item x="323"/>
        <item x="7"/>
        <item x="8"/>
        <item x="250"/>
        <item x="475"/>
        <item x="248"/>
        <item x="98"/>
        <item x="99"/>
        <item x="376"/>
        <item x="73"/>
        <item x="145"/>
        <item x="482"/>
        <item x="119"/>
        <item x="236"/>
        <item x="102"/>
        <item x="483"/>
        <item x="203"/>
        <item x="474"/>
        <item x="80"/>
        <item x="183"/>
        <item x="70"/>
        <item x="344"/>
        <item x="141"/>
        <item x="25"/>
        <item x="454"/>
        <item x="272"/>
        <item x="352"/>
        <item x="105"/>
        <item x="403"/>
        <item x="137"/>
        <item x="5"/>
        <item x="79"/>
        <item x="245"/>
        <item x="392"/>
        <item x="387"/>
        <item x="409"/>
        <item x="167"/>
        <item x="180"/>
        <item x="234"/>
        <item x="383"/>
        <item x="50"/>
        <item x="466"/>
        <item x="467"/>
        <item x="2"/>
        <item x="175"/>
        <item x="446"/>
        <item x="320"/>
        <item x="425"/>
        <item x="31"/>
        <item x="322"/>
        <item x="261"/>
        <item x="53"/>
        <item x="268"/>
        <item x="269"/>
        <item x="16"/>
        <item x="18"/>
        <item x="296"/>
        <item x="293"/>
        <item x="449"/>
        <item x="342"/>
        <item x="487"/>
        <item x="288"/>
        <item x="179"/>
        <item x="21"/>
        <item x="401"/>
        <item x="478"/>
        <item x="450"/>
        <item x="72"/>
        <item x="71"/>
        <item x="171"/>
        <item x="246"/>
        <item x="384"/>
        <item x="68"/>
        <item x="290"/>
        <item x="379"/>
        <item x="423"/>
        <item x="460"/>
        <item x="202"/>
        <item x="437"/>
        <item x="0"/>
        <item x="282"/>
        <item x="42"/>
        <item x="318"/>
        <item x="132"/>
        <item x="381"/>
        <item x="456"/>
        <item x="278"/>
        <item x="447"/>
        <item x="353"/>
        <item x="33"/>
        <item x="311"/>
        <item x="304"/>
        <item x="178"/>
        <item x="93"/>
        <item x="265"/>
        <item x="205"/>
        <item x="461"/>
        <item x="19"/>
        <item x="283"/>
        <item x="440"/>
        <item x="373"/>
        <item x="108"/>
        <item x="133"/>
        <item x="395"/>
        <item x="182"/>
        <item x="103"/>
        <item x="448"/>
        <item x="452"/>
        <item x="150"/>
        <item x="83"/>
        <item x="367"/>
        <item x="292"/>
        <item x="390"/>
        <item x="29"/>
        <item x="337"/>
        <item x="417"/>
        <item x="166"/>
        <item x="306"/>
        <item x="194"/>
        <item x="385"/>
        <item x="428"/>
        <item x="356"/>
        <item x="328"/>
        <item x="468"/>
        <item x="334"/>
        <item x="160"/>
        <item x="347"/>
        <item h="1" x="488"/>
      </items>
    </pivotField>
    <pivotField axis="axisRow" compact="0" outline="0" subtotalTop="0" showAll="0" includeNewItemsInFilter="1" sortType="ascending" defaultSubtotal="0">
      <items count="2">
        <item x="0"/>
        <item x="1"/>
      </items>
    </pivotField>
    <pivotField axis="axisRow" compact="0" outline="0" subtotalTop="0" showAll="0" includeNewItemsInFilter="1" sortType="ascending" defaultSubtotal="0">
      <items count="2">
        <item x="0"/>
        <item h="1" x="1"/>
      </items>
    </pivotField>
    <pivotField axis="axisRow" compact="0" outline="0" subtotalTop="0" showAll="0" includeNewItemsInFilter="1" defaultSubtotal="0">
      <items count="4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h="1" x="422"/>
      </items>
    </pivotField>
    <pivotField axis="axisRow" compact="0" outline="0" subtotalTop="0" showAll="0" includeNewItemsInFilter="1" defaultSubtotal="0">
      <items count="3">
        <item x="0"/>
        <item x="1"/>
        <item h="1" x="2"/>
      </items>
    </pivotField>
    <pivotField axis="axisRow" compact="0" outline="0" subtotalTop="0" showAll="0" includeNewItemsInFilter="1" defaultSubtotal="0">
      <items count="3">
        <item x="0"/>
        <item x="1"/>
        <item h="1" x="2"/>
      </items>
    </pivotField>
  </pivotFields>
  <rowFields count="8">
    <field x="2"/>
    <field x="3"/>
    <field x="4"/>
    <field x="5"/>
    <field x="6"/>
    <field x="7"/>
    <field x="8"/>
    <field x="9"/>
  </rowFields>
  <rowItems count="715">
    <i>
      <x/>
      <x v="1"/>
      <x/>
      <x/>
      <x/>
      <x v="104"/>
      <x/>
      <x/>
    </i>
    <i r="6">
      <x v="1"/>
      <x v="1"/>
    </i>
    <i>
      <x v="1"/>
      <x v="2"/>
      <x v="98"/>
      <x/>
      <x/>
      <x v="178"/>
      <x/>
      <x/>
    </i>
    <i r="6">
      <x v="1"/>
      <x v="1"/>
    </i>
    <i>
      <x v="2"/>
      <x v="3"/>
      <x v="24"/>
      <x/>
      <x/>
      <x v="372"/>
      <x/>
      <x/>
    </i>
    <i>
      <x v="3"/>
      <x v="4"/>
      <x v="126"/>
      <x/>
      <x/>
      <x v="145"/>
      <x/>
      <x/>
    </i>
    <i r="6">
      <x v="1"/>
      <x v="1"/>
    </i>
    <i>
      <x v="4"/>
      <x v="5"/>
      <x v="11"/>
      <x/>
      <x/>
      <x v="337"/>
      <x/>
      <x/>
    </i>
    <i r="6">
      <x v="1"/>
      <x v="1"/>
    </i>
    <i>
      <x v="5"/>
      <x v="6"/>
      <x v="50"/>
      <x/>
      <x/>
      <x v="304"/>
      <x/>
      <x/>
    </i>
    <i>
      <x v="6"/>
      <x v="7"/>
      <x v="30"/>
      <x/>
      <x/>
      <x v="92"/>
      <x/>
      <x/>
    </i>
    <i r="6">
      <x v="1"/>
      <x v="1"/>
    </i>
    <i>
      <x v="7"/>
      <x v="8"/>
      <x v="26"/>
      <x/>
      <x/>
      <x v="47"/>
      <x/>
      <x/>
    </i>
    <i>
      <x v="8"/>
      <x v="9"/>
      <x v="38"/>
      <x/>
      <x/>
      <x v="179"/>
      <x/>
      <x/>
    </i>
    <i>
      <x v="9"/>
      <x v="10"/>
      <x v="115"/>
      <x/>
      <x/>
      <x v="118"/>
      <x/>
      <x/>
    </i>
    <i>
      <x v="10"/>
      <x v="284"/>
      <x v="352"/>
      <x/>
      <x/>
      <x v="159"/>
      <x/>
      <x/>
    </i>
    <i r="6">
      <x v="1"/>
      <x v="1"/>
    </i>
    <i>
      <x v="11"/>
      <x v="285"/>
      <x v="257"/>
      <x/>
      <x/>
      <x v="344"/>
      <x/>
      <x/>
    </i>
    <i r="6">
      <x v="1"/>
      <x v="1"/>
    </i>
    <i>
      <x v="12"/>
      <x v="286"/>
      <x v="376"/>
      <x/>
      <x/>
      <x v="417"/>
      <x/>
      <x/>
    </i>
    <i>
      <x v="13"/>
      <x v="415"/>
      <x v="396"/>
      <x/>
      <x/>
      <x v="346"/>
      <x/>
      <x/>
    </i>
    <i r="6">
      <x v="1"/>
      <x v="1"/>
    </i>
    <i>
      <x v="14"/>
      <x v="287"/>
      <x v="80"/>
      <x/>
      <x/>
      <x v="66"/>
      <x/>
      <x/>
    </i>
    <i>
      <x v="15"/>
      <x v="288"/>
      <x v="66"/>
      <x/>
      <x/>
      <x v="77"/>
      <x/>
      <x/>
    </i>
    <i>
      <x v="16"/>
      <x v="289"/>
      <x v="213"/>
      <x/>
      <x/>
      <x v="174"/>
      <x/>
      <x/>
    </i>
    <i>
      <x v="17"/>
      <x v="290"/>
      <x v="305"/>
      <x/>
      <x/>
      <x v="130"/>
      <x/>
      <x/>
    </i>
    <i>
      <x v="18"/>
      <x/>
      <x v="310"/>
      <x/>
      <x/>
      <x v="47"/>
      <x/>
      <x/>
    </i>
    <i r="6">
      <x v="1"/>
      <x v="1"/>
    </i>
    <i>
      <x v="19"/>
      <x v="291"/>
      <x v="439"/>
      <x/>
      <x/>
      <x v="374"/>
      <x/>
      <x/>
    </i>
    <i>
      <x v="20"/>
      <x v="292"/>
      <x v="144"/>
      <x/>
      <x/>
      <x v="47"/>
      <x/>
      <x/>
    </i>
    <i>
      <x v="21"/>
      <x/>
      <x v="8"/>
      <x/>
      <x/>
      <x v="413"/>
      <x/>
      <x/>
    </i>
    <i>
      <x v="22"/>
      <x/>
      <x v="176"/>
      <x/>
      <x/>
      <x v="388"/>
      <x/>
      <x/>
    </i>
    <i r="6">
      <x v="1"/>
      <x v="1"/>
    </i>
    <i>
      <x v="23"/>
      <x v="11"/>
      <x v="200"/>
      <x/>
      <x/>
      <x v="132"/>
      <x/>
      <x/>
    </i>
    <i>
      <x v="24"/>
      <x v="163"/>
      <x v="425"/>
      <x/>
      <x/>
      <x v="339"/>
      <x/>
      <x/>
    </i>
    <i>
      <x v="25"/>
      <x v="185"/>
      <x v="34"/>
      <x/>
      <x/>
      <x v="175"/>
      <x/>
      <x/>
    </i>
    <i>
      <x v="26"/>
      <x v="414"/>
      <x v="182"/>
      <x/>
      <x/>
      <x v="275"/>
      <x/>
      <x/>
    </i>
    <i r="6">
      <x v="1"/>
      <x v="1"/>
    </i>
    <i>
      <x v="27"/>
      <x v="66"/>
      <x v="198"/>
      <x/>
      <x/>
      <x v="37"/>
      <x/>
      <x/>
    </i>
    <i r="6">
      <x v="1"/>
      <x v="1"/>
    </i>
    <i>
      <x v="28"/>
      <x v="295"/>
      <x v="218"/>
      <x/>
      <x/>
      <x v="375"/>
      <x/>
      <x/>
    </i>
    <i>
      <x v="29"/>
      <x v="296"/>
      <x v="322"/>
      <x/>
      <x/>
      <x v="373"/>
      <x/>
      <x/>
    </i>
    <i>
      <x v="30"/>
      <x/>
      <x v="132"/>
      <x/>
      <x/>
      <x v="47"/>
      <x/>
      <x/>
    </i>
    <i r="6">
      <x v="1"/>
      <x v="1"/>
    </i>
    <i>
      <x v="31"/>
      <x/>
      <x v="403"/>
      <x/>
      <x/>
      <x v="400"/>
      <x/>
      <x/>
    </i>
    <i>
      <x v="32"/>
      <x v="118"/>
      <x v="48"/>
      <x/>
      <x/>
      <x v="312"/>
      <x/>
      <x/>
    </i>
    <i>
      <x v="33"/>
      <x/>
      <x v="157"/>
      <x/>
      <x/>
      <x v="6"/>
      <x/>
      <x/>
    </i>
    <i>
      <x v="34"/>
      <x v="13"/>
      <x v="94"/>
      <x/>
      <x/>
      <x v="47"/>
      <x/>
      <x/>
    </i>
    <i r="6">
      <x v="1"/>
      <x v="1"/>
    </i>
    <i>
      <x v="35"/>
      <x/>
      <x v="482"/>
      <x/>
      <x/>
      <x v="302"/>
      <x/>
      <x/>
    </i>
    <i>
      <x v="36"/>
      <x v="29"/>
      <x v="339"/>
      <x/>
      <x/>
      <x v="284"/>
      <x/>
      <x/>
    </i>
    <i>
      <x v="37"/>
      <x/>
      <x v="367"/>
      <x/>
      <x/>
      <x v="80"/>
      <x/>
      <x/>
    </i>
    <i>
      <x v="38"/>
      <x v="12"/>
      <x v="469"/>
      <x/>
      <x/>
      <x v="125"/>
      <x/>
      <x/>
    </i>
    <i>
      <x v="39"/>
      <x v="14"/>
      <x v="209"/>
      <x/>
      <x/>
      <x v="158"/>
      <x/>
      <x/>
    </i>
    <i r="6">
      <x v="1"/>
      <x v="1"/>
    </i>
    <i>
      <x v="40"/>
      <x v="191"/>
      <x v="63"/>
      <x/>
      <x/>
      <x v="201"/>
      <x/>
      <x/>
    </i>
    <i r="6">
      <x v="1"/>
      <x v="1"/>
    </i>
    <i>
      <x v="41"/>
      <x v="15"/>
      <x v="23"/>
      <x/>
      <x/>
      <x v="403"/>
      <x/>
      <x/>
    </i>
    <i>
      <x v="42"/>
      <x v="16"/>
      <x v="400"/>
      <x/>
      <x/>
      <x v="325"/>
      <x/>
      <x/>
    </i>
    <i>
      <x v="43"/>
      <x v="17"/>
      <x v="88"/>
      <x/>
      <x/>
      <x v="279"/>
      <x/>
      <x/>
    </i>
    <i>
      <x v="44"/>
      <x v="18"/>
      <x v="291"/>
      <x/>
      <x/>
      <x v="49"/>
      <x/>
      <x/>
    </i>
    <i>
      <x v="45"/>
      <x v="19"/>
      <x v="120"/>
      <x/>
      <x/>
      <x v="245"/>
      <x/>
      <x/>
    </i>
    <i r="6">
      <x v="1"/>
      <x v="1"/>
    </i>
    <i>
      <x v="46"/>
      <x v="20"/>
      <x v="449"/>
      <x/>
      <x/>
      <x v="299"/>
      <x/>
      <x/>
    </i>
    <i>
      <x v="47"/>
      <x v="21"/>
      <x v="273"/>
      <x/>
      <x/>
      <x v="209"/>
      <x/>
      <x/>
    </i>
    <i>
      <x v="48"/>
      <x v="22"/>
      <x v="230"/>
      <x/>
      <x/>
      <x v="366"/>
      <x/>
      <x/>
    </i>
    <i>
      <x v="49"/>
      <x v="23"/>
      <x v="214"/>
      <x/>
      <x/>
      <x v="254"/>
      <x/>
      <x/>
    </i>
    <i>
      <x v="50"/>
      <x v="24"/>
      <x v="308"/>
      <x/>
      <x/>
      <x v="203"/>
      <x/>
      <x/>
    </i>
    <i>
      <x v="51"/>
      <x v="25"/>
      <x v="275"/>
      <x/>
      <x/>
      <x v="391"/>
      <x/>
      <x/>
    </i>
    <i>
      <x v="52"/>
      <x v="26"/>
      <x v="125"/>
      <x/>
      <x/>
      <x v="42"/>
      <x/>
      <x/>
    </i>
    <i r="6">
      <x v="1"/>
      <x v="1"/>
    </i>
    <i>
      <x v="53"/>
      <x v="27"/>
      <x v="71"/>
      <x/>
      <x/>
      <x v="390"/>
      <x/>
      <x/>
    </i>
    <i r="6">
      <x v="1"/>
      <x v="1"/>
    </i>
    <i>
      <x v="54"/>
      <x v="28"/>
      <x v="278"/>
      <x/>
      <x/>
      <x v="28"/>
      <x/>
      <x/>
    </i>
    <i>
      <x v="55"/>
      <x v="30"/>
      <x v="357"/>
      <x/>
      <x/>
      <x v="89"/>
      <x/>
      <x/>
    </i>
    <i r="6">
      <x v="1"/>
      <x v="1"/>
    </i>
    <i>
      <x v="56"/>
      <x v="31"/>
      <x v="420"/>
      <x/>
      <x/>
      <x v="288"/>
      <x/>
      <x/>
    </i>
    <i>
      <x v="57"/>
      <x v="32"/>
      <x v="129"/>
      <x/>
      <x/>
      <x v="128"/>
      <x/>
      <x/>
    </i>
    <i>
      <x v="58"/>
      <x v="33"/>
      <x v="207"/>
      <x/>
      <x/>
      <x v="60"/>
      <x/>
      <x/>
    </i>
    <i r="6">
      <x v="1"/>
      <x v="1"/>
    </i>
    <i>
      <x v="59"/>
      <x v="34"/>
      <x v="116"/>
      <x/>
      <x/>
      <x v="34"/>
      <x/>
      <x/>
    </i>
    <i>
      <x v="60"/>
      <x v="35"/>
      <x v="231"/>
      <x/>
      <x/>
      <x v="308"/>
      <x/>
      <x/>
    </i>
    <i r="6">
      <x v="1"/>
      <x v="1"/>
    </i>
    <i>
      <x v="61"/>
      <x v="36"/>
      <x v="485"/>
      <x/>
      <x/>
      <x v="281"/>
      <x/>
      <x/>
    </i>
    <i>
      <x v="62"/>
      <x v="37"/>
      <x v="76"/>
      <x/>
      <x/>
      <x v="181"/>
      <x/>
      <x/>
    </i>
    <i>
      <x v="63"/>
      <x v="38"/>
      <x v="349"/>
      <x/>
      <x/>
      <x v="197"/>
      <x/>
      <x/>
    </i>
    <i r="6">
      <x v="1"/>
      <x v="1"/>
    </i>
    <i>
      <x v="64"/>
      <x v="39"/>
      <x v="93"/>
      <x/>
      <x/>
      <x v="338"/>
      <x/>
      <x/>
    </i>
    <i r="6">
      <x v="1"/>
      <x v="1"/>
    </i>
    <i>
      <x v="65"/>
      <x v="40"/>
      <x v="114"/>
      <x/>
      <x/>
      <x v="47"/>
      <x/>
      <x/>
    </i>
    <i r="6">
      <x v="1"/>
      <x v="1"/>
    </i>
    <i>
      <x v="66"/>
      <x v="41"/>
      <x v="359"/>
      <x/>
      <x/>
      <x v="295"/>
      <x/>
      <x/>
    </i>
    <i r="6">
      <x v="1"/>
      <x v="1"/>
    </i>
    <i>
      <x v="67"/>
      <x/>
      <x v="5"/>
      <x/>
      <x/>
      <x v="177"/>
      <x/>
      <x/>
    </i>
    <i r="6">
      <x v="1"/>
      <x v="1"/>
    </i>
    <i>
      <x v="68"/>
      <x v="42"/>
      <x v="206"/>
      <x/>
      <x/>
      <x v="291"/>
      <x/>
      <x/>
    </i>
    <i>
      <x v="69"/>
      <x v="43"/>
      <x v="165"/>
      <x/>
      <x/>
      <x v="230"/>
      <x/>
      <x/>
    </i>
    <i r="6">
      <x v="1"/>
      <x v="1"/>
    </i>
    <i>
      <x v="70"/>
      <x v="44"/>
      <x v="336"/>
      <x/>
      <x/>
      <x v="255"/>
      <x/>
      <x/>
    </i>
    <i>
      <x v="71"/>
      <x v="45"/>
      <x v="216"/>
      <x/>
      <x/>
      <x v="233"/>
      <x/>
      <x/>
    </i>
    <i>
      <x v="72"/>
      <x v="46"/>
      <x v="203"/>
      <x/>
      <x/>
      <x v="73"/>
      <x/>
      <x/>
    </i>
    <i>
      <x v="73"/>
      <x v="47"/>
      <x v="86"/>
      <x/>
      <x/>
      <x v="350"/>
      <x/>
      <x/>
    </i>
    <i>
      <x v="74"/>
      <x v="48"/>
      <x v="61"/>
      <x/>
      <x/>
      <x v="313"/>
      <x/>
      <x/>
    </i>
    <i r="6">
      <x v="1"/>
      <x v="1"/>
    </i>
    <i>
      <x v="75"/>
      <x v="49"/>
      <x v="381"/>
      <x/>
      <x/>
      <x v="54"/>
      <x/>
      <x/>
    </i>
    <i r="6">
      <x v="1"/>
      <x v="1"/>
    </i>
    <i>
      <x v="76"/>
      <x v="50"/>
      <x v="227"/>
      <x/>
      <x/>
      <x v="151"/>
      <x/>
      <x/>
    </i>
    <i>
      <x v="77"/>
      <x v="51"/>
      <x v="196"/>
      <x/>
      <x/>
      <x v="37"/>
      <x/>
      <x/>
    </i>
    <i>
      <x v="78"/>
      <x v="52"/>
      <x v="107"/>
      <x/>
      <x/>
      <x v="351"/>
      <x/>
      <x/>
    </i>
    <i>
      <x v="79"/>
      <x v="53"/>
      <x v="69"/>
      <x/>
      <x/>
      <x v="398"/>
      <x/>
      <x/>
    </i>
    <i>
      <x v="80"/>
      <x v="54"/>
      <x v="254"/>
      <x/>
      <x/>
      <x v="103"/>
      <x/>
      <x/>
    </i>
    <i>
      <x v="81"/>
      <x v="55"/>
      <x v="334"/>
      <x/>
      <x/>
      <x v="19"/>
      <x/>
      <x/>
    </i>
    <i>
      <x v="82"/>
      <x v="56"/>
      <x v="418"/>
      <x/>
      <x/>
      <x v="249"/>
      <x/>
      <x/>
    </i>
    <i>
      <x v="83"/>
      <x v="57"/>
      <x v="127"/>
      <x/>
      <x/>
      <x v="380"/>
      <x/>
      <x/>
    </i>
    <i>
      <x v="84"/>
      <x v="58"/>
      <x v="39"/>
      <x/>
      <x/>
      <x v="217"/>
      <x/>
      <x/>
    </i>
    <i r="6">
      <x v="1"/>
      <x v="1"/>
    </i>
    <i>
      <x v="85"/>
      <x v="59"/>
      <x v="70"/>
      <x/>
      <x/>
      <x v="348"/>
      <x/>
      <x/>
    </i>
    <i>
      <x v="86"/>
      <x v="60"/>
      <x v="6"/>
      <x/>
      <x/>
      <x v="378"/>
      <x/>
      <x/>
    </i>
    <i>
      <x v="87"/>
      <x v="61"/>
      <x v="121"/>
      <x/>
      <x/>
      <x v="45"/>
      <x/>
      <x/>
    </i>
    <i>
      <x v="88"/>
      <x v="62"/>
      <x v="124"/>
      <x/>
      <x/>
      <x v="47"/>
      <x/>
      <x/>
    </i>
    <i r="6">
      <x v="1"/>
      <x v="1"/>
    </i>
    <i>
      <x v="89"/>
      <x v="63"/>
      <x v="267"/>
      <x/>
      <x/>
      <x v="315"/>
      <x/>
      <x/>
    </i>
    <i r="6">
      <x v="1"/>
      <x v="1"/>
    </i>
    <i>
      <x v="90"/>
      <x v="64"/>
      <x v="82"/>
      <x/>
      <x/>
      <x v="265"/>
      <x/>
      <x/>
    </i>
    <i>
      <x v="91"/>
      <x v="65"/>
      <x v="57"/>
      <x/>
      <x/>
      <x v="412"/>
      <x/>
      <x/>
    </i>
    <i>
      <x v="92"/>
      <x v="67"/>
      <x v="263"/>
      <x/>
      <x/>
      <x v="333"/>
      <x/>
      <x/>
    </i>
    <i>
      <x v="93"/>
      <x v="68"/>
      <x v="58"/>
      <x/>
      <x/>
      <x v="331"/>
      <x/>
      <x/>
    </i>
    <i>
      <x v="94"/>
      <x v="69"/>
      <x v="480"/>
      <x/>
      <x/>
      <x v="327"/>
      <x/>
      <x/>
    </i>
    <i>
      <x v="95"/>
      <x v="70"/>
      <x v="54"/>
      <x/>
      <x/>
      <x v="352"/>
      <x/>
      <x/>
    </i>
    <i>
      <x v="96"/>
      <x v="71"/>
      <x v="221"/>
      <x/>
      <x/>
      <x v="153"/>
      <x/>
      <x/>
    </i>
    <i>
      <x v="97"/>
      <x v="72"/>
      <x v="268"/>
      <x/>
      <x/>
      <x v="40"/>
      <x/>
      <x/>
    </i>
    <i r="6">
      <x v="1"/>
      <x v="1"/>
    </i>
    <i>
      <x v="98"/>
      <x v="73"/>
      <x v="317"/>
      <x/>
      <x/>
      <x v="335"/>
      <x/>
      <x/>
    </i>
    <i>
      <x v="99"/>
      <x v="74"/>
      <x v="348"/>
      <x/>
      <x/>
      <x v="357"/>
      <x/>
      <x/>
    </i>
    <i>
      <x v="100"/>
      <x v="75"/>
      <x v="210"/>
      <x/>
      <x/>
      <x v="158"/>
      <x/>
      <x/>
    </i>
    <i>
      <x v="101"/>
      <x v="76"/>
      <x v="168"/>
      <x/>
      <x/>
      <x v="219"/>
      <x/>
      <x/>
    </i>
    <i>
      <x v="102"/>
      <x v="77"/>
      <x v="391"/>
      <x/>
      <x/>
      <x v="5"/>
      <x/>
      <x/>
    </i>
    <i r="6">
      <x v="1"/>
      <x v="1"/>
    </i>
    <i>
      <x v="103"/>
      <x v="78"/>
      <x v="288"/>
      <x/>
      <x/>
      <x v="333"/>
      <x/>
      <x/>
    </i>
    <i>
      <x v="104"/>
      <x v="79"/>
      <x v="289"/>
      <x/>
      <x/>
      <x v="206"/>
      <x/>
      <x/>
    </i>
    <i>
      <x v="105"/>
      <x v="80"/>
      <x v="35"/>
      <x/>
      <x/>
      <x v="127"/>
      <x/>
      <x/>
    </i>
    <i>
      <x v="106"/>
      <x v="81"/>
      <x v="311"/>
      <x/>
      <x/>
      <x v="47"/>
      <x/>
      <x/>
    </i>
    <i r="6">
      <x v="1"/>
      <x v="1"/>
    </i>
    <i>
      <x v="107"/>
      <x v="82"/>
      <x v="351"/>
      <x/>
      <x/>
      <x v="183"/>
      <x/>
      <x/>
    </i>
    <i r="6">
      <x v="1"/>
      <x v="1"/>
    </i>
    <i>
      <x v="108"/>
      <x v="83"/>
      <x v="64"/>
      <x/>
      <x/>
      <x v="236"/>
      <x/>
      <x/>
    </i>
    <i r="6">
      <x v="1"/>
      <x v="1"/>
    </i>
    <i>
      <x v="109"/>
      <x v="84"/>
      <x v="249"/>
      <x/>
      <x/>
      <x v="33"/>
      <x/>
      <x/>
    </i>
    <i r="6">
      <x v="1"/>
      <x v="1"/>
    </i>
    <i>
      <x v="110"/>
      <x v="85"/>
      <x v="236"/>
      <x/>
      <x/>
      <x v="409"/>
      <x/>
      <x/>
    </i>
    <i>
      <x v="111"/>
      <x v="86"/>
      <x v="18"/>
      <x/>
      <x/>
      <x v="181"/>
      <x/>
      <x/>
    </i>
    <i>
      <x v="112"/>
      <x v="87"/>
      <x v="444"/>
      <x/>
      <x/>
      <x v="109"/>
      <x/>
      <x/>
    </i>
    <i>
      <x v="113"/>
      <x v="88"/>
      <x v="443"/>
      <x/>
      <x/>
      <x v="270"/>
      <x/>
      <x/>
    </i>
    <i r="6">
      <x v="1"/>
      <x v="1"/>
    </i>
    <i>
      <x v="114"/>
      <x v="89"/>
      <x v="450"/>
      <x/>
      <x/>
      <x v="31"/>
      <x/>
      <x/>
    </i>
    <i r="6">
      <x v="1"/>
      <x v="1"/>
    </i>
    <i>
      <x v="115"/>
      <x v="90"/>
      <x v="464"/>
      <x/>
      <x/>
      <x v="333"/>
      <x/>
      <x/>
    </i>
    <i r="6">
      <x v="1"/>
      <x v="1"/>
    </i>
    <i>
      <x v="116"/>
      <x v="258"/>
      <x v="319"/>
      <x/>
      <x/>
      <x v="21"/>
      <x/>
      <x/>
    </i>
    <i>
      <x v="117"/>
      <x v="91"/>
      <x v="243"/>
      <x/>
      <x/>
      <x v="234"/>
      <x/>
      <x/>
    </i>
    <i>
      <x v="118"/>
      <x v="92"/>
      <x v="21"/>
      <x/>
      <x/>
      <x v="202"/>
      <x/>
      <x/>
    </i>
    <i>
      <x v="119"/>
      <x v="93"/>
      <x v="137"/>
      <x/>
      <x/>
      <x v="243"/>
      <x/>
      <x/>
    </i>
    <i>
      <x v="120"/>
      <x v="94"/>
      <x v="387"/>
      <x/>
      <x/>
      <x v="298"/>
      <x/>
      <x/>
    </i>
    <i>
      <x v="121"/>
      <x v="95"/>
      <x v="97"/>
      <x/>
      <x/>
      <x v="61"/>
      <x/>
      <x/>
    </i>
    <i r="6">
      <x v="1"/>
      <x v="1"/>
    </i>
    <i>
      <x v="122"/>
      <x v="96"/>
      <x v="397"/>
      <x/>
      <x/>
      <x v="142"/>
      <x/>
      <x/>
    </i>
    <i>
      <x v="123"/>
      <x/>
      <x v="194"/>
      <x/>
      <x/>
      <x v="50"/>
      <x/>
      <x/>
    </i>
    <i>
      <x v="124"/>
      <x v="97"/>
      <x v="212"/>
      <x/>
      <x/>
      <x v="250"/>
      <x/>
      <x/>
    </i>
    <i>
      <x v="125"/>
      <x v="98"/>
      <x v="199"/>
      <x/>
      <x/>
      <x v="268"/>
      <x/>
      <x/>
    </i>
    <i>
      <x v="126"/>
      <x v="99"/>
      <x v="281"/>
      <x/>
      <x/>
      <x v="377"/>
      <x/>
      <x/>
    </i>
    <i>
      <x v="127"/>
      <x v="100"/>
      <x v="175"/>
      <x/>
      <x/>
      <x v="21"/>
      <x/>
      <x/>
    </i>
    <i r="6">
      <x v="1"/>
      <x v="1"/>
    </i>
    <i>
      <x v="128"/>
      <x v="257"/>
      <x v="180"/>
      <x/>
      <x/>
      <x v="231"/>
      <x/>
      <x/>
    </i>
    <i r="6">
      <x v="1"/>
      <x v="1"/>
    </i>
    <i>
      <x v="129"/>
      <x v="101"/>
      <x v="68"/>
      <x/>
      <x/>
      <x v="40"/>
      <x/>
      <x/>
    </i>
    <i>
      <x v="130"/>
      <x v="102"/>
      <x v="219"/>
      <x/>
      <x/>
      <x v="270"/>
      <x/>
      <x/>
    </i>
    <i>
      <x v="131"/>
      <x v="103"/>
      <x v="453"/>
      <x/>
      <x/>
      <x v="152"/>
      <x/>
      <x/>
    </i>
    <i>
      <x v="132"/>
      <x v="104"/>
      <x v="371"/>
      <x/>
      <x/>
      <x v="120"/>
      <x/>
      <x/>
    </i>
    <i r="6">
      <x v="1"/>
      <x v="1"/>
    </i>
    <i>
      <x v="133"/>
      <x v="105"/>
      <x v="91"/>
      <x/>
      <x/>
      <x v="194"/>
      <x/>
      <x/>
    </i>
    <i>
      <x v="134"/>
      <x v="106"/>
      <x v="173"/>
      <x/>
      <x/>
      <x v="345"/>
      <x/>
      <x/>
    </i>
    <i>
      <x v="135"/>
      <x v="107"/>
      <x v="447"/>
      <x/>
      <x/>
      <x v="235"/>
      <x/>
      <x/>
    </i>
    <i>
      <x v="136"/>
      <x v="108"/>
      <x v="360"/>
      <x/>
      <x/>
      <x v="294"/>
      <x/>
      <x/>
    </i>
    <i r="6">
      <x v="1"/>
      <x v="1"/>
    </i>
    <i>
      <x v="137"/>
      <x v="109"/>
      <x v="295"/>
      <x/>
      <x/>
      <x v="237"/>
      <x/>
      <x/>
    </i>
    <i r="6">
      <x v="1"/>
      <x v="1"/>
    </i>
    <i>
      <x v="138"/>
      <x v="110"/>
      <x v="128"/>
      <x/>
      <x/>
      <x v="187"/>
      <x/>
      <x/>
    </i>
    <i>
      <x v="139"/>
      <x v="111"/>
      <x v="472"/>
      <x/>
      <x/>
      <x v="248"/>
      <x/>
      <x/>
    </i>
    <i>
      <x v="140"/>
      <x v="112"/>
      <x v="342"/>
      <x/>
      <x/>
      <x v="16"/>
      <x/>
      <x/>
    </i>
    <i>
      <x v="141"/>
      <x v="113"/>
      <x v="95"/>
      <x/>
      <x/>
      <x v="198"/>
      <x/>
      <x/>
    </i>
    <i>
      <x v="142"/>
      <x v="114"/>
      <x v="16"/>
      <x/>
      <x/>
      <x v="188"/>
      <x/>
      <x/>
    </i>
    <i>
      <x v="143"/>
      <x v="115"/>
      <x v="112"/>
      <x/>
      <x/>
      <x v="263"/>
      <x/>
      <x/>
    </i>
    <i r="6">
      <x v="1"/>
      <x v="1"/>
    </i>
    <i>
      <x v="144"/>
      <x v="116"/>
      <x v="178"/>
      <x/>
      <x/>
      <x v="263"/>
      <x/>
      <x/>
    </i>
    <i r="6">
      <x v="1"/>
      <x v="1"/>
    </i>
    <i>
      <x v="145"/>
      <x v="117"/>
      <x v="404"/>
      <x/>
      <x/>
      <x v="2"/>
      <x/>
      <x/>
    </i>
    <i r="6">
      <x v="1"/>
      <x v="1"/>
    </i>
    <i>
      <x v="146"/>
      <x v="119"/>
      <x v="431"/>
      <x/>
      <x/>
      <x v="210"/>
      <x/>
      <x/>
    </i>
    <i r="6">
      <x v="1"/>
      <x v="1"/>
    </i>
    <i>
      <x v="147"/>
      <x v="120"/>
      <x v="186"/>
      <x/>
      <x/>
      <x v="216"/>
      <x/>
      <x/>
    </i>
    <i>
      <x v="148"/>
      <x v="121"/>
      <x v="335"/>
      <x/>
      <x/>
      <x v="69"/>
      <x/>
      <x/>
    </i>
    <i>
      <x v="149"/>
      <x v="122"/>
      <x v="441"/>
      <x/>
      <x/>
      <x v="239"/>
      <x/>
      <x/>
    </i>
    <i>
      <x v="150"/>
      <x v="123"/>
      <x v="326"/>
      <x/>
      <x/>
      <x v="147"/>
      <x/>
      <x/>
    </i>
    <i>
      <x v="151"/>
      <x v="124"/>
      <x v="2"/>
      <x/>
      <x/>
      <x v="87"/>
      <x/>
      <x/>
    </i>
    <i r="6">
      <x v="1"/>
      <x v="1"/>
    </i>
    <i>
      <x v="152"/>
      <x v="125"/>
      <x v="353"/>
      <x/>
      <x/>
      <x v="370"/>
      <x/>
      <x/>
    </i>
    <i>
      <x v="153"/>
      <x v="126"/>
      <x v="341"/>
      <x/>
      <x/>
      <x v="165"/>
      <x/>
      <x/>
    </i>
    <i>
      <x v="154"/>
      <x v="127"/>
      <x v="435"/>
      <x/>
      <x/>
      <x v="321"/>
      <x/>
      <x/>
    </i>
    <i>
      <x v="155"/>
      <x v="128"/>
      <x v="22"/>
      <x/>
      <x/>
      <x v="90"/>
      <x/>
      <x/>
    </i>
    <i>
      <x v="156"/>
      <x v="129"/>
      <x v="276"/>
      <x/>
      <x/>
      <x v="197"/>
      <x/>
      <x/>
    </i>
    <i>
      <x v="157"/>
      <x v="130"/>
      <x v="293"/>
      <x/>
      <x/>
      <x v="149"/>
      <x/>
      <x/>
    </i>
    <i>
      <x v="158"/>
      <x v="131"/>
      <x v="151"/>
      <x/>
      <x/>
      <x v="88"/>
      <x/>
      <x/>
    </i>
    <i>
      <x v="159"/>
      <x v="132"/>
      <x v="138"/>
      <x/>
      <x/>
      <x v="143"/>
      <x/>
      <x/>
    </i>
    <i>
      <x v="160"/>
      <x v="133"/>
      <x v="437"/>
      <x/>
      <x/>
      <x v="393"/>
      <x/>
      <x/>
    </i>
    <i>
      <x v="161"/>
      <x v="134"/>
      <x v="92"/>
      <x/>
      <x/>
      <x v="307"/>
      <x/>
      <x/>
    </i>
    <i>
      <x v="162"/>
      <x v="135"/>
      <x v="262"/>
      <x/>
      <x/>
      <x v="58"/>
      <x/>
      <x/>
    </i>
    <i>
      <x v="163"/>
      <x v="136"/>
      <x v="142"/>
      <x/>
      <x/>
      <x v="58"/>
      <x/>
      <x/>
    </i>
    <i>
      <x v="164"/>
      <x v="137"/>
      <x v="145"/>
      <x/>
      <x/>
      <x v="251"/>
      <x/>
      <x/>
    </i>
    <i>
      <x v="165"/>
      <x v="138"/>
      <x v="474"/>
      <x/>
      <x/>
      <x v="27"/>
      <x/>
      <x/>
    </i>
    <i>
      <x v="166"/>
      <x v="139"/>
      <x v="17"/>
      <x/>
      <x/>
      <x v="343"/>
      <x/>
      <x/>
    </i>
    <i>
      <x v="167"/>
      <x v="140"/>
      <x v="150"/>
      <x/>
      <x/>
      <x v="168"/>
      <x/>
      <x/>
    </i>
    <i r="6">
      <x v="1"/>
      <x v="1"/>
    </i>
    <i>
      <x v="168"/>
      <x v="141"/>
      <x v="246"/>
      <x/>
      <x/>
      <x v="1"/>
      <x/>
      <x/>
    </i>
    <i>
      <x v="169"/>
      <x v="142"/>
      <x v="166"/>
      <x/>
      <x/>
      <x v="68"/>
      <x/>
      <x/>
    </i>
    <i>
      <x v="170"/>
      <x v="311"/>
      <x v="235"/>
      <x/>
      <x/>
      <x v="269"/>
      <x/>
      <x/>
    </i>
    <i>
      <x v="171"/>
      <x v="143"/>
      <x v="390"/>
      <x/>
      <x/>
      <x v="112"/>
      <x/>
      <x/>
    </i>
    <i>
      <x v="172"/>
      <x v="144"/>
      <x v="1"/>
      <x/>
      <x/>
      <x v="166"/>
      <x/>
      <x/>
    </i>
    <i>
      <x v="173"/>
      <x v="145"/>
      <x v="332"/>
      <x/>
      <x/>
      <x v="380"/>
      <x/>
      <x/>
    </i>
    <i r="6">
      <x v="1"/>
      <x v="1"/>
    </i>
    <i>
      <x v="174"/>
      <x v="146"/>
      <x v="158"/>
      <x/>
      <x/>
      <x v="168"/>
      <x/>
      <x/>
    </i>
    <i>
      <x v="175"/>
      <x v="147"/>
      <x v="170"/>
      <x/>
      <x/>
      <x v="225"/>
      <x/>
      <x/>
    </i>
    <i r="6">
      <x v="1"/>
      <x v="1"/>
    </i>
    <i>
      <x v="176"/>
      <x v="148"/>
      <x v="100"/>
      <x/>
      <x/>
      <x v="222"/>
      <x/>
      <x/>
    </i>
    <i>
      <x v="177"/>
      <x v="149"/>
      <x v="313"/>
      <x/>
      <x/>
      <x v="222"/>
      <x/>
      <x/>
    </i>
    <i>
      <x v="178"/>
      <x v="150"/>
      <x v="130"/>
      <x/>
      <x/>
      <x v="220"/>
      <x/>
      <x/>
    </i>
    <i>
      <x v="179"/>
      <x v="151"/>
      <x v="37"/>
      <x/>
      <x/>
      <x v="376"/>
      <x/>
      <x/>
    </i>
    <i r="6">
      <x v="1"/>
      <x v="1"/>
    </i>
    <i>
      <x v="180"/>
      <x v="152"/>
      <x v="455"/>
      <x/>
      <x/>
      <x v="226"/>
      <x/>
      <x/>
    </i>
    <i>
      <x v="181"/>
      <x v="153"/>
      <x v="452"/>
      <x/>
      <x/>
      <x v="260"/>
      <x/>
      <x/>
    </i>
    <i>
      <x v="182"/>
      <x v="154"/>
      <x v="260"/>
      <x/>
      <x/>
      <x v="107"/>
      <x/>
      <x/>
    </i>
    <i>
      <x v="183"/>
      <x v="155"/>
      <x v="15"/>
      <x/>
      <x/>
      <x v="89"/>
      <x/>
      <x/>
    </i>
    <i>
      <x v="184"/>
      <x v="156"/>
      <x v="285"/>
      <x/>
      <x/>
      <x v="287"/>
      <x/>
      <x/>
    </i>
    <i>
      <x v="185"/>
      <x v="157"/>
      <x v="49"/>
      <x/>
      <x/>
      <x v="78"/>
      <x/>
      <x/>
    </i>
    <i>
      <x v="186"/>
      <x v="158"/>
      <x v="204"/>
      <x/>
      <x/>
      <x v="256"/>
      <x/>
      <x/>
    </i>
    <i>
      <x v="187"/>
      <x v="159"/>
      <x v="337"/>
      <x/>
      <x/>
      <x v="129"/>
      <x/>
      <x/>
    </i>
    <i>
      <x v="188"/>
      <x v="160"/>
      <x v="454"/>
      <x/>
      <x/>
      <x v="75"/>
      <x/>
      <x/>
    </i>
    <i r="6">
      <x v="1"/>
      <x v="1"/>
    </i>
    <i>
      <x v="189"/>
      <x v="161"/>
      <x v="380"/>
      <x/>
      <x/>
      <x v="155"/>
      <x/>
      <x/>
    </i>
    <i r="6">
      <x v="1"/>
      <x v="1"/>
    </i>
    <i>
      <x v="190"/>
      <x v="162"/>
      <x v="422"/>
      <x/>
      <x/>
      <x v="244"/>
      <x/>
      <x/>
    </i>
    <i>
      <x v="191"/>
      <x v="164"/>
      <x v="392"/>
      <x/>
      <x/>
      <x v="61"/>
      <x/>
      <x/>
    </i>
    <i>
      <x v="192"/>
      <x v="165"/>
      <x v="330"/>
      <x/>
      <x/>
      <x v="285"/>
      <x/>
      <x/>
    </i>
    <i>
      <x v="193"/>
      <x v="166"/>
      <x v="321"/>
      <x/>
      <x/>
      <x v="313"/>
      <x/>
      <x/>
    </i>
    <i r="6">
      <x v="1"/>
      <x v="1"/>
    </i>
    <i>
      <x v="194"/>
      <x v="167"/>
      <x v="9"/>
      <x/>
      <x/>
      <x v="404"/>
      <x/>
      <x/>
    </i>
    <i r="6">
      <x v="1"/>
      <x v="1"/>
    </i>
    <i>
      <x v="195"/>
      <x v="168"/>
      <x v="72"/>
      <x/>
      <x/>
      <x v="367"/>
      <x/>
      <x/>
    </i>
    <i>
      <x v="196"/>
      <x v="169"/>
      <x v="188"/>
      <x/>
      <x/>
      <x v="303"/>
      <x/>
      <x/>
    </i>
    <i>
      <x v="197"/>
      <x v="170"/>
      <x v="83"/>
      <x/>
      <x/>
      <x v="124"/>
      <x/>
      <x/>
    </i>
    <i r="6">
      <x v="1"/>
      <x v="1"/>
    </i>
    <i>
      <x v="198"/>
      <x v="171"/>
      <x v="19"/>
      <x/>
      <x/>
      <x v="191"/>
      <x/>
      <x/>
    </i>
    <i>
      <x v="199"/>
      <x v="172"/>
      <x v="307"/>
      <x/>
      <x/>
      <x v="71"/>
      <x/>
      <x/>
    </i>
    <i r="6">
      <x v="1"/>
      <x v="1"/>
    </i>
    <i>
      <x v="200"/>
      <x v="173"/>
      <x v="131"/>
      <x/>
      <x/>
      <x v="47"/>
      <x/>
      <x/>
    </i>
    <i r="6">
      <x v="1"/>
      <x v="1"/>
    </i>
    <i>
      <x v="201"/>
      <x v="174"/>
      <x v="274"/>
      <x/>
      <x/>
      <x v="392"/>
      <x/>
      <x/>
    </i>
    <i r="6">
      <x v="1"/>
      <x v="1"/>
    </i>
    <i>
      <x v="202"/>
      <x v="175"/>
      <x v="280"/>
      <x/>
      <x/>
      <x v="102"/>
      <x/>
      <x/>
    </i>
    <i>
      <x v="203"/>
      <x v="176"/>
      <x v="42"/>
      <x/>
      <x/>
      <x v="410"/>
      <x/>
      <x/>
    </i>
    <i>
      <x v="204"/>
      <x v="177"/>
      <x v="163"/>
      <x/>
      <x/>
      <x v="324"/>
      <x/>
      <x/>
    </i>
    <i>
      <x v="205"/>
      <x v="178"/>
      <x v="438"/>
      <x/>
      <x/>
      <x v="170"/>
      <x/>
      <x/>
    </i>
    <i>
      <x v="206"/>
      <x v="179"/>
      <x v="160"/>
      <x/>
      <x/>
      <x v="138"/>
      <x/>
      <x/>
    </i>
    <i r="6">
      <x v="1"/>
      <x v="1"/>
    </i>
    <i>
      <x v="207"/>
      <x v="180"/>
      <x v="122"/>
      <x/>
      <x/>
      <x v="279"/>
      <x/>
      <x/>
    </i>
    <i r="6">
      <x v="1"/>
      <x v="1"/>
    </i>
    <i>
      <x v="208"/>
      <x v="181"/>
      <x v="426"/>
      <x/>
      <x/>
      <x v="411"/>
      <x/>
      <x/>
    </i>
    <i r="6">
      <x v="1"/>
      <x v="1"/>
    </i>
    <i>
      <x v="209"/>
      <x v="182"/>
      <x v="75"/>
      <x/>
      <x/>
      <x v="369"/>
      <x/>
      <x/>
    </i>
    <i>
      <x v="210"/>
      <x v="183"/>
      <x v="309"/>
      <x/>
      <x/>
      <x v="327"/>
      <x/>
      <x/>
    </i>
    <i>
      <x v="211"/>
      <x v="184"/>
      <x v="476"/>
      <x/>
      <x/>
      <x v="354"/>
      <x/>
      <x/>
    </i>
    <i>
      <x v="212"/>
      <x v="186"/>
      <x v="136"/>
      <x/>
      <x/>
      <x v="164"/>
      <x/>
      <x/>
    </i>
    <i>
      <x v="213"/>
      <x v="187"/>
      <x v="300"/>
      <x/>
      <x/>
      <x v="91"/>
      <x/>
      <x/>
    </i>
    <i>
      <x v="214"/>
      <x v="188"/>
      <x v="411"/>
      <x/>
      <x/>
      <x v="223"/>
      <x/>
      <x/>
    </i>
    <i r="6">
      <x v="1"/>
      <x v="1"/>
    </i>
    <i>
      <x v="215"/>
      <x v="189"/>
      <x v="250"/>
      <x/>
      <x/>
      <x v="11"/>
      <x/>
      <x/>
    </i>
    <i r="6">
      <x v="1"/>
      <x v="1"/>
    </i>
    <i>
      <x v="216"/>
      <x v="190"/>
      <x v="394"/>
      <x/>
      <x/>
      <x v="332"/>
      <x/>
      <x/>
    </i>
    <i r="6">
      <x v="1"/>
      <x v="1"/>
    </i>
    <i>
      <x v="217"/>
      <x v="192"/>
      <x v="446"/>
      <x/>
      <x/>
      <x v="390"/>
      <x/>
      <x/>
    </i>
    <i>
      <x v="218"/>
      <x v="193"/>
      <x v="161"/>
      <x/>
      <x/>
      <x v="24"/>
      <x/>
      <x/>
    </i>
    <i r="6">
      <x v="1"/>
      <x v="1"/>
    </i>
    <i>
      <x v="219"/>
      <x v="194"/>
      <x v="265"/>
      <x/>
      <x/>
      <x v="414"/>
      <x/>
      <x/>
    </i>
    <i r="6">
      <x v="1"/>
      <x v="1"/>
    </i>
    <i>
      <x v="220"/>
      <x v="195"/>
      <x v="372"/>
      <x/>
      <x/>
      <x v="416"/>
      <x/>
      <x/>
    </i>
    <i>
      <x v="221"/>
      <x v="196"/>
      <x v="448"/>
      <x/>
      <x/>
      <x v="382"/>
      <x/>
      <x/>
    </i>
    <i>
      <x v="222"/>
      <x v="197"/>
      <x v="101"/>
      <x/>
      <x/>
      <x v="311"/>
      <x/>
      <x/>
    </i>
    <i>
      <x v="223"/>
      <x v="198"/>
      <x v="223"/>
      <x/>
      <x/>
      <x v="111"/>
      <x/>
      <x/>
    </i>
    <i r="6">
      <x v="1"/>
      <x v="1"/>
    </i>
    <i>
      <x v="224"/>
      <x v="199"/>
      <x v="286"/>
      <x/>
      <x/>
      <x v="180"/>
      <x/>
      <x/>
    </i>
    <i>
      <x v="225"/>
      <x v="200"/>
      <x v="331"/>
      <x/>
      <x/>
      <x v="94"/>
      <x/>
      <x/>
    </i>
    <i r="6">
      <x v="1"/>
      <x v="1"/>
    </i>
    <i>
      <x v="226"/>
      <x v="201"/>
      <x v="356"/>
      <x/>
      <x/>
      <x v="148"/>
      <x/>
      <x/>
    </i>
    <i>
      <x v="227"/>
      <x v="202"/>
      <x v="298"/>
      <x/>
      <x/>
      <x v="3"/>
      <x/>
      <x/>
    </i>
    <i>
      <x v="228"/>
      <x v="203"/>
      <x v="43"/>
      <x/>
      <x/>
      <x v="4"/>
      <x/>
      <x/>
    </i>
    <i>
      <x v="229"/>
      <x v="204"/>
      <x v="256"/>
      <x/>
      <x/>
      <x v="101"/>
      <x/>
      <x/>
    </i>
    <i>
      <x v="230"/>
      <x v="205"/>
      <x v="383"/>
      <x/>
      <x/>
      <x v="116"/>
      <x/>
      <x/>
    </i>
    <i r="6">
      <x v="1"/>
      <x v="1"/>
    </i>
    <i>
      <x v="231"/>
      <x v="206"/>
      <x v="105"/>
      <x/>
      <x/>
      <x v="151"/>
      <x/>
      <x/>
    </i>
    <i>
      <x v="232"/>
      <x v="207"/>
      <x v="423"/>
      <x/>
      <x/>
      <x v="152"/>
      <x/>
      <x/>
    </i>
    <i>
      <x v="233"/>
      <x v="208"/>
      <x v="398"/>
      <x/>
      <x/>
      <x v="152"/>
      <x/>
      <x/>
    </i>
    <i>
      <x v="234"/>
      <x v="209"/>
      <x v="316"/>
      <x/>
      <x/>
      <x v="199"/>
      <x/>
      <x/>
    </i>
    <i>
      <x v="235"/>
      <x v="210"/>
      <x v="483"/>
      <x/>
      <x/>
      <x v="276"/>
      <x/>
      <x/>
    </i>
    <i>
      <x v="236"/>
      <x v="211"/>
      <x v="12"/>
      <x/>
      <x/>
      <x v="419"/>
      <x/>
      <x/>
    </i>
    <i r="6">
      <x v="1"/>
      <x v="1"/>
    </i>
    <i>
      <x v="237"/>
      <x v="212"/>
      <x v="406"/>
      <x/>
      <x/>
      <x v="381"/>
      <x/>
      <x/>
    </i>
    <i>
      <x v="238"/>
      <x v="213"/>
      <x v="303"/>
      <x/>
      <x/>
      <x v="192"/>
      <x/>
      <x/>
    </i>
    <i r="6">
      <x v="1"/>
      <x v="1"/>
    </i>
    <i>
      <x v="239"/>
      <x v="214"/>
      <x v="272"/>
      <x/>
      <x/>
      <x v="98"/>
      <x/>
      <x/>
    </i>
    <i>
      <x v="240"/>
      <x v="215"/>
      <x v="14"/>
      <x/>
      <x/>
      <x v="99"/>
      <x/>
      <x/>
    </i>
    <i>
      <x v="241"/>
      <x v="216"/>
      <x v="10"/>
      <x/>
      <x/>
      <x v="272"/>
      <x/>
      <x/>
    </i>
    <i r="6">
      <x v="1"/>
      <x v="1"/>
    </i>
    <i>
      <x v="242"/>
      <x v="217"/>
      <x v="434"/>
      <x/>
      <x/>
      <x v="246"/>
      <x/>
      <x/>
    </i>
    <i>
      <x v="243"/>
      <x v="218"/>
      <x v="364"/>
      <x/>
      <x/>
      <x v="214"/>
      <x/>
      <x/>
    </i>
    <i r="6">
      <x v="1"/>
      <x v="1"/>
    </i>
    <i>
      <x v="244"/>
      <x v="219"/>
      <x v="185"/>
      <x/>
      <x/>
      <x v="232"/>
      <x/>
      <x/>
    </i>
    <i>
      <x v="245"/>
      <x v="220"/>
      <x v="324"/>
      <x/>
      <x/>
      <x v="76"/>
      <x/>
      <x/>
    </i>
    <i>
      <x v="246"/>
      <x v="222"/>
      <x v="46"/>
      <x/>
      <x/>
      <x v="314"/>
      <x/>
      <x/>
    </i>
    <i r="6">
      <x v="1"/>
      <x v="1"/>
    </i>
    <i>
      <x v="247"/>
      <x v="223"/>
      <x v="378"/>
      <x/>
      <x/>
      <x v="407"/>
      <x/>
      <x/>
    </i>
    <i>
      <x v="248"/>
      <x v="224"/>
      <x v="20"/>
      <x/>
      <x/>
      <x v="172"/>
      <x/>
      <x/>
    </i>
    <i r="6">
      <x v="1"/>
      <x v="1"/>
    </i>
    <i>
      <x v="249"/>
      <x v="225"/>
      <x v="123"/>
      <x/>
      <x/>
      <x v="386"/>
      <x/>
      <x/>
    </i>
    <i>
      <x v="250"/>
      <x v="226"/>
      <x v="379"/>
      <x/>
      <x/>
      <x v="62"/>
      <x/>
      <x/>
    </i>
    <i>
      <x v="251"/>
      <x v="227"/>
      <x v="269"/>
      <x/>
      <x/>
      <x v="115"/>
      <x/>
      <x/>
    </i>
    <i r="6">
      <x v="1"/>
      <x v="1"/>
    </i>
    <i>
      <x v="252"/>
      <x v="228"/>
      <x v="292"/>
      <x/>
      <x/>
      <x v="81"/>
      <x/>
      <x/>
    </i>
    <i>
      <x v="253"/>
      <x v="229"/>
      <x v="65"/>
      <x/>
      <x/>
      <x v="218"/>
      <x/>
      <x/>
    </i>
    <i r="6">
      <x v="1"/>
      <x v="1"/>
    </i>
    <i>
      <x v="254"/>
      <x v="230"/>
      <x v="277"/>
      <x/>
      <x/>
      <x v="238"/>
      <x/>
      <x/>
    </i>
    <i>
      <x v="255"/>
      <x v="231"/>
      <x v="451"/>
      <x/>
      <x/>
      <x v="264"/>
      <x/>
      <x/>
    </i>
    <i>
      <x v="256"/>
      <x v="232"/>
      <x v="466"/>
      <x/>
      <x/>
      <x v="84"/>
      <x/>
      <x/>
    </i>
    <i r="6">
      <x v="1"/>
      <x v="1"/>
    </i>
    <i>
      <x v="257"/>
      <x v="233"/>
      <x v="282"/>
      <x/>
      <x/>
      <x v="160"/>
      <x/>
      <x/>
    </i>
    <i>
      <x v="258"/>
      <x v="234"/>
      <x v="89"/>
      <x/>
      <x/>
      <x v="359"/>
      <x/>
      <x/>
    </i>
    <i>
      <x v="259"/>
      <x v="235"/>
      <x v="424"/>
      <x/>
      <x/>
      <x v="20"/>
      <x/>
      <x/>
    </i>
    <i r="6">
      <x v="1"/>
      <x v="1"/>
    </i>
    <i>
      <x v="260"/>
      <x v="236"/>
      <x v="457"/>
      <x/>
      <x/>
      <x v="394"/>
      <x/>
      <x/>
    </i>
    <i>
      <x v="261"/>
      <x v="237"/>
      <x v="29"/>
      <x/>
      <x/>
      <x v="93"/>
      <x/>
      <x/>
    </i>
    <i r="6">
      <x v="1"/>
      <x v="1"/>
    </i>
    <i>
      <x v="262"/>
      <x v="238"/>
      <x v="417"/>
      <x/>
      <x/>
      <x v="252"/>
      <x/>
      <x/>
    </i>
    <i>
      <x v="263"/>
      <x v="239"/>
      <x v="294"/>
      <x/>
      <x/>
      <x v="349"/>
      <x/>
      <x/>
    </i>
    <i>
      <x v="264"/>
      <x v="240"/>
      <x v="56"/>
      <x/>
      <x/>
      <x v="95"/>
      <x/>
      <x/>
    </i>
    <i>
      <x v="265"/>
      <x v="241"/>
      <x v="245"/>
      <x/>
      <x/>
      <x v="40"/>
      <x/>
      <x/>
    </i>
    <i>
      <x v="266"/>
      <x v="242"/>
      <x v="90"/>
      <x/>
      <x/>
      <x v="105"/>
      <x/>
      <x/>
    </i>
    <i>
      <x v="267"/>
      <x v="243"/>
      <x v="486"/>
      <x/>
      <x/>
      <x v="135"/>
      <x/>
      <x/>
    </i>
    <i>
      <x v="268"/>
      <x v="244"/>
      <x v="44"/>
      <x/>
      <x/>
      <x v="156"/>
      <x/>
      <x/>
    </i>
    <i>
      <x v="269"/>
      <x v="245"/>
      <x v="388"/>
      <x/>
      <x/>
      <x v="86"/>
      <x/>
      <x/>
    </i>
    <i>
      <x v="270"/>
      <x v="246"/>
      <x v="477"/>
      <x/>
      <x/>
      <x v="141"/>
      <x/>
      <x/>
    </i>
    <i>
      <x v="271"/>
      <x v="247"/>
      <x v="238"/>
      <x/>
      <x/>
      <x v="283"/>
      <x/>
      <x/>
    </i>
    <i>
      <x v="272"/>
      <x v="248"/>
      <x v="475"/>
      <x/>
      <x/>
      <x v="283"/>
      <x/>
      <x/>
    </i>
    <i>
      <x v="273"/>
      <x v="249"/>
      <x v="241"/>
      <x/>
      <x/>
      <x v="262"/>
      <x/>
      <x/>
    </i>
    <i>
      <x v="274"/>
      <x v="250"/>
      <x v="3"/>
      <x/>
      <x/>
      <x v="82"/>
      <x/>
      <x/>
    </i>
    <i r="6">
      <x v="1"/>
      <x v="1"/>
    </i>
    <i>
      <x v="275"/>
      <x v="251"/>
      <x v="399"/>
      <x/>
      <x/>
      <x v="200"/>
      <x/>
      <x/>
    </i>
    <i>
      <x v="276"/>
      <x v="252"/>
      <x v="377"/>
      <x/>
      <x/>
      <x v="171"/>
      <x/>
      <x/>
    </i>
    <i>
      <x v="277"/>
      <x v="253"/>
      <x v="328"/>
      <x/>
      <x/>
      <x v="144"/>
      <x/>
      <x/>
    </i>
    <i>
      <x v="278"/>
      <x v="254"/>
      <x v="118"/>
      <x/>
      <x/>
      <x v="221"/>
      <x/>
      <x/>
    </i>
    <i r="6">
      <x v="1"/>
      <x v="1"/>
    </i>
    <i>
      <x v="279"/>
      <x v="255"/>
      <x v="60"/>
      <x/>
      <x/>
      <x v="247"/>
      <x/>
      <x/>
    </i>
    <i>
      <x v="280"/>
      <x v="256"/>
      <x v="225"/>
      <x/>
      <x/>
      <x v="259"/>
      <x/>
      <x/>
    </i>
    <i r="6">
      <x v="1"/>
      <x v="1"/>
    </i>
    <i>
      <x v="281"/>
      <x v="259"/>
      <x v="259"/>
      <x/>
      <x/>
      <x v="390"/>
      <x/>
      <x/>
    </i>
    <i r="6">
      <x v="1"/>
      <x v="1"/>
    </i>
    <i>
      <x v="282"/>
      <x v="260"/>
      <x v="119"/>
      <x/>
      <x/>
      <x v="26"/>
      <x/>
      <x/>
    </i>
    <i r="6">
      <x v="1"/>
      <x v="1"/>
    </i>
    <i>
      <x v="283"/>
      <x v="261"/>
      <x v="184"/>
      <x/>
      <x/>
      <x v="51"/>
      <x/>
      <x/>
    </i>
    <i r="6">
      <x v="1"/>
      <x v="1"/>
    </i>
    <i>
      <x v="284"/>
      <x v="262"/>
      <x v="202"/>
      <x/>
      <x/>
      <x v="415"/>
      <x/>
      <x/>
    </i>
    <i>
      <x v="285"/>
      <x v="263"/>
      <x v="220"/>
      <x/>
      <x/>
      <x v="355"/>
      <x/>
      <x/>
    </i>
    <i>
      <x v="286"/>
      <x v="264"/>
      <x v="315"/>
      <x/>
      <x/>
      <x v="184"/>
      <x/>
      <x/>
    </i>
    <i r="6">
      <x v="1"/>
      <x v="1"/>
    </i>
    <i>
      <x v="287"/>
      <x v="265"/>
      <x v="470"/>
      <x/>
      <x/>
      <x v="65"/>
      <x/>
      <x/>
    </i>
    <i>
      <x v="288"/>
      <x v="266"/>
      <x v="162"/>
      <x/>
      <x/>
      <x v="310"/>
      <x/>
      <x/>
    </i>
    <i>
      <x v="289"/>
      <x v="267"/>
      <x v="340"/>
      <x/>
      <x/>
      <x v="405"/>
      <x/>
      <x/>
    </i>
    <i>
      <x v="290"/>
      <x v="268"/>
      <x v="59"/>
      <x/>
      <x/>
      <x v="167"/>
      <x/>
      <x/>
    </i>
    <i r="6">
      <x v="1"/>
      <x v="1"/>
    </i>
    <i>
      <x v="291"/>
      <x v="269"/>
      <x v="370"/>
      <x/>
      <x/>
      <x v="57"/>
      <x/>
      <x/>
    </i>
    <i>
      <x v="292"/>
      <x v="270"/>
      <x v="442"/>
      <x/>
      <x/>
      <x v="38"/>
      <x/>
      <x/>
    </i>
    <i>
      <x v="293"/>
      <x v="271"/>
      <x v="74"/>
      <x/>
      <x/>
      <x v="113"/>
      <x/>
      <x/>
    </i>
    <i r="6">
      <x v="1"/>
      <x v="1"/>
    </i>
    <i>
      <x v="294"/>
      <x v="272"/>
      <x v="302"/>
      <x/>
      <x/>
      <x v="207"/>
      <x/>
      <x/>
    </i>
    <i r="6">
      <x v="1"/>
      <x v="1"/>
    </i>
    <i>
      <x v="295"/>
      <x v="273"/>
      <x v="347"/>
      <x/>
      <x/>
      <x v="277"/>
      <x/>
      <x/>
    </i>
    <i>
      <x v="296"/>
      <x v="274"/>
      <x v="375"/>
      <x/>
      <x/>
      <x v="83"/>
      <x/>
      <x/>
    </i>
    <i>
      <x v="297"/>
      <x v="275"/>
      <x v="296"/>
      <x/>
      <x/>
      <x v="190"/>
      <x/>
      <x/>
    </i>
    <i>
      <x v="298"/>
      <x v="276"/>
      <x v="133"/>
      <x/>
      <x/>
      <x v="242"/>
      <x/>
      <x/>
    </i>
    <i>
      <x v="299"/>
      <x v="277"/>
      <x v="156"/>
      <x/>
      <x/>
      <x v="106"/>
      <x/>
      <x/>
    </i>
    <i r="6">
      <x v="1"/>
      <x v="1"/>
    </i>
    <i>
      <x v="300"/>
      <x v="278"/>
      <x v="252"/>
      <x/>
      <x/>
      <x v="133"/>
      <x/>
      <x/>
    </i>
    <i>
      <x v="301"/>
      <x v="279"/>
      <x v="333"/>
      <x/>
      <x/>
      <x v="309"/>
      <x/>
      <x/>
    </i>
    <i r="6">
      <x v="1"/>
      <x v="1"/>
    </i>
    <i>
      <x v="302"/>
      <x v="280"/>
      <x v="67"/>
      <x/>
      <x/>
      <x v="182"/>
      <x/>
      <x/>
    </i>
    <i>
      <x v="303"/>
      <x v="281"/>
      <x v="410"/>
      <x/>
      <x/>
      <x v="273"/>
      <x/>
      <x/>
    </i>
    <i r="6">
      <x v="1"/>
      <x v="1"/>
    </i>
    <i>
      <x v="304"/>
      <x v="282"/>
      <x v="428"/>
      <x/>
      <x/>
      <x v="56"/>
      <x/>
      <x/>
    </i>
    <i r="6">
      <x v="1"/>
      <x v="1"/>
    </i>
    <i>
      <x v="305"/>
      <x v="283"/>
      <x v="458"/>
      <x/>
      <x/>
      <x v="18"/>
      <x/>
      <x/>
    </i>
    <i>
      <x v="306"/>
      <x v="293"/>
      <x v="73"/>
      <x/>
      <x/>
      <x v="205"/>
      <x/>
      <x/>
    </i>
    <i>
      <x v="307"/>
      <x v="294"/>
      <x v="344"/>
      <x/>
      <x/>
      <x v="269"/>
      <x/>
      <x/>
    </i>
    <i>
      <x v="308"/>
      <x v="297"/>
      <x v="413"/>
      <x/>
      <x/>
      <x v="229"/>
      <x/>
      <x/>
    </i>
    <i r="6">
      <x v="1"/>
      <x v="1"/>
    </i>
    <i>
      <x v="309"/>
      <x v="298"/>
      <x v="169"/>
      <x/>
      <x/>
      <x v="48"/>
      <x/>
      <x/>
    </i>
    <i r="6">
      <x v="1"/>
      <x v="1"/>
    </i>
    <i>
      <x v="310"/>
      <x v="299"/>
      <x v="358"/>
      <x/>
      <x/>
      <x v="228"/>
      <x/>
      <x/>
    </i>
    <i r="6">
      <x v="1"/>
      <x v="1"/>
    </i>
    <i>
      <x v="311"/>
      <x v="300"/>
      <x v="31"/>
      <x/>
      <x/>
      <x v="136"/>
      <x/>
      <x/>
    </i>
    <i r="6">
      <x v="1"/>
      <x v="1"/>
    </i>
    <i>
      <x v="312"/>
      <x v="301"/>
      <x v="266"/>
      <x/>
      <x/>
      <x v="32"/>
      <x/>
      <x/>
    </i>
    <i>
      <x v="313"/>
      <x v="221"/>
      <x v="135"/>
      <x/>
      <x/>
      <x v="223"/>
      <x/>
      <x/>
    </i>
    <i>
      <x v="314"/>
      <x v="302"/>
      <x v="110"/>
      <x/>
      <x/>
      <x v="420"/>
      <x/>
      <x/>
    </i>
    <i>
      <x v="315"/>
      <x v="303"/>
      <x v="224"/>
      <x/>
      <x/>
      <x v="30"/>
      <x/>
      <x/>
    </i>
    <i>
      <x v="316"/>
      <x v="304"/>
      <x v="32"/>
      <x/>
      <x/>
      <x v="320"/>
      <x/>
      <x/>
    </i>
    <i>
      <x v="317"/>
      <x v="305"/>
      <x v="106"/>
      <x/>
      <x/>
      <x v="100"/>
      <x/>
      <x/>
    </i>
    <i>
      <x v="318"/>
      <x v="306"/>
      <x v="174"/>
      <x/>
      <x/>
      <x v="345"/>
      <x/>
      <x/>
    </i>
    <i>
      <x v="319"/>
      <x v="307"/>
      <x v="440"/>
      <x/>
      <x/>
      <x/>
      <x/>
      <x/>
    </i>
    <i r="6">
      <x v="1"/>
      <x v="1"/>
    </i>
    <i>
      <x v="320"/>
      <x v="308"/>
      <x v="190"/>
      <x/>
      <x/>
      <x v="371"/>
      <x/>
      <x/>
    </i>
    <i>
      <x v="321"/>
      <x v="309"/>
      <x v="412"/>
      <x/>
      <x/>
      <x v="46"/>
      <x/>
      <x/>
    </i>
    <i>
      <x v="322"/>
      <x v="312"/>
      <x v="47"/>
      <x/>
      <x/>
      <x v="70"/>
      <x/>
      <x/>
    </i>
    <i>
      <x v="323"/>
      <x v="324"/>
      <x v="33"/>
      <x/>
      <x/>
      <x v="320"/>
      <x/>
      <x/>
    </i>
    <i>
      <x v="324"/>
      <x v="310"/>
      <x v="62"/>
      <x/>
      <x/>
      <x v="161"/>
      <x/>
      <x/>
    </i>
    <i r="6">
      <x v="1"/>
      <x v="1"/>
    </i>
    <i>
      <x v="325"/>
      <x v="313"/>
      <x v="155"/>
      <x/>
      <x/>
      <x v="317"/>
      <x/>
      <x/>
    </i>
    <i r="6">
      <x v="1"/>
      <x v="1"/>
    </i>
    <i>
      <x v="326"/>
      <x v="314"/>
      <x v="386"/>
      <x/>
      <x/>
      <x v="231"/>
      <x/>
      <x/>
    </i>
    <i r="6">
      <x v="1"/>
      <x v="1"/>
    </i>
    <i>
      <x v="327"/>
      <x v="315"/>
      <x v="287"/>
      <x/>
      <x/>
      <x v="262"/>
      <x/>
      <x/>
    </i>
    <i r="6">
      <x v="1"/>
      <x v="1"/>
    </i>
    <i>
      <x v="328"/>
      <x v="316"/>
      <x v="459"/>
      <x/>
      <x/>
      <x v="240"/>
      <x/>
      <x/>
    </i>
    <i r="6">
      <x v="1"/>
      <x v="1"/>
    </i>
    <i>
      <x v="329"/>
      <x v="317"/>
      <x v="264"/>
      <x/>
      <x/>
      <x v="329"/>
      <x/>
      <x/>
    </i>
    <i>
      <x v="330"/>
      <x v="318"/>
      <x v="365"/>
      <x/>
      <x/>
      <x v="408"/>
      <x/>
      <x/>
    </i>
    <i r="6">
      <x v="1"/>
      <x v="1"/>
    </i>
    <i>
      <x v="331"/>
      <x v="319"/>
      <x v="255"/>
      <x/>
      <x/>
      <x v="186"/>
      <x/>
      <x/>
    </i>
    <i r="6">
      <x v="1"/>
      <x v="1"/>
    </i>
    <i>
      <x v="332"/>
      <x v="320"/>
      <x v="244"/>
      <x/>
      <x/>
      <x v="234"/>
      <x/>
      <x/>
    </i>
    <i r="6">
      <x v="1"/>
      <x v="1"/>
    </i>
    <i>
      <x v="333"/>
      <x v="321"/>
      <x v="306"/>
      <x/>
      <x/>
      <x v="266"/>
      <x/>
      <x/>
    </i>
    <i r="6">
      <x v="1"/>
      <x v="1"/>
    </i>
    <i>
      <x v="334"/>
      <x v="322"/>
      <x v="211"/>
      <x/>
      <x/>
      <x v="111"/>
      <x/>
      <x/>
    </i>
    <i r="6">
      <x v="1"/>
      <x v="1"/>
    </i>
    <i>
      <x v="335"/>
      <x v="323"/>
      <x v="445"/>
      <x/>
      <x/>
      <x v="323"/>
      <x/>
      <x/>
    </i>
    <i r="6">
      <x v="1"/>
      <x v="1"/>
    </i>
    <i>
      <x v="336"/>
      <x v="325"/>
      <x v="436"/>
      <x/>
      <x/>
      <x v="360"/>
      <x/>
      <x/>
    </i>
    <i>
      <x v="337"/>
      <x v="326"/>
      <x v="4"/>
      <x/>
      <x/>
      <x v="72"/>
      <x/>
      <x/>
    </i>
    <i>
      <x v="338"/>
      <x v="327"/>
      <x v="141"/>
      <x/>
      <x/>
      <x v="36"/>
      <x/>
      <x/>
    </i>
    <i r="6">
      <x v="1"/>
      <x v="1"/>
    </i>
    <i>
      <x v="339"/>
      <x v="328"/>
      <x v="346"/>
      <x/>
      <x/>
      <x v="208"/>
      <x/>
      <x/>
    </i>
    <i r="6">
      <x v="1"/>
      <x v="1"/>
    </i>
    <i>
      <x v="340"/>
      <x v="329"/>
      <x v="53"/>
      <x/>
      <x/>
      <x v="397"/>
      <x/>
      <x/>
    </i>
    <i>
      <x v="341"/>
      <x v="330"/>
      <x v="177"/>
      <x/>
      <x/>
      <x v="379"/>
      <x/>
      <x/>
    </i>
    <i>
      <x v="342"/>
      <x v="331"/>
      <x v="270"/>
      <x/>
      <x/>
      <x v="85"/>
      <x/>
      <x/>
    </i>
    <i>
      <x v="343"/>
      <x v="332"/>
      <x v="208"/>
      <x/>
      <x/>
      <x v="67"/>
      <x/>
      <x/>
    </i>
    <i r="6">
      <x v="1"/>
      <x v="1"/>
    </i>
    <i>
      <x v="344"/>
      <x v="333"/>
      <x v="432"/>
      <x/>
      <x/>
      <x v="326"/>
      <x/>
      <x/>
    </i>
    <i>
      <x v="345"/>
      <x v="334"/>
      <x v="304"/>
      <x/>
      <x/>
      <x v="117"/>
      <x/>
      <x/>
    </i>
    <i r="6">
      <x v="1"/>
      <x v="1"/>
    </i>
    <i>
      <x v="346"/>
      <x v="335"/>
      <x v="159"/>
      <x/>
      <x/>
      <x v="215"/>
      <x/>
      <x/>
    </i>
    <i r="6">
      <x v="1"/>
      <x v="1"/>
    </i>
    <i>
      <x v="347"/>
      <x v="336"/>
      <x v="167"/>
      <x/>
      <x/>
      <x v="53"/>
      <x/>
      <x/>
    </i>
    <i r="6">
      <x v="1"/>
      <x v="1"/>
    </i>
    <i>
      <x v="348"/>
      <x v="337"/>
      <x v="237"/>
      <x/>
      <x/>
      <x v="296"/>
      <x/>
      <x/>
    </i>
    <i>
      <x v="349"/>
      <x v="338"/>
      <x v="242"/>
      <x/>
      <x/>
      <x v="131"/>
      <x/>
      <x/>
    </i>
    <i>
      <x v="350"/>
      <x v="339"/>
      <x v="478"/>
      <x/>
      <x/>
      <x v="261"/>
      <x/>
      <x/>
    </i>
    <i r="6">
      <x v="1"/>
      <x v="1"/>
    </i>
    <i>
      <x v="351"/>
      <x v="340"/>
      <x v="228"/>
      <x/>
      <x/>
      <x v="211"/>
      <x/>
      <x/>
    </i>
    <i r="6">
      <x v="1"/>
      <x v="1"/>
    </i>
    <i>
      <x v="352"/>
      <x v="341"/>
      <x v="102"/>
      <x/>
      <x/>
      <x v="336"/>
      <x/>
      <x/>
    </i>
    <i>
      <x v="353"/>
      <x v="342"/>
      <x v="325"/>
      <x/>
      <x/>
      <x v="59"/>
      <x/>
      <x/>
    </i>
    <i r="6">
      <x v="1"/>
      <x v="1"/>
    </i>
    <i>
      <x v="354"/>
      <x v="343"/>
      <x v="297"/>
      <x/>
      <x/>
      <x v="313"/>
      <x/>
      <x/>
    </i>
    <i>
      <x v="355"/>
      <x v="344"/>
      <x v="96"/>
      <x/>
      <x/>
      <x v="44"/>
      <x/>
      <x/>
    </i>
    <i r="6">
      <x v="1"/>
      <x v="1"/>
    </i>
    <i>
      <x v="356"/>
      <x v="345"/>
      <x v="149"/>
      <x/>
      <x/>
      <x v="347"/>
      <x/>
      <x/>
    </i>
    <i r="6">
      <x v="1"/>
      <x v="1"/>
    </i>
    <i>
      <x v="357"/>
      <x v="346"/>
      <x v="229"/>
      <x/>
      <x/>
      <x v="204"/>
      <x/>
      <x/>
    </i>
    <i>
      <x v="358"/>
      <x v="347"/>
      <x v="429"/>
      <x/>
      <x/>
      <x v="55"/>
      <x/>
      <x/>
    </i>
    <i>
      <x v="359"/>
      <x v="348"/>
      <x v="197"/>
      <x/>
      <x/>
      <x v="37"/>
      <x/>
      <x/>
    </i>
    <i>
      <x v="360"/>
      <x v="349"/>
      <x v="393"/>
      <x/>
      <x/>
      <x v="209"/>
      <x/>
      <x/>
    </i>
    <i>
      <x v="361"/>
      <x v="350"/>
      <x v="468"/>
      <x/>
      <x/>
      <x v="387"/>
      <x/>
      <x/>
    </i>
    <i r="6">
      <x v="1"/>
      <x v="1"/>
    </i>
    <i>
      <x v="362"/>
      <x v="351"/>
      <x v="271"/>
      <x/>
      <x/>
      <x v="74"/>
      <x/>
      <x/>
    </i>
    <i r="6">
      <x v="1"/>
      <x v="1"/>
    </i>
    <i>
      <x v="363"/>
      <x v="352"/>
      <x v="290"/>
      <x/>
      <x/>
      <x v="137"/>
      <x/>
      <x/>
    </i>
    <i r="6">
      <x v="1"/>
      <x v="1"/>
    </i>
    <i>
      <x v="364"/>
      <x v="353"/>
      <x v="108"/>
      <x/>
      <x/>
      <x v="340"/>
      <x/>
      <x/>
    </i>
    <i r="6">
      <x v="1"/>
      <x v="1"/>
    </i>
    <i>
      <x v="365"/>
      <x v="354"/>
      <x v="201"/>
      <x/>
      <x/>
      <x v="274"/>
      <x/>
      <x/>
    </i>
    <i>
      <x v="366"/>
      <x v="355"/>
      <x v="487"/>
      <x/>
      <x/>
      <x v="293"/>
      <x/>
      <x/>
    </i>
    <i>
      <x v="367"/>
      <x v="356"/>
      <x v="415"/>
      <x/>
      <x/>
      <x v="15"/>
      <x/>
      <x/>
    </i>
    <i r="6">
      <x v="1"/>
      <x v="1"/>
    </i>
    <i>
      <x v="368"/>
      <x v="357"/>
      <x v="283"/>
      <x/>
      <x/>
      <x v="158"/>
      <x/>
      <x/>
    </i>
    <i r="6">
      <x v="1"/>
      <x v="1"/>
    </i>
    <i>
      <x v="369"/>
      <x v="358"/>
      <x v="13"/>
      <x/>
      <x/>
      <x v="193"/>
      <x/>
      <x/>
    </i>
    <i r="6">
      <x v="1"/>
      <x v="1"/>
    </i>
    <i>
      <x v="370"/>
      <x v="359"/>
      <x v="193"/>
      <x/>
      <x/>
      <x v="328"/>
      <x/>
      <x/>
    </i>
    <i r="6">
      <x v="1"/>
      <x v="1"/>
    </i>
    <i>
      <x v="371"/>
      <x/>
      <x v="41"/>
      <x/>
      <x/>
      <x v="322"/>
      <x/>
      <x/>
    </i>
    <i>
      <x v="372"/>
      <x v="360"/>
      <x v="361"/>
      <x/>
      <x/>
      <x v="273"/>
      <x/>
      <x/>
    </i>
    <i>
      <x v="373"/>
      <x v="361"/>
      <x v="234"/>
      <x/>
      <x/>
      <x v="300"/>
      <x/>
      <x/>
    </i>
    <i r="6">
      <x v="1"/>
      <x v="1"/>
    </i>
    <i>
      <x v="374"/>
      <x v="362"/>
      <x v="104"/>
      <x/>
      <x/>
      <x v="240"/>
      <x/>
      <x/>
    </i>
    <i r="6">
      <x v="1"/>
      <x v="1"/>
    </i>
    <i>
      <x v="375"/>
      <x v="363"/>
      <x v="248"/>
      <x/>
      <x/>
      <x v="234"/>
      <x/>
      <x/>
    </i>
    <i r="6">
      <x v="1"/>
      <x v="1"/>
    </i>
    <i>
      <x v="376"/>
      <x v="364"/>
      <x v="215"/>
      <x/>
      <x/>
      <x v="258"/>
      <x/>
      <x/>
    </i>
    <i r="6">
      <x v="1"/>
      <x v="1"/>
    </i>
    <i>
      <x v="377"/>
      <x v="365"/>
      <x v="153"/>
      <x/>
      <x/>
      <x v="121"/>
      <x/>
      <x/>
    </i>
    <i r="6">
      <x v="1"/>
      <x v="1"/>
    </i>
    <i>
      <x v="378"/>
      <x v="366"/>
      <x v="318"/>
      <x/>
      <x/>
      <x v="79"/>
      <x/>
      <x/>
    </i>
    <i r="6">
      <x v="1"/>
      <x v="1"/>
    </i>
    <i>
      <x v="379"/>
      <x v="367"/>
      <x v="191"/>
      <x/>
      <x/>
      <x v="139"/>
      <x/>
      <x/>
    </i>
    <i r="6">
      <x v="1"/>
      <x v="1"/>
    </i>
    <i>
      <x v="380"/>
      <x v="368"/>
      <x v="205"/>
      <x/>
      <x/>
      <x v="257"/>
      <x/>
      <x/>
    </i>
    <i r="6">
      <x v="1"/>
      <x v="1"/>
    </i>
    <i>
      <x v="381"/>
      <x v="369"/>
      <x v="232"/>
      <x/>
      <x/>
      <x v="406"/>
      <x/>
      <x/>
    </i>
    <i r="6">
      <x v="1"/>
      <x v="1"/>
    </i>
    <i>
      <x v="382"/>
      <x v="370"/>
      <x v="148"/>
      <x/>
      <x/>
      <x v="176"/>
      <x/>
      <x/>
    </i>
    <i>
      <x v="383"/>
      <x v="371"/>
      <x v="147"/>
      <x/>
      <x/>
      <x v="195"/>
      <x/>
      <x/>
    </i>
    <i>
      <x v="384"/>
      <x v="372"/>
      <x v="327"/>
      <x/>
      <x/>
      <x v="356"/>
      <x/>
      <x/>
    </i>
    <i r="6">
      <x v="1"/>
      <x v="1"/>
    </i>
    <i>
      <x v="385"/>
      <x v="373"/>
      <x v="27"/>
      <x/>
      <x/>
      <x v="214"/>
      <x/>
      <x/>
    </i>
    <i r="6">
      <x v="1"/>
      <x v="1"/>
    </i>
    <i>
      <x v="386"/>
      <x/>
      <x v="299"/>
      <x/>
      <x/>
      <x v="9"/>
      <x/>
      <x/>
    </i>
    <i r="6">
      <x v="1"/>
      <x v="1"/>
    </i>
    <i>
      <x v="387"/>
      <x v="374"/>
      <x v="113"/>
      <x/>
      <x/>
      <x v="227"/>
      <x/>
      <x/>
    </i>
    <i r="6">
      <x v="1"/>
      <x v="1"/>
    </i>
    <i>
      <x v="388"/>
      <x v="375"/>
      <x v="343"/>
      <x/>
      <x/>
      <x v="260"/>
      <x/>
      <x/>
    </i>
    <i r="6">
      <x v="1"/>
      <x v="1"/>
    </i>
    <i>
      <x v="389"/>
      <x v="376"/>
      <x v="421"/>
      <x/>
      <x/>
      <x v="421"/>
      <x/>
      <x/>
    </i>
    <i r="6">
      <x v="1"/>
      <x v="1"/>
    </i>
    <i>
      <x v="390"/>
      <x v="377"/>
      <x v="460"/>
      <x/>
      <x/>
      <x v="376"/>
      <x/>
      <x/>
    </i>
    <i>
      <x v="391"/>
      <x v="378"/>
      <x v="192"/>
      <x/>
      <x/>
      <x v="114"/>
      <x/>
      <x/>
    </i>
    <i r="6">
      <x v="1"/>
      <x v="1"/>
    </i>
    <i>
      <x v="392"/>
      <x v="379"/>
      <x v="465"/>
      <x/>
      <x/>
      <x v="154"/>
      <x/>
      <x/>
    </i>
    <i r="6">
      <x v="1"/>
      <x v="1"/>
    </i>
    <i>
      <x v="393"/>
      <x v="380"/>
      <x v="84"/>
      <x/>
      <x/>
      <x v="306"/>
      <x/>
      <x/>
    </i>
    <i>
      <x v="394"/>
      <x v="381"/>
      <x v="373"/>
      <x/>
      <x/>
      <x v="97"/>
      <x/>
      <x/>
    </i>
    <i>
      <x v="395"/>
      <x v="382"/>
      <x v="401"/>
      <x/>
      <x/>
      <x v="43"/>
      <x/>
      <x/>
    </i>
    <i r="6">
      <x v="1"/>
      <x v="1"/>
    </i>
    <i>
      <x v="396"/>
      <x/>
      <x v="253"/>
      <x/>
      <x/>
      <x v="22"/>
      <x/>
      <x/>
    </i>
    <i>
      <x v="397"/>
      <x v="383"/>
      <x v="99"/>
      <x/>
      <x/>
      <x v="9"/>
      <x/>
      <x/>
    </i>
    <i>
      <x v="398"/>
      <x v="384"/>
      <x v="362"/>
      <x/>
      <x/>
      <x v="7"/>
      <x/>
      <x/>
    </i>
    <i r="6">
      <x v="1"/>
      <x v="1"/>
    </i>
    <i>
      <x v="399"/>
      <x v="385"/>
      <x v="382"/>
      <x/>
      <x/>
      <x v="290"/>
      <x/>
      <x/>
    </i>
    <i>
      <x v="400"/>
      <x v="386"/>
      <x v="189"/>
      <x/>
      <x/>
      <x v="292"/>
      <x/>
      <x/>
    </i>
    <i r="6">
      <x v="1"/>
      <x v="1"/>
    </i>
    <i>
      <x v="401"/>
      <x v="387"/>
      <x v="247"/>
      <x/>
      <x/>
      <x v="35"/>
      <x/>
      <x/>
    </i>
    <i>
      <x v="402"/>
      <x v="388"/>
      <x v="314"/>
      <x/>
      <x/>
      <x v="286"/>
      <x/>
      <x/>
    </i>
    <i r="6">
      <x v="1"/>
      <x v="1"/>
    </i>
    <i>
      <x v="403"/>
      <x v="389"/>
      <x v="103"/>
      <x/>
      <x/>
      <x v="13"/>
      <x/>
      <x/>
    </i>
    <i>
      <x v="404"/>
      <x v="390"/>
      <x v="329"/>
      <x/>
      <x/>
      <x v="342"/>
      <x/>
      <x/>
    </i>
    <i>
      <x v="405"/>
      <x v="391"/>
      <x v="467"/>
      <x/>
      <x/>
      <x v="383"/>
      <x/>
      <x/>
    </i>
    <i r="6">
      <x v="1"/>
      <x v="1"/>
    </i>
    <i>
      <x v="406"/>
      <x v="392"/>
      <x v="140"/>
      <x/>
      <x/>
      <x v="12"/>
      <x/>
      <x/>
    </i>
    <i r="6">
      <x v="1"/>
      <x v="1"/>
    </i>
    <i>
      <x v="407"/>
      <x v="393"/>
      <x v="409"/>
      <x/>
      <x/>
      <x v="29"/>
      <x/>
      <x/>
    </i>
    <i>
      <x v="408"/>
      <x v="394"/>
      <x v="338"/>
      <x/>
      <x/>
      <x v="157"/>
      <x/>
      <x/>
    </i>
    <i r="6">
      <x v="1"/>
      <x v="1"/>
    </i>
    <i>
      <x v="409"/>
      <x/>
      <x v="345"/>
      <x/>
      <x/>
      <x v="140"/>
      <x/>
      <x/>
    </i>
    <i r="6">
      <x v="1"/>
      <x v="1"/>
    </i>
    <i>
      <x v="410"/>
      <x v="395"/>
      <x v="471"/>
      <x/>
      <x/>
      <x v="312"/>
      <x/>
      <x/>
    </i>
    <i r="6">
      <x v="1"/>
      <x v="1"/>
    </i>
    <i>
      <x v="411"/>
      <x v="396"/>
      <x v="36"/>
      <x/>
      <x/>
      <x v="25"/>
      <x/>
      <x/>
    </i>
    <i>
      <x v="412"/>
      <x/>
      <x v="239"/>
      <x/>
      <x/>
      <x v="305"/>
      <x/>
      <x/>
    </i>
    <i r="6">
      <x v="1"/>
      <x v="1"/>
    </i>
    <i>
      <x v="413"/>
      <x v="397"/>
      <x v="81"/>
      <x/>
      <x/>
      <x v="64"/>
      <x/>
      <x/>
    </i>
    <i r="6">
      <x v="1"/>
      <x v="1"/>
    </i>
    <i>
      <x v="414"/>
      <x v="398"/>
      <x v="8"/>
      <x/>
      <x/>
      <x v="41"/>
      <x/>
      <x/>
    </i>
    <i r="6">
      <x v="1"/>
      <x v="1"/>
    </i>
    <i>
      <x v="415"/>
      <x v="399"/>
      <x v="384"/>
      <x/>
      <x/>
      <x v="23"/>
      <x/>
      <x/>
    </i>
    <i>
      <x v="416"/>
      <x v="400"/>
      <x v="134"/>
      <x/>
      <x/>
      <x v="358"/>
      <x/>
      <x/>
    </i>
    <i r="6">
      <x v="1"/>
      <x v="1"/>
    </i>
    <i>
      <x v="417"/>
      <x v="401"/>
      <x v="444"/>
      <x/>
      <x/>
      <x v="108"/>
      <x/>
      <x/>
    </i>
    <i r="6">
      <x v="1"/>
      <x v="1"/>
    </i>
    <i>
      <x v="418"/>
      <x/>
      <x v="284"/>
      <x/>
      <x/>
      <x v="111"/>
      <x/>
      <x/>
    </i>
    <i r="6">
      <x v="1"/>
      <x v="1"/>
    </i>
    <i>
      <x v="419"/>
      <x v="402"/>
      <x v="179"/>
      <x/>
      <x/>
      <x v="101"/>
      <x/>
      <x/>
    </i>
    <i>
      <x v="420"/>
      <x v="403"/>
      <x v="195"/>
      <x/>
      <x/>
      <x v="282"/>
      <x/>
      <x/>
    </i>
    <i>
      <x v="421"/>
      <x v="404"/>
      <x v="366"/>
      <x/>
      <x/>
      <x v="212"/>
      <x/>
      <x/>
    </i>
    <i>
      <x v="422"/>
      <x v="405"/>
      <x v="430"/>
      <x/>
      <x/>
      <x v="146"/>
      <x/>
      <x/>
    </i>
    <i>
      <x v="423"/>
      <x/>
      <x v="143"/>
      <x/>
      <x/>
      <x v="395"/>
      <x/>
      <x/>
    </i>
    <i r="6">
      <x v="1"/>
      <x v="1"/>
    </i>
    <i>
      <x v="424"/>
      <x/>
      <x v="462"/>
      <x/>
      <x/>
      <x v="89"/>
      <x/>
      <x/>
    </i>
    <i r="6">
      <x v="1"/>
      <x v="1"/>
    </i>
    <i>
      <x v="425"/>
      <x v="406"/>
      <x v="51"/>
      <x/>
      <x/>
      <x v="89"/>
      <x/>
      <x/>
    </i>
    <i>
      <x v="426"/>
      <x v="407"/>
      <x v="484"/>
      <x/>
      <x/>
      <x v="401"/>
      <x/>
      <x/>
    </i>
    <i r="6">
      <x v="1"/>
      <x v="1"/>
    </i>
    <i>
      <x v="427"/>
      <x v="413"/>
      <x v="461"/>
      <x/>
      <x/>
      <x v="316"/>
      <x/>
      <x/>
    </i>
    <i r="6">
      <x v="1"/>
      <x v="1"/>
    </i>
    <i>
      <x v="428"/>
      <x/>
      <x v="354"/>
      <x/>
      <x/>
      <x v="185"/>
      <x/>
      <x/>
    </i>
    <i r="6">
      <x v="1"/>
      <x v="1"/>
    </i>
    <i>
      <x v="429"/>
      <x v="409"/>
      <x v="258"/>
      <x/>
      <x/>
      <x v="158"/>
      <x/>
      <x/>
    </i>
    <i r="6">
      <x v="1"/>
      <x v="1"/>
    </i>
    <i>
      <x v="430"/>
      <x v="410"/>
      <x v="301"/>
      <x/>
      <x/>
      <x v="361"/>
      <x/>
      <x/>
    </i>
    <i r="6">
      <x v="1"/>
      <x v="1"/>
    </i>
    <i>
      <x v="431"/>
      <x v="411"/>
      <x v="261"/>
      <x/>
      <x/>
      <x v="224"/>
      <x/>
      <x/>
    </i>
    <i r="6">
      <x v="1"/>
      <x v="1"/>
    </i>
    <i>
      <x v="432"/>
      <x v="412"/>
      <x v="405"/>
      <x/>
      <x/>
      <x v="150"/>
      <x/>
      <x/>
    </i>
    <i r="6">
      <x v="1"/>
      <x v="1"/>
    </i>
    <i>
      <x v="433"/>
      <x v="408"/>
      <x v="481"/>
      <x/>
      <x/>
      <x v="365"/>
      <x/>
      <x/>
    </i>
    <i r="6">
      <x v="1"/>
      <x v="1"/>
    </i>
    <i>
      <x v="434"/>
      <x/>
      <x v="139"/>
      <x/>
      <x/>
      <x v="368"/>
      <x/>
      <x/>
    </i>
    <i r="6">
      <x v="1"/>
      <x v="1"/>
    </i>
    <i>
      <x v="435"/>
      <x/>
      <x v="419"/>
      <x/>
      <x/>
      <x v="384"/>
      <x/>
      <x/>
    </i>
    <i r="6">
      <x v="1"/>
      <x v="1"/>
    </i>
    <i>
      <x v="436"/>
      <x v="416"/>
      <x v="55"/>
      <x/>
      <x/>
      <x v="273"/>
      <x/>
      <x/>
    </i>
    <i r="6">
      <x v="1"/>
      <x v="1"/>
    </i>
    <i>
      <x v="437"/>
      <x/>
      <x v="85"/>
      <x/>
      <x/>
      <x v="122"/>
      <x/>
      <x/>
    </i>
    <i r="6">
      <x v="1"/>
      <x v="1"/>
    </i>
    <i>
      <x v="438"/>
      <x/>
      <x v="171"/>
      <x/>
      <x/>
      <x v="278"/>
      <x/>
      <x/>
    </i>
    <i r="6">
      <x v="1"/>
      <x v="1"/>
    </i>
    <i>
      <x v="439"/>
      <x/>
      <x v="363"/>
      <x/>
      <x/>
      <x v="8"/>
      <x/>
      <x/>
    </i>
    <i r="6">
      <x v="1"/>
      <x v="1"/>
    </i>
    <i>
      <x v="440"/>
      <x v="417"/>
      <x v="45"/>
      <x/>
      <x/>
      <x v="14"/>
      <x/>
      <x/>
    </i>
    <i r="6">
      <x v="1"/>
      <x v="1"/>
    </i>
    <i>
      <x v="441"/>
      <x/>
      <x v="164"/>
      <x/>
      <x/>
      <x v="318"/>
      <x/>
      <x/>
    </i>
    <i>
      <x v="442"/>
      <x/>
      <x v="320"/>
      <x/>
      <x/>
      <x v="119"/>
      <x/>
      <x/>
    </i>
    <i>
      <x v="443"/>
      <x/>
      <x v="183"/>
      <x/>
      <x/>
      <x v="39"/>
      <x/>
      <x/>
    </i>
    <i r="6">
      <x v="1"/>
      <x v="1"/>
    </i>
    <i>
      <x v="444"/>
      <x v="418"/>
      <x v="25"/>
      <x/>
      <x/>
      <x v="297"/>
      <x/>
      <x/>
    </i>
    <i r="6">
      <x v="1"/>
      <x v="1"/>
    </i>
    <i>
      <x v="445"/>
      <x v="419"/>
      <x v="117"/>
      <x/>
      <x/>
      <x v="363"/>
      <x/>
      <x/>
    </i>
    <i>
      <x v="446"/>
      <x v="420"/>
      <x v="279"/>
      <x/>
      <x/>
      <x v="301"/>
      <x/>
      <x/>
    </i>
    <i>
      <x v="447"/>
      <x/>
      <x v="473"/>
      <x/>
      <x/>
      <x v="330"/>
      <x/>
      <x/>
    </i>
    <i r="6">
      <x v="1"/>
      <x v="1"/>
    </i>
    <i>
      <x v="448"/>
      <x/>
      <x v="389"/>
      <x/>
      <x/>
      <x v="341"/>
      <x/>
      <x/>
    </i>
    <i>
      <x v="449"/>
      <x v="421"/>
      <x v="87"/>
      <x/>
      <x/>
      <x v="241"/>
      <x/>
      <x/>
    </i>
    <i r="6">
      <x v="1"/>
      <x v="1"/>
    </i>
    <i>
      <x v="450"/>
      <x/>
      <x v="111"/>
      <x/>
      <x/>
      <x v="48"/>
      <x/>
      <x/>
    </i>
    <i r="6">
      <x v="1"/>
      <x v="1"/>
    </i>
    <i>
      <x v="451"/>
      <x v="422"/>
      <x v="463"/>
      <x/>
      <x/>
      <x v="110"/>
      <x/>
      <x/>
    </i>
    <i r="6">
      <x v="1"/>
      <x v="1"/>
    </i>
    <i>
      <x v="452"/>
      <x/>
      <x v="456"/>
      <x/>
      <x/>
      <x v="173"/>
      <x/>
      <x/>
    </i>
    <i>
      <x v="453"/>
      <x v="423"/>
      <x v="355"/>
      <x/>
      <x/>
      <x v="189"/>
      <x/>
      <x/>
    </i>
    <i>
      <x v="454"/>
      <x v="424"/>
      <x v="40"/>
      <x/>
      <x/>
      <x v="213"/>
      <x/>
      <x/>
    </i>
    <i>
      <x v="455"/>
      <x v="425"/>
      <x v="414"/>
      <x/>
      <x/>
      <x v="229"/>
      <x/>
      <x/>
    </i>
    <i r="6">
      <x v="1"/>
      <x v="1"/>
    </i>
    <i>
      <x v="456"/>
      <x v="426"/>
      <x v="28"/>
      <x/>
      <x/>
      <x v="418"/>
      <x/>
      <x/>
    </i>
    <i r="6">
      <x v="1"/>
      <x v="1"/>
    </i>
    <i>
      <x v="457"/>
      <x v="427"/>
      <x v="52"/>
      <x/>
      <x/>
      <x v="267"/>
      <x/>
      <x/>
    </i>
    <i r="6">
      <x v="1"/>
      <x v="1"/>
    </i>
    <i>
      <x v="458"/>
      <x/>
      <x v="395"/>
      <x/>
      <x/>
      <x v="328"/>
      <x/>
      <x/>
    </i>
    <i r="6">
      <x v="1"/>
      <x v="1"/>
    </i>
    <i>
      <x v="459"/>
      <x v="428"/>
      <x v="368"/>
      <x/>
      <x/>
      <x v="80"/>
      <x/>
      <x/>
    </i>
    <i r="6">
      <x v="1"/>
      <x v="1"/>
    </i>
    <i>
      <x v="460"/>
      <x v="429"/>
      <x v="407"/>
      <x/>
      <x/>
      <x v="271"/>
      <x/>
      <x/>
    </i>
    <i r="6">
      <x v="1"/>
      <x v="1"/>
    </i>
    <i>
      <x v="461"/>
      <x v="430"/>
      <x v="312"/>
      <x/>
      <x/>
      <x v="162"/>
      <x/>
      <x/>
    </i>
    <i r="6">
      <x v="1"/>
      <x v="1"/>
    </i>
    <i>
      <x v="462"/>
      <x v="431"/>
      <x v="479"/>
      <x/>
      <x/>
      <x v="163"/>
      <x/>
      <x/>
    </i>
    <i r="6">
      <x v="1"/>
      <x v="1"/>
    </i>
    <i>
      <x v="463"/>
      <x v="432"/>
      <x v="374"/>
      <x/>
      <x/>
      <x v="201"/>
      <x/>
      <x/>
    </i>
    <i r="6">
      <x v="1"/>
      <x v="1"/>
    </i>
    <i>
      <x v="464"/>
      <x v="433"/>
      <x v="146"/>
      <x/>
      <x/>
      <x v="253"/>
      <x/>
      <x/>
    </i>
    <i r="6">
      <x v="1"/>
      <x v="1"/>
    </i>
    <i>
      <x v="465"/>
      <x v="434"/>
      <x v="181"/>
      <x/>
      <x/>
      <x v="353"/>
      <x/>
      <x/>
    </i>
    <i r="6">
      <x v="1"/>
      <x v="1"/>
    </i>
    <i>
      <x v="466"/>
      <x v="435"/>
      <x v="369"/>
      <x/>
      <x/>
      <x v="319"/>
      <x/>
      <x/>
    </i>
    <i r="6">
      <x v="1"/>
      <x v="1"/>
    </i>
    <i>
      <x v="467"/>
      <x v="436"/>
      <x v="222"/>
      <x/>
      <x/>
      <x v="106"/>
      <x/>
      <x/>
    </i>
    <i r="6">
      <x v="1"/>
      <x v="1"/>
    </i>
    <i>
      <x v="468"/>
      <x v="437"/>
      <x v="79"/>
      <x/>
      <x/>
      <x v="289"/>
      <x/>
      <x/>
    </i>
    <i r="6">
      <x v="1"/>
      <x v="1"/>
    </i>
    <i>
      <x v="469"/>
      <x v="438"/>
      <x v="385"/>
      <x/>
      <x/>
      <x v="389"/>
      <x/>
      <x/>
    </i>
    <i r="6">
      <x v="1"/>
      <x v="1"/>
    </i>
    <i>
      <x v="470"/>
      <x v="439"/>
      <x v="152"/>
      <x/>
      <x/>
      <x v="123"/>
      <x/>
      <x/>
    </i>
    <i r="6">
      <x v="1"/>
      <x v="1"/>
    </i>
    <i>
      <x v="471"/>
      <x v="440"/>
      <x v="233"/>
      <x/>
      <x/>
      <x v="396"/>
      <x/>
      <x/>
    </i>
    <i r="6">
      <x v="1"/>
      <x v="1"/>
    </i>
    <i>
      <x v="472"/>
      <x v="441"/>
      <x v="217"/>
      <x/>
      <x/>
      <x v="364"/>
      <x/>
      <x/>
    </i>
    <i r="6">
      <x v="1"/>
      <x v="1"/>
    </i>
    <i>
      <x v="473"/>
      <x v="442"/>
      <x v="408"/>
      <x/>
      <x/>
      <x v="362"/>
      <x/>
      <x/>
    </i>
    <i r="6">
      <x v="1"/>
      <x v="1"/>
    </i>
    <i>
      <x v="474"/>
      <x v="443"/>
      <x v="77"/>
      <x/>
      <x/>
      <x v="334"/>
      <x/>
      <x/>
    </i>
    <i r="6">
      <x v="1"/>
      <x v="1"/>
    </i>
    <i>
      <x v="475"/>
      <x v="444"/>
      <x v="187"/>
      <x/>
      <x/>
      <x v="402"/>
      <x/>
      <x/>
    </i>
    <i r="6">
      <x v="1"/>
      <x v="1"/>
    </i>
    <i>
      <x v="476"/>
      <x v="445"/>
      <x v="226"/>
      <x/>
      <x/>
      <x v="134"/>
      <x/>
      <x/>
    </i>
    <i r="6">
      <x v="1"/>
      <x v="1"/>
    </i>
    <i>
      <x v="477"/>
      <x v="446"/>
      <x v="433"/>
      <x/>
      <x/>
      <x v="52"/>
      <x/>
      <x/>
    </i>
    <i r="6">
      <x v="1"/>
      <x v="1"/>
    </i>
    <i>
      <x v="478"/>
      <x v="447"/>
      <x v="7"/>
      <x/>
      <x/>
      <x v="40"/>
      <x/>
      <x/>
    </i>
    <i r="6">
      <x v="1"/>
      <x v="1"/>
    </i>
    <i>
      <x v="479"/>
      <x v="448"/>
      <x v="109"/>
      <x/>
      <x/>
      <x v="169"/>
      <x/>
      <x/>
    </i>
    <i r="6">
      <x v="1"/>
      <x v="1"/>
    </i>
    <i>
      <x v="480"/>
      <x v="449"/>
      <x v="323"/>
      <x/>
      <x/>
      <x v="63"/>
      <x/>
      <x/>
    </i>
    <i r="6">
      <x v="1"/>
      <x v="1"/>
    </i>
    <i>
      <x v="481"/>
      <x v="450"/>
      <x v="416"/>
      <x/>
      <x/>
      <x v="17"/>
      <x/>
      <x/>
    </i>
    <i>
      <x v="482"/>
      <x v="451"/>
      <x v="402"/>
      <x/>
      <x/>
      <x v="399"/>
      <x/>
      <x/>
    </i>
    <i r="6">
      <x v="1"/>
      <x v="1"/>
    </i>
    <i>
      <x v="483"/>
      <x v="452"/>
      <x v="78"/>
      <x/>
      <x/>
      <x v="96"/>
      <x/>
      <x/>
    </i>
    <i r="6">
      <x v="1"/>
      <x v="1"/>
    </i>
    <i>
      <x v="484"/>
      <x v="453"/>
      <x v="154"/>
      <x/>
      <x/>
      <x v="126"/>
      <x/>
      <x/>
    </i>
    <i r="6">
      <x v="1"/>
      <x v="1"/>
    </i>
    <i>
      <x v="485"/>
      <x v="454"/>
      <x v="251"/>
      <x/>
      <x/>
      <x v="10"/>
      <x/>
      <x/>
    </i>
    <i r="6">
      <x v="1"/>
      <x v="1"/>
    </i>
    <i>
      <x v="486"/>
      <x v="455"/>
      <x v="427"/>
      <x/>
      <x/>
      <x v="385"/>
      <x/>
      <x/>
    </i>
    <i r="6">
      <x v="1"/>
      <x v="1"/>
    </i>
    <i>
      <x v="487"/>
      <x v="456"/>
      <x v="240"/>
      <x/>
      <x/>
      <x v="280"/>
      <x/>
      <x/>
    </i>
    <i r="6">
      <x v="1"/>
      <x v="1"/>
    </i>
    <i>
      <x v="488"/>
      <x v="457"/>
      <x v="350"/>
      <x/>
      <x/>
      <x v="196"/>
      <x/>
      <x/>
    </i>
    <i r="6">
      <x v="1"/>
      <x v="1"/>
    </i>
    <i>
      <x v="489"/>
      <x v="458"/>
      <x v="172"/>
      <x/>
      <x/>
      <x v="273"/>
      <x/>
      <x/>
    </i>
    <i r="6">
      <x v="1"/>
      <x v="1"/>
    </i>
  </rowItems>
  <colFields count="1">
    <field x="0"/>
  </colFields>
  <colItems count="1">
    <i>
      <x/>
    </i>
  </colItems>
  <dataFields count="1">
    <dataField name="Sum of Amount" fld="1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faribooksonlin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734"/>
  <sheetViews>
    <sheetView workbookViewId="0">
      <selection activeCell="A731" sqref="A731"/>
    </sheetView>
  </sheetViews>
  <sheetFormatPr defaultRowHeight="12.75"/>
  <cols>
    <col min="1" max="16384" width="9.140625" style="1"/>
  </cols>
  <sheetData>
    <row r="3" spans="1:10">
      <c r="A3" s="11" t="s">
        <v>25</v>
      </c>
      <c r="B3" s="12"/>
      <c r="C3" s="12"/>
      <c r="D3" s="12"/>
      <c r="E3" s="12"/>
      <c r="F3" s="12"/>
      <c r="G3" s="12"/>
      <c r="H3" s="12"/>
      <c r="I3" s="14" t="s">
        <v>27</v>
      </c>
      <c r="J3"/>
    </row>
    <row r="4" spans="1:10">
      <c r="A4" s="11" t="s">
        <v>16</v>
      </c>
      <c r="B4" s="11" t="s">
        <v>32</v>
      </c>
      <c r="C4" s="11" t="s">
        <v>17</v>
      </c>
      <c r="D4" s="11" t="s">
        <v>26</v>
      </c>
      <c r="E4" s="11" t="s">
        <v>18</v>
      </c>
      <c r="F4" s="11" t="s">
        <v>19</v>
      </c>
      <c r="G4" s="11" t="s">
        <v>20</v>
      </c>
      <c r="H4" s="11" t="s">
        <v>24</v>
      </c>
      <c r="I4" s="13" t="s">
        <v>21</v>
      </c>
      <c r="J4"/>
    </row>
    <row r="5" spans="1:10">
      <c r="A5" s="8" t="s">
        <v>35</v>
      </c>
      <c r="B5" s="8" t="s">
        <v>35</v>
      </c>
      <c r="C5" s="8" t="s">
        <v>36</v>
      </c>
      <c r="D5" s="8">
        <v>9999</v>
      </c>
      <c r="E5" s="8" t="s">
        <v>37</v>
      </c>
      <c r="F5" s="8" t="s">
        <v>38</v>
      </c>
      <c r="G5" s="8" t="s">
        <v>39</v>
      </c>
      <c r="H5" s="8">
        <v>0.2</v>
      </c>
      <c r="I5" s="15">
        <v>2.19</v>
      </c>
      <c r="J5"/>
    </row>
    <row r="6" spans="1:10">
      <c r="A6" s="10"/>
      <c r="B6" s="10"/>
      <c r="C6" s="10"/>
      <c r="D6" s="10"/>
      <c r="E6" s="10"/>
      <c r="F6" s="10"/>
      <c r="G6" s="8" t="s">
        <v>40</v>
      </c>
      <c r="H6" s="8">
        <v>0.25</v>
      </c>
      <c r="I6" s="15">
        <v>0.01</v>
      </c>
      <c r="J6"/>
    </row>
    <row r="7" spans="1:10">
      <c r="A7" s="8" t="s">
        <v>41</v>
      </c>
      <c r="B7" s="8" t="s">
        <v>41</v>
      </c>
      <c r="C7" s="8" t="s">
        <v>42</v>
      </c>
      <c r="D7" s="8">
        <v>9999</v>
      </c>
      <c r="E7" s="8" t="s">
        <v>37</v>
      </c>
      <c r="F7" s="8" t="s">
        <v>43</v>
      </c>
      <c r="G7" s="8" t="s">
        <v>39</v>
      </c>
      <c r="H7" s="8">
        <v>0.2</v>
      </c>
      <c r="I7" s="15">
        <v>3.84</v>
      </c>
      <c r="J7"/>
    </row>
    <row r="8" spans="1:10">
      <c r="A8" s="10"/>
      <c r="B8" s="10"/>
      <c r="C8" s="10"/>
      <c r="D8" s="10"/>
      <c r="E8" s="10"/>
      <c r="F8" s="10"/>
      <c r="G8" s="8" t="s">
        <v>40</v>
      </c>
      <c r="H8" s="8">
        <v>0.25</v>
      </c>
      <c r="I8" s="15">
        <v>0.35</v>
      </c>
      <c r="J8"/>
    </row>
    <row r="9" spans="1:10">
      <c r="A9" s="8" t="s">
        <v>44</v>
      </c>
      <c r="B9" s="8" t="s">
        <v>44</v>
      </c>
      <c r="C9" s="8" t="s">
        <v>45</v>
      </c>
      <c r="D9" s="8">
        <v>9999</v>
      </c>
      <c r="E9" s="8" t="s">
        <v>37</v>
      </c>
      <c r="F9" s="8" t="s">
        <v>46</v>
      </c>
      <c r="G9" s="8" t="s">
        <v>39</v>
      </c>
      <c r="H9" s="8">
        <v>0.2</v>
      </c>
      <c r="I9" s="15">
        <v>3.14</v>
      </c>
      <c r="J9"/>
    </row>
    <row r="10" spans="1:10">
      <c r="A10" s="8" t="s">
        <v>47</v>
      </c>
      <c r="B10" s="8" t="s">
        <v>47</v>
      </c>
      <c r="C10" s="8" t="s">
        <v>48</v>
      </c>
      <c r="D10" s="8">
        <v>9999</v>
      </c>
      <c r="E10" s="8" t="s">
        <v>37</v>
      </c>
      <c r="F10" s="8" t="s">
        <v>49</v>
      </c>
      <c r="G10" s="8" t="s">
        <v>39</v>
      </c>
      <c r="H10" s="8">
        <v>0.2</v>
      </c>
      <c r="I10" s="15">
        <v>29.62</v>
      </c>
      <c r="J10"/>
    </row>
    <row r="11" spans="1:10">
      <c r="A11" s="10"/>
      <c r="B11" s="10"/>
      <c r="C11" s="10"/>
      <c r="D11" s="10"/>
      <c r="E11" s="10"/>
      <c r="F11" s="10"/>
      <c r="G11" s="8" t="s">
        <v>40</v>
      </c>
      <c r="H11" s="8">
        <v>0.25</v>
      </c>
      <c r="I11" s="15">
        <v>7</v>
      </c>
      <c r="J11"/>
    </row>
    <row r="12" spans="1:10">
      <c r="A12" s="8" t="s">
        <v>50</v>
      </c>
      <c r="B12" s="8" t="s">
        <v>50</v>
      </c>
      <c r="C12" s="8" t="s">
        <v>51</v>
      </c>
      <c r="D12" s="8">
        <v>9999</v>
      </c>
      <c r="E12" s="8" t="s">
        <v>37</v>
      </c>
      <c r="F12" s="8" t="s">
        <v>52</v>
      </c>
      <c r="G12" s="8" t="s">
        <v>39</v>
      </c>
      <c r="H12" s="8">
        <v>0.2</v>
      </c>
      <c r="I12" s="15">
        <v>3.15</v>
      </c>
      <c r="J12"/>
    </row>
    <row r="13" spans="1:10">
      <c r="A13" s="10"/>
      <c r="B13" s="10"/>
      <c r="C13" s="10"/>
      <c r="D13" s="10"/>
      <c r="E13" s="10"/>
      <c r="F13" s="10"/>
      <c r="G13" s="8" t="s">
        <v>40</v>
      </c>
      <c r="H13" s="8">
        <v>0.25</v>
      </c>
      <c r="I13" s="15">
        <v>-0.02</v>
      </c>
      <c r="J13"/>
    </row>
    <row r="14" spans="1:10">
      <c r="A14" s="8" t="s">
        <v>53</v>
      </c>
      <c r="B14" s="8" t="s">
        <v>53</v>
      </c>
      <c r="C14" s="8" t="s">
        <v>54</v>
      </c>
      <c r="D14" s="8">
        <v>9999</v>
      </c>
      <c r="E14" s="8" t="s">
        <v>37</v>
      </c>
      <c r="F14" s="8" t="s">
        <v>55</v>
      </c>
      <c r="G14" s="8" t="s">
        <v>39</v>
      </c>
      <c r="H14" s="8">
        <v>0.2</v>
      </c>
      <c r="I14" s="15">
        <v>2.34</v>
      </c>
      <c r="J14"/>
    </row>
    <row r="15" spans="1:10">
      <c r="A15" s="8" t="s">
        <v>56</v>
      </c>
      <c r="B15" s="8" t="s">
        <v>56</v>
      </c>
      <c r="C15" s="8" t="s">
        <v>57</v>
      </c>
      <c r="D15" s="8">
        <v>9999</v>
      </c>
      <c r="E15" s="8" t="s">
        <v>37</v>
      </c>
      <c r="F15" s="8" t="s">
        <v>58</v>
      </c>
      <c r="G15" s="8" t="s">
        <v>39</v>
      </c>
      <c r="H15" s="8">
        <v>0.2</v>
      </c>
      <c r="I15" s="15">
        <v>7.06</v>
      </c>
      <c r="J15"/>
    </row>
    <row r="16" spans="1:10">
      <c r="A16" s="10"/>
      <c r="B16" s="10"/>
      <c r="C16" s="10"/>
      <c r="D16" s="10"/>
      <c r="E16" s="10"/>
      <c r="F16" s="10"/>
      <c r="G16" s="8" t="s">
        <v>40</v>
      </c>
      <c r="H16" s="8">
        <v>0.25</v>
      </c>
      <c r="I16" s="15">
        <v>0.01</v>
      </c>
      <c r="J16"/>
    </row>
    <row r="17" spans="1:10">
      <c r="A17" s="8" t="s">
        <v>59</v>
      </c>
      <c r="B17" s="8" t="s">
        <v>59</v>
      </c>
      <c r="C17" s="8" t="s">
        <v>60</v>
      </c>
      <c r="D17" s="8">
        <v>9999</v>
      </c>
      <c r="E17" s="8" t="s">
        <v>37</v>
      </c>
      <c r="F17" s="8" t="s">
        <v>61</v>
      </c>
      <c r="G17" s="8" t="s">
        <v>39</v>
      </c>
      <c r="H17" s="8">
        <v>0.2</v>
      </c>
      <c r="I17" s="15">
        <v>2.82</v>
      </c>
      <c r="J17"/>
    </row>
    <row r="18" spans="1:10">
      <c r="A18" s="8" t="s">
        <v>62</v>
      </c>
      <c r="B18" s="8" t="s">
        <v>62</v>
      </c>
      <c r="C18" s="8" t="s">
        <v>63</v>
      </c>
      <c r="D18" s="8">
        <v>9999</v>
      </c>
      <c r="E18" s="8" t="s">
        <v>37</v>
      </c>
      <c r="F18" s="8" t="s">
        <v>64</v>
      </c>
      <c r="G18" s="8" t="s">
        <v>39</v>
      </c>
      <c r="H18" s="8">
        <v>0.2</v>
      </c>
      <c r="I18" s="15">
        <v>3.84</v>
      </c>
      <c r="J18"/>
    </row>
    <row r="19" spans="1:10">
      <c r="A19" s="8" t="s">
        <v>65</v>
      </c>
      <c r="B19" s="8" t="s">
        <v>65</v>
      </c>
      <c r="C19" s="8" t="s">
        <v>66</v>
      </c>
      <c r="D19" s="8">
        <v>9999</v>
      </c>
      <c r="E19" s="8" t="s">
        <v>37</v>
      </c>
      <c r="F19" s="8" t="s">
        <v>67</v>
      </c>
      <c r="G19" s="8" t="s">
        <v>39</v>
      </c>
      <c r="H19" s="8">
        <v>0.2</v>
      </c>
      <c r="I19" s="15">
        <v>2.74</v>
      </c>
      <c r="J19"/>
    </row>
    <row r="20" spans="1:10">
      <c r="A20" s="8" t="s">
        <v>68</v>
      </c>
      <c r="B20" s="8" t="s">
        <v>69</v>
      </c>
      <c r="C20" s="8" t="s">
        <v>70</v>
      </c>
      <c r="D20" s="8">
        <v>9999</v>
      </c>
      <c r="E20" s="8" t="s">
        <v>37</v>
      </c>
      <c r="F20" s="8" t="s">
        <v>71</v>
      </c>
      <c r="G20" s="8" t="s">
        <v>39</v>
      </c>
      <c r="H20" s="8">
        <v>0.2</v>
      </c>
      <c r="I20" s="15">
        <v>3.93</v>
      </c>
      <c r="J20"/>
    </row>
    <row r="21" spans="1:10">
      <c r="A21" s="10"/>
      <c r="B21" s="10"/>
      <c r="C21" s="10"/>
      <c r="D21" s="10"/>
      <c r="E21" s="10"/>
      <c r="F21" s="10"/>
      <c r="G21" s="8" t="s">
        <v>40</v>
      </c>
      <c r="H21" s="8">
        <v>0.25</v>
      </c>
      <c r="I21" s="15">
        <v>0.64</v>
      </c>
      <c r="J21"/>
    </row>
    <row r="22" spans="1:10">
      <c r="A22" s="8" t="s">
        <v>72</v>
      </c>
      <c r="B22" s="8" t="s">
        <v>73</v>
      </c>
      <c r="C22" s="8" t="s">
        <v>74</v>
      </c>
      <c r="D22" s="8">
        <v>9999</v>
      </c>
      <c r="E22" s="8" t="s">
        <v>37</v>
      </c>
      <c r="F22" s="8" t="s">
        <v>75</v>
      </c>
      <c r="G22" s="8" t="s">
        <v>39</v>
      </c>
      <c r="H22" s="8">
        <v>0.2</v>
      </c>
      <c r="I22" s="15">
        <v>1.92</v>
      </c>
      <c r="J22"/>
    </row>
    <row r="23" spans="1:10">
      <c r="A23" s="10"/>
      <c r="B23" s="10"/>
      <c r="C23" s="10"/>
      <c r="D23" s="10"/>
      <c r="E23" s="10"/>
      <c r="F23" s="10"/>
      <c r="G23" s="8" t="s">
        <v>40</v>
      </c>
      <c r="H23" s="8">
        <v>0.25</v>
      </c>
      <c r="I23" s="15">
        <v>0.19</v>
      </c>
      <c r="J23"/>
    </row>
    <row r="24" spans="1:10">
      <c r="A24" s="8" t="s">
        <v>76</v>
      </c>
      <c r="B24" s="8" t="s">
        <v>77</v>
      </c>
      <c r="C24" s="8" t="s">
        <v>78</v>
      </c>
      <c r="D24" s="8">
        <v>9999</v>
      </c>
      <c r="E24" s="8" t="s">
        <v>37</v>
      </c>
      <c r="F24" s="8" t="s">
        <v>79</v>
      </c>
      <c r="G24" s="8" t="s">
        <v>39</v>
      </c>
      <c r="H24" s="8">
        <v>0.2</v>
      </c>
      <c r="I24" s="15">
        <v>1.93</v>
      </c>
      <c r="J24"/>
    </row>
    <row r="25" spans="1:10">
      <c r="A25" s="8" t="s">
        <v>80</v>
      </c>
      <c r="B25" s="8" t="s">
        <v>81</v>
      </c>
      <c r="C25" s="8" t="s">
        <v>82</v>
      </c>
      <c r="D25" s="8">
        <v>9999</v>
      </c>
      <c r="E25" s="8" t="s">
        <v>37</v>
      </c>
      <c r="F25" s="8" t="s">
        <v>83</v>
      </c>
      <c r="G25" s="8" t="s">
        <v>39</v>
      </c>
      <c r="H25" s="8">
        <v>0.2</v>
      </c>
      <c r="I25" s="15">
        <v>35.06</v>
      </c>
      <c r="J25"/>
    </row>
    <row r="26" spans="1:10">
      <c r="A26" s="10"/>
      <c r="B26" s="10"/>
      <c r="C26" s="10"/>
      <c r="D26" s="10"/>
      <c r="E26" s="10"/>
      <c r="F26" s="10"/>
      <c r="G26" s="8" t="s">
        <v>40</v>
      </c>
      <c r="H26" s="8">
        <v>0.25</v>
      </c>
      <c r="I26" s="15">
        <v>1.97</v>
      </c>
      <c r="J26"/>
    </row>
    <row r="27" spans="1:10">
      <c r="A27" s="8" t="s">
        <v>84</v>
      </c>
      <c r="B27" s="8" t="s">
        <v>85</v>
      </c>
      <c r="C27" s="8" t="s">
        <v>86</v>
      </c>
      <c r="D27" s="8">
        <v>9999</v>
      </c>
      <c r="E27" s="8" t="s">
        <v>37</v>
      </c>
      <c r="F27" s="8" t="s">
        <v>87</v>
      </c>
      <c r="G27" s="8" t="s">
        <v>39</v>
      </c>
      <c r="H27" s="8">
        <v>0.2</v>
      </c>
      <c r="I27" s="15">
        <v>1.92</v>
      </c>
      <c r="J27"/>
    </row>
    <row r="28" spans="1:10">
      <c r="A28" s="8" t="s">
        <v>88</v>
      </c>
      <c r="B28" s="8" t="s">
        <v>89</v>
      </c>
      <c r="C28" s="8" t="s">
        <v>90</v>
      </c>
      <c r="D28" s="8">
        <v>9999</v>
      </c>
      <c r="E28" s="8" t="s">
        <v>37</v>
      </c>
      <c r="F28" s="8" t="s">
        <v>91</v>
      </c>
      <c r="G28" s="8" t="s">
        <v>39</v>
      </c>
      <c r="H28" s="8">
        <v>0.2</v>
      </c>
      <c r="I28" s="15">
        <v>2.3199999999999998</v>
      </c>
      <c r="J28"/>
    </row>
    <row r="29" spans="1:10">
      <c r="A29" s="8" t="s">
        <v>92</v>
      </c>
      <c r="B29" s="8" t="s">
        <v>93</v>
      </c>
      <c r="C29" s="8" t="s">
        <v>94</v>
      </c>
      <c r="D29" s="8">
        <v>9999</v>
      </c>
      <c r="E29" s="8" t="s">
        <v>37</v>
      </c>
      <c r="F29" s="8" t="s">
        <v>95</v>
      </c>
      <c r="G29" s="8" t="s">
        <v>39</v>
      </c>
      <c r="H29" s="8">
        <v>0.2</v>
      </c>
      <c r="I29" s="15">
        <v>1.93</v>
      </c>
      <c r="J29"/>
    </row>
    <row r="30" spans="1:10">
      <c r="A30" s="8" t="s">
        <v>96</v>
      </c>
      <c r="B30" s="8" t="s">
        <v>97</v>
      </c>
      <c r="C30" s="8" t="s">
        <v>98</v>
      </c>
      <c r="D30" s="8">
        <v>9999</v>
      </c>
      <c r="E30" s="8" t="s">
        <v>37</v>
      </c>
      <c r="F30" s="8" t="s">
        <v>99</v>
      </c>
      <c r="G30" s="8" t="s">
        <v>39</v>
      </c>
      <c r="H30" s="8">
        <v>0.2</v>
      </c>
      <c r="I30" s="15">
        <v>1.92</v>
      </c>
      <c r="J30"/>
    </row>
    <row r="31" spans="1:10">
      <c r="A31" s="8" t="s">
        <v>100</v>
      </c>
      <c r="B31" s="8" t="s">
        <v>0</v>
      </c>
      <c r="C31" s="8" t="s">
        <v>101</v>
      </c>
      <c r="D31" s="8">
        <v>9999</v>
      </c>
      <c r="E31" s="8" t="s">
        <v>37</v>
      </c>
      <c r="F31" s="8" t="s">
        <v>61</v>
      </c>
      <c r="G31" s="8" t="s">
        <v>39</v>
      </c>
      <c r="H31" s="8">
        <v>0.2</v>
      </c>
      <c r="I31" s="15">
        <v>16.329999999999998</v>
      </c>
      <c r="J31"/>
    </row>
    <row r="32" spans="1:10">
      <c r="A32" s="10"/>
      <c r="B32" s="10"/>
      <c r="C32" s="10"/>
      <c r="D32" s="10"/>
      <c r="E32" s="10"/>
      <c r="F32" s="10"/>
      <c r="G32" s="8" t="s">
        <v>40</v>
      </c>
      <c r="H32" s="8">
        <v>0.25</v>
      </c>
      <c r="I32" s="15">
        <v>31.73</v>
      </c>
      <c r="J32"/>
    </row>
    <row r="33" spans="1:10">
      <c r="A33" s="8" t="s">
        <v>102</v>
      </c>
      <c r="B33" s="8" t="s">
        <v>103</v>
      </c>
      <c r="C33" s="8" t="s">
        <v>104</v>
      </c>
      <c r="D33" s="8">
        <v>9999</v>
      </c>
      <c r="E33" s="8" t="s">
        <v>37</v>
      </c>
      <c r="F33" s="8" t="s">
        <v>105</v>
      </c>
      <c r="G33" s="8" t="s">
        <v>39</v>
      </c>
      <c r="H33" s="8">
        <v>0.2</v>
      </c>
      <c r="I33" s="15">
        <v>2.74</v>
      </c>
      <c r="J33"/>
    </row>
    <row r="34" spans="1:10">
      <c r="A34" s="8" t="s">
        <v>106</v>
      </c>
      <c r="B34" s="8" t="s">
        <v>107</v>
      </c>
      <c r="C34" s="8" t="s">
        <v>108</v>
      </c>
      <c r="D34" s="8">
        <v>9999</v>
      </c>
      <c r="E34" s="8" t="s">
        <v>37</v>
      </c>
      <c r="F34" s="8" t="s">
        <v>61</v>
      </c>
      <c r="G34" s="8" t="s">
        <v>39</v>
      </c>
      <c r="H34" s="8">
        <v>0.2</v>
      </c>
      <c r="I34" s="15">
        <v>2.16</v>
      </c>
      <c r="J34"/>
    </row>
    <row r="35" spans="1:10">
      <c r="A35" s="8" t="s">
        <v>109</v>
      </c>
      <c r="B35" s="8" t="s">
        <v>0</v>
      </c>
      <c r="C35" s="8" t="s">
        <v>110</v>
      </c>
      <c r="D35" s="8">
        <v>9999</v>
      </c>
      <c r="E35" s="8" t="s">
        <v>37</v>
      </c>
      <c r="F35" s="8" t="s">
        <v>111</v>
      </c>
      <c r="G35" s="8" t="s">
        <v>39</v>
      </c>
      <c r="H35" s="8">
        <v>0.2</v>
      </c>
      <c r="I35" s="15">
        <v>2.4700000000000002</v>
      </c>
      <c r="J35"/>
    </row>
    <row r="36" spans="1:10">
      <c r="A36" s="8" t="s">
        <v>112</v>
      </c>
      <c r="B36" s="8" t="s">
        <v>0</v>
      </c>
      <c r="C36" s="8" t="s">
        <v>113</v>
      </c>
      <c r="D36" s="8">
        <v>9999</v>
      </c>
      <c r="E36" s="8" t="s">
        <v>37</v>
      </c>
      <c r="F36" s="8" t="s">
        <v>114</v>
      </c>
      <c r="G36" s="8" t="s">
        <v>39</v>
      </c>
      <c r="H36" s="8">
        <v>0.2</v>
      </c>
      <c r="I36" s="15">
        <v>9.56</v>
      </c>
      <c r="J36"/>
    </row>
    <row r="37" spans="1:10">
      <c r="A37" s="10"/>
      <c r="B37" s="10"/>
      <c r="C37" s="10"/>
      <c r="D37" s="10"/>
      <c r="E37" s="10"/>
      <c r="F37" s="10"/>
      <c r="G37" s="8" t="s">
        <v>40</v>
      </c>
      <c r="H37" s="8">
        <v>0.25</v>
      </c>
      <c r="I37" s="15">
        <v>18.05</v>
      </c>
      <c r="J37"/>
    </row>
    <row r="38" spans="1:10">
      <c r="A38" s="8" t="s">
        <v>115</v>
      </c>
      <c r="B38" s="8" t="s">
        <v>115</v>
      </c>
      <c r="C38" s="8" t="s">
        <v>116</v>
      </c>
      <c r="D38" s="8">
        <v>9999</v>
      </c>
      <c r="E38" s="8" t="s">
        <v>37</v>
      </c>
      <c r="F38" s="8" t="s">
        <v>117</v>
      </c>
      <c r="G38" s="8" t="s">
        <v>39</v>
      </c>
      <c r="H38" s="8">
        <v>0.2</v>
      </c>
      <c r="I38" s="15">
        <v>1.92</v>
      </c>
      <c r="J38"/>
    </row>
    <row r="39" spans="1:10">
      <c r="A39" s="8" t="s">
        <v>118</v>
      </c>
      <c r="B39" s="8" t="s">
        <v>119</v>
      </c>
      <c r="C39" s="8" t="s">
        <v>120</v>
      </c>
      <c r="D39" s="8">
        <v>9999</v>
      </c>
      <c r="E39" s="8" t="s">
        <v>37</v>
      </c>
      <c r="F39" s="8" t="s">
        <v>121</v>
      </c>
      <c r="G39" s="8" t="s">
        <v>39</v>
      </c>
      <c r="H39" s="8">
        <v>0.2</v>
      </c>
      <c r="I39" s="15">
        <v>2.52</v>
      </c>
      <c r="J39"/>
    </row>
    <row r="40" spans="1:10">
      <c r="A40" s="8" t="s">
        <v>122</v>
      </c>
      <c r="B40" s="8" t="s">
        <v>123</v>
      </c>
      <c r="C40" s="8" t="s">
        <v>124</v>
      </c>
      <c r="D40" s="8">
        <v>9999</v>
      </c>
      <c r="E40" s="8" t="s">
        <v>37</v>
      </c>
      <c r="F40" s="8" t="s">
        <v>125</v>
      </c>
      <c r="G40" s="8" t="s">
        <v>39</v>
      </c>
      <c r="H40" s="8">
        <v>0.2</v>
      </c>
      <c r="I40" s="15">
        <v>2.78</v>
      </c>
      <c r="J40"/>
    </row>
    <row r="41" spans="1:10">
      <c r="A41" s="8" t="s">
        <v>126</v>
      </c>
      <c r="B41" s="8" t="s">
        <v>127</v>
      </c>
      <c r="C41" s="8" t="s">
        <v>128</v>
      </c>
      <c r="D41" s="8">
        <v>9999</v>
      </c>
      <c r="E41" s="8" t="s">
        <v>37</v>
      </c>
      <c r="F41" s="8" t="s">
        <v>129</v>
      </c>
      <c r="G41" s="8" t="s">
        <v>39</v>
      </c>
      <c r="H41" s="8">
        <v>0.2</v>
      </c>
      <c r="I41" s="15">
        <v>5.24</v>
      </c>
      <c r="J41"/>
    </row>
    <row r="42" spans="1:10">
      <c r="A42" s="10"/>
      <c r="B42" s="10"/>
      <c r="C42" s="10"/>
      <c r="D42" s="10"/>
      <c r="E42" s="10"/>
      <c r="F42" s="10"/>
      <c r="G42" s="8" t="s">
        <v>40</v>
      </c>
      <c r="H42" s="8">
        <v>0.25</v>
      </c>
      <c r="I42" s="15">
        <v>0.1</v>
      </c>
      <c r="J42"/>
    </row>
    <row r="43" spans="1:10">
      <c r="A43" s="8" t="s">
        <v>130</v>
      </c>
      <c r="B43" s="8" t="s">
        <v>131</v>
      </c>
      <c r="C43" s="8" t="s">
        <v>132</v>
      </c>
      <c r="D43" s="8">
        <v>9999</v>
      </c>
      <c r="E43" s="8" t="s">
        <v>37</v>
      </c>
      <c r="F43" s="8" t="s">
        <v>133</v>
      </c>
      <c r="G43" s="8" t="s">
        <v>39</v>
      </c>
      <c r="H43" s="8">
        <v>0.2</v>
      </c>
      <c r="I43" s="15">
        <v>19.7</v>
      </c>
      <c r="J43"/>
    </row>
    <row r="44" spans="1:10">
      <c r="A44" s="10"/>
      <c r="B44" s="10"/>
      <c r="C44" s="10"/>
      <c r="D44" s="10"/>
      <c r="E44" s="10"/>
      <c r="F44" s="10"/>
      <c r="G44" s="8" t="s">
        <v>40</v>
      </c>
      <c r="H44" s="8">
        <v>0.25</v>
      </c>
      <c r="I44" s="15">
        <v>7.0000000000000007E-2</v>
      </c>
      <c r="J44"/>
    </row>
    <row r="45" spans="1:10">
      <c r="A45" s="8" t="s">
        <v>134</v>
      </c>
      <c r="B45" s="8" t="s">
        <v>135</v>
      </c>
      <c r="C45" s="8" t="s">
        <v>136</v>
      </c>
      <c r="D45" s="8">
        <v>9999</v>
      </c>
      <c r="E45" s="8" t="s">
        <v>37</v>
      </c>
      <c r="F45" s="8" t="s">
        <v>137</v>
      </c>
      <c r="G45" s="8" t="s">
        <v>39</v>
      </c>
      <c r="H45" s="8">
        <v>0.2</v>
      </c>
      <c r="I45" s="15">
        <v>2.3199999999999998</v>
      </c>
      <c r="J45"/>
    </row>
    <row r="46" spans="1:10">
      <c r="A46" s="8" t="s">
        <v>138</v>
      </c>
      <c r="B46" s="8" t="s">
        <v>139</v>
      </c>
      <c r="C46" s="8" t="s">
        <v>140</v>
      </c>
      <c r="D46" s="8">
        <v>9999</v>
      </c>
      <c r="E46" s="8" t="s">
        <v>37</v>
      </c>
      <c r="F46" s="8" t="s">
        <v>141</v>
      </c>
      <c r="G46" s="8" t="s">
        <v>39</v>
      </c>
      <c r="H46" s="8">
        <v>0.2</v>
      </c>
      <c r="I46" s="15">
        <v>2.48</v>
      </c>
      <c r="J46"/>
    </row>
    <row r="47" spans="1:10">
      <c r="A47" s="8" t="s">
        <v>142</v>
      </c>
      <c r="B47" s="8" t="s">
        <v>0</v>
      </c>
      <c r="C47" s="8" t="s">
        <v>143</v>
      </c>
      <c r="D47" s="8">
        <v>9999</v>
      </c>
      <c r="E47" s="8" t="s">
        <v>37</v>
      </c>
      <c r="F47" s="8" t="s">
        <v>61</v>
      </c>
      <c r="G47" s="8" t="s">
        <v>39</v>
      </c>
      <c r="H47" s="8">
        <v>0.2</v>
      </c>
      <c r="I47" s="15">
        <v>286.39</v>
      </c>
      <c r="J47"/>
    </row>
    <row r="48" spans="1:10">
      <c r="A48" s="10"/>
      <c r="B48" s="10"/>
      <c r="C48" s="10"/>
      <c r="D48" s="10"/>
      <c r="E48" s="10"/>
      <c r="F48" s="10"/>
      <c r="G48" s="8" t="s">
        <v>40</v>
      </c>
      <c r="H48" s="8">
        <v>0.25</v>
      </c>
      <c r="I48" s="15">
        <v>1.29</v>
      </c>
      <c r="J48"/>
    </row>
    <row r="49" spans="1:10">
      <c r="A49" s="8" t="s">
        <v>144</v>
      </c>
      <c r="B49" s="8" t="s">
        <v>0</v>
      </c>
      <c r="C49" s="8" t="s">
        <v>145</v>
      </c>
      <c r="D49" s="8">
        <v>9999</v>
      </c>
      <c r="E49" s="8" t="s">
        <v>37</v>
      </c>
      <c r="F49" s="8" t="s">
        <v>146</v>
      </c>
      <c r="G49" s="8" t="s">
        <v>39</v>
      </c>
      <c r="H49" s="8">
        <v>0.2</v>
      </c>
      <c r="I49" s="15">
        <v>2.4700000000000002</v>
      </c>
      <c r="J49"/>
    </row>
    <row r="50" spans="1:10">
      <c r="A50" s="8" t="s">
        <v>147</v>
      </c>
      <c r="B50" s="8" t="s">
        <v>148</v>
      </c>
      <c r="C50" s="8" t="s">
        <v>149</v>
      </c>
      <c r="D50" s="8">
        <v>9999</v>
      </c>
      <c r="E50" s="8" t="s">
        <v>37</v>
      </c>
      <c r="F50" s="8" t="s">
        <v>150</v>
      </c>
      <c r="G50" s="8" t="s">
        <v>39</v>
      </c>
      <c r="H50" s="8">
        <v>0.2</v>
      </c>
      <c r="I50" s="15">
        <v>3.14</v>
      </c>
      <c r="J50"/>
    </row>
    <row r="51" spans="1:10">
      <c r="A51" s="8" t="s">
        <v>151</v>
      </c>
      <c r="B51" s="8" t="s">
        <v>0</v>
      </c>
      <c r="C51" s="8" t="s">
        <v>152</v>
      </c>
      <c r="D51" s="8">
        <v>9999</v>
      </c>
      <c r="E51" s="8" t="s">
        <v>37</v>
      </c>
      <c r="F51" s="8" t="s">
        <v>153</v>
      </c>
      <c r="G51" s="8" t="s">
        <v>39</v>
      </c>
      <c r="H51" s="8">
        <v>0.2</v>
      </c>
      <c r="I51" s="15">
        <v>2.77</v>
      </c>
      <c r="J51"/>
    </row>
    <row r="52" spans="1:10">
      <c r="A52" s="8" t="s">
        <v>154</v>
      </c>
      <c r="B52" s="8" t="s">
        <v>155</v>
      </c>
      <c r="C52" s="8" t="s">
        <v>156</v>
      </c>
      <c r="D52" s="8">
        <v>9999</v>
      </c>
      <c r="E52" s="8" t="s">
        <v>37</v>
      </c>
      <c r="F52" s="8" t="s">
        <v>61</v>
      </c>
      <c r="G52" s="8" t="s">
        <v>39</v>
      </c>
      <c r="H52" s="8">
        <v>0.2</v>
      </c>
      <c r="I52" s="15">
        <v>547.96</v>
      </c>
      <c r="J52"/>
    </row>
    <row r="53" spans="1:10">
      <c r="A53" s="10"/>
      <c r="B53" s="10"/>
      <c r="C53" s="10"/>
      <c r="D53" s="10"/>
      <c r="E53" s="10"/>
      <c r="F53" s="10"/>
      <c r="G53" s="8" t="s">
        <v>40</v>
      </c>
      <c r="H53" s="8">
        <v>0.25</v>
      </c>
      <c r="I53" s="15">
        <v>132.16999999999999</v>
      </c>
      <c r="J53"/>
    </row>
    <row r="54" spans="1:10">
      <c r="A54" s="8" t="s">
        <v>157</v>
      </c>
      <c r="B54" s="8" t="s">
        <v>0</v>
      </c>
      <c r="C54" s="8" t="s">
        <v>158</v>
      </c>
      <c r="D54" s="8">
        <v>9999</v>
      </c>
      <c r="E54" s="8" t="s">
        <v>37</v>
      </c>
      <c r="F54" s="8" t="s">
        <v>159</v>
      </c>
      <c r="G54" s="8" t="s">
        <v>39</v>
      </c>
      <c r="H54" s="8">
        <v>0.2</v>
      </c>
      <c r="I54" s="15">
        <v>3.16</v>
      </c>
      <c r="J54"/>
    </row>
    <row r="55" spans="1:10">
      <c r="A55" s="8" t="s">
        <v>160</v>
      </c>
      <c r="B55" s="8" t="s">
        <v>161</v>
      </c>
      <c r="C55" s="8" t="s">
        <v>162</v>
      </c>
      <c r="D55" s="8">
        <v>9999</v>
      </c>
      <c r="E55" s="8" t="s">
        <v>37</v>
      </c>
      <c r="F55" s="8" t="s">
        <v>163</v>
      </c>
      <c r="G55" s="8" t="s">
        <v>39</v>
      </c>
      <c r="H55" s="8">
        <v>0.2</v>
      </c>
      <c r="I55" s="15">
        <v>1.92</v>
      </c>
      <c r="J55"/>
    </row>
    <row r="56" spans="1:10">
      <c r="A56" s="8" t="s">
        <v>164</v>
      </c>
      <c r="B56" s="8" t="s">
        <v>0</v>
      </c>
      <c r="C56" s="8" t="s">
        <v>165</v>
      </c>
      <c r="D56" s="8">
        <v>9999</v>
      </c>
      <c r="E56" s="8" t="s">
        <v>37</v>
      </c>
      <c r="F56" s="8" t="s">
        <v>166</v>
      </c>
      <c r="G56" s="8" t="s">
        <v>39</v>
      </c>
      <c r="H56" s="8">
        <v>0.2</v>
      </c>
      <c r="I56" s="15">
        <v>1.67</v>
      </c>
      <c r="J56"/>
    </row>
    <row r="57" spans="1:10">
      <c r="A57" s="8" t="s">
        <v>167</v>
      </c>
      <c r="B57" s="8" t="s">
        <v>167</v>
      </c>
      <c r="C57" s="8" t="s">
        <v>168</v>
      </c>
      <c r="D57" s="8">
        <v>9999</v>
      </c>
      <c r="E57" s="8" t="s">
        <v>37</v>
      </c>
      <c r="F57" s="8" t="s">
        <v>169</v>
      </c>
      <c r="G57" s="8" t="s">
        <v>39</v>
      </c>
      <c r="H57" s="8">
        <v>0.2</v>
      </c>
      <c r="I57" s="15">
        <v>2.98</v>
      </c>
      <c r="J57"/>
    </row>
    <row r="58" spans="1:10">
      <c r="A58" s="8" t="s">
        <v>170</v>
      </c>
      <c r="B58" s="8" t="s">
        <v>170</v>
      </c>
      <c r="C58" s="8" t="s">
        <v>171</v>
      </c>
      <c r="D58" s="8">
        <v>9999</v>
      </c>
      <c r="E58" s="8" t="s">
        <v>37</v>
      </c>
      <c r="F58" s="8" t="s">
        <v>172</v>
      </c>
      <c r="G58" s="8" t="s">
        <v>39</v>
      </c>
      <c r="H58" s="8">
        <v>0.2</v>
      </c>
      <c r="I58" s="15">
        <v>34.869999999999997</v>
      </c>
      <c r="J58"/>
    </row>
    <row r="59" spans="1:10">
      <c r="A59" s="10"/>
      <c r="B59" s="10"/>
      <c r="C59" s="10"/>
      <c r="D59" s="10"/>
      <c r="E59" s="10"/>
      <c r="F59" s="10"/>
      <c r="G59" s="8" t="s">
        <v>40</v>
      </c>
      <c r="H59" s="8">
        <v>0.25</v>
      </c>
      <c r="I59" s="15">
        <v>6.21</v>
      </c>
      <c r="J59"/>
    </row>
    <row r="60" spans="1:10">
      <c r="A60" s="8" t="s">
        <v>173</v>
      </c>
      <c r="B60" s="8" t="s">
        <v>174</v>
      </c>
      <c r="C60" s="8" t="s">
        <v>175</v>
      </c>
      <c r="D60" s="8">
        <v>9999</v>
      </c>
      <c r="E60" s="8" t="s">
        <v>37</v>
      </c>
      <c r="F60" s="8" t="s">
        <v>176</v>
      </c>
      <c r="G60" s="8" t="s">
        <v>39</v>
      </c>
      <c r="H60" s="8">
        <v>0.2</v>
      </c>
      <c r="I60" s="15">
        <v>3.16</v>
      </c>
      <c r="J60"/>
    </row>
    <row r="61" spans="1:10">
      <c r="A61" s="10"/>
      <c r="B61" s="10"/>
      <c r="C61" s="10"/>
      <c r="D61" s="10"/>
      <c r="E61" s="10"/>
      <c r="F61" s="10"/>
      <c r="G61" s="8" t="s">
        <v>40</v>
      </c>
      <c r="H61" s="8">
        <v>0.25</v>
      </c>
      <c r="I61" s="15">
        <v>7.4</v>
      </c>
      <c r="J61"/>
    </row>
    <row r="62" spans="1:10">
      <c r="A62" s="8" t="s">
        <v>177</v>
      </c>
      <c r="B62" s="8" t="s">
        <v>177</v>
      </c>
      <c r="C62" s="8" t="s">
        <v>178</v>
      </c>
      <c r="D62" s="8">
        <v>9999</v>
      </c>
      <c r="E62" s="8" t="s">
        <v>37</v>
      </c>
      <c r="F62" s="8" t="s">
        <v>179</v>
      </c>
      <c r="G62" s="8" t="s">
        <v>39</v>
      </c>
      <c r="H62" s="8">
        <v>0.2</v>
      </c>
      <c r="I62" s="15">
        <v>1.96</v>
      </c>
      <c r="J62"/>
    </row>
    <row r="63" spans="1:10">
      <c r="A63" s="8" t="s">
        <v>180</v>
      </c>
      <c r="B63" s="8" t="s">
        <v>180</v>
      </c>
      <c r="C63" s="8" t="s">
        <v>181</v>
      </c>
      <c r="D63" s="8">
        <v>9999</v>
      </c>
      <c r="E63" s="8" t="s">
        <v>37</v>
      </c>
      <c r="F63" s="8" t="s">
        <v>182</v>
      </c>
      <c r="G63" s="8" t="s">
        <v>39</v>
      </c>
      <c r="H63" s="8">
        <v>0.2</v>
      </c>
      <c r="I63" s="15">
        <v>3.46</v>
      </c>
      <c r="J63"/>
    </row>
    <row r="64" spans="1:10">
      <c r="A64" s="8" t="s">
        <v>183</v>
      </c>
      <c r="B64" s="8" t="s">
        <v>183</v>
      </c>
      <c r="C64" s="8" t="s">
        <v>184</v>
      </c>
      <c r="D64" s="8">
        <v>9999</v>
      </c>
      <c r="E64" s="8" t="s">
        <v>37</v>
      </c>
      <c r="F64" s="8" t="s">
        <v>185</v>
      </c>
      <c r="G64" s="8" t="s">
        <v>39</v>
      </c>
      <c r="H64" s="8">
        <v>0.2</v>
      </c>
      <c r="I64" s="15">
        <v>10.039999999999999</v>
      </c>
      <c r="J64"/>
    </row>
    <row r="65" spans="1:10">
      <c r="A65" s="8" t="s">
        <v>186</v>
      </c>
      <c r="B65" s="8" t="s">
        <v>186</v>
      </c>
      <c r="C65" s="8" t="s">
        <v>187</v>
      </c>
      <c r="D65" s="8">
        <v>9999</v>
      </c>
      <c r="E65" s="8" t="s">
        <v>37</v>
      </c>
      <c r="F65" s="8" t="s">
        <v>188</v>
      </c>
      <c r="G65" s="8" t="s">
        <v>39</v>
      </c>
      <c r="H65" s="8">
        <v>0.2</v>
      </c>
      <c r="I65" s="15">
        <v>2.3199999999999998</v>
      </c>
      <c r="J65"/>
    </row>
    <row r="66" spans="1:10">
      <c r="A66" s="8" t="s">
        <v>189</v>
      </c>
      <c r="B66" s="8" t="s">
        <v>189</v>
      </c>
      <c r="C66" s="8" t="s">
        <v>190</v>
      </c>
      <c r="D66" s="8">
        <v>9999</v>
      </c>
      <c r="E66" s="8" t="s">
        <v>37</v>
      </c>
      <c r="F66" s="8" t="s">
        <v>191</v>
      </c>
      <c r="G66" s="8" t="s">
        <v>39</v>
      </c>
      <c r="H66" s="8">
        <v>0.2</v>
      </c>
      <c r="I66" s="15">
        <v>1.96</v>
      </c>
      <c r="J66"/>
    </row>
    <row r="67" spans="1:10">
      <c r="A67" s="10"/>
      <c r="B67" s="10"/>
      <c r="C67" s="10"/>
      <c r="D67" s="10"/>
      <c r="E67" s="10"/>
      <c r="F67" s="10"/>
      <c r="G67" s="8" t="s">
        <v>40</v>
      </c>
      <c r="H67" s="8">
        <v>0.25</v>
      </c>
      <c r="I67" s="15">
        <v>0.28999999999999998</v>
      </c>
      <c r="J67"/>
    </row>
    <row r="68" spans="1:10">
      <c r="A68" s="8" t="s">
        <v>192</v>
      </c>
      <c r="B68" s="8" t="s">
        <v>192</v>
      </c>
      <c r="C68" s="8" t="s">
        <v>193</v>
      </c>
      <c r="D68" s="8">
        <v>9999</v>
      </c>
      <c r="E68" s="8" t="s">
        <v>37</v>
      </c>
      <c r="F68" s="8" t="s">
        <v>194</v>
      </c>
      <c r="G68" s="8" t="s">
        <v>39</v>
      </c>
      <c r="H68" s="8">
        <v>0.2</v>
      </c>
      <c r="I68" s="15">
        <v>1.92</v>
      </c>
      <c r="J68"/>
    </row>
    <row r="69" spans="1:10">
      <c r="A69" s="8" t="s">
        <v>195</v>
      </c>
      <c r="B69" s="8" t="s">
        <v>195</v>
      </c>
      <c r="C69" s="8" t="s">
        <v>196</v>
      </c>
      <c r="D69" s="8">
        <v>9999</v>
      </c>
      <c r="E69" s="8" t="s">
        <v>37</v>
      </c>
      <c r="F69" s="8" t="s">
        <v>197</v>
      </c>
      <c r="G69" s="8" t="s">
        <v>39</v>
      </c>
      <c r="H69" s="8">
        <v>0.2</v>
      </c>
      <c r="I69" s="15">
        <v>2.16</v>
      </c>
      <c r="J69"/>
    </row>
    <row r="70" spans="1:10">
      <c r="A70" s="8" t="s">
        <v>198</v>
      </c>
      <c r="B70" s="8" t="s">
        <v>198</v>
      </c>
      <c r="C70" s="8" t="s">
        <v>199</v>
      </c>
      <c r="D70" s="8">
        <v>9999</v>
      </c>
      <c r="E70" s="8" t="s">
        <v>37</v>
      </c>
      <c r="F70" s="8" t="s">
        <v>200</v>
      </c>
      <c r="G70" s="8" t="s">
        <v>39</v>
      </c>
      <c r="H70" s="8">
        <v>0.2</v>
      </c>
      <c r="I70" s="15">
        <v>31.79</v>
      </c>
      <c r="J70"/>
    </row>
    <row r="71" spans="1:10">
      <c r="A71" s="8" t="s">
        <v>201</v>
      </c>
      <c r="B71" s="8" t="s">
        <v>201</v>
      </c>
      <c r="C71" s="8" t="s">
        <v>202</v>
      </c>
      <c r="D71" s="8">
        <v>9999</v>
      </c>
      <c r="E71" s="8" t="s">
        <v>37</v>
      </c>
      <c r="F71" s="8" t="s">
        <v>203</v>
      </c>
      <c r="G71" s="8" t="s">
        <v>39</v>
      </c>
      <c r="H71" s="8">
        <v>0.2</v>
      </c>
      <c r="I71" s="15">
        <v>1.92</v>
      </c>
      <c r="J71"/>
    </row>
    <row r="72" spans="1:10">
      <c r="A72" s="8" t="s">
        <v>204</v>
      </c>
      <c r="B72" s="8" t="s">
        <v>204</v>
      </c>
      <c r="C72" s="8" t="s">
        <v>205</v>
      </c>
      <c r="D72" s="8">
        <v>9999</v>
      </c>
      <c r="E72" s="8" t="s">
        <v>37</v>
      </c>
      <c r="F72" s="8" t="s">
        <v>206</v>
      </c>
      <c r="G72" s="8" t="s">
        <v>39</v>
      </c>
      <c r="H72" s="8">
        <v>0.2</v>
      </c>
      <c r="I72" s="15">
        <v>1.93</v>
      </c>
      <c r="J72"/>
    </row>
    <row r="73" spans="1:10">
      <c r="A73" s="8" t="s">
        <v>207</v>
      </c>
      <c r="B73" s="8" t="s">
        <v>207</v>
      </c>
      <c r="C73" s="8" t="s">
        <v>208</v>
      </c>
      <c r="D73" s="8">
        <v>9999</v>
      </c>
      <c r="E73" s="8" t="s">
        <v>37</v>
      </c>
      <c r="F73" s="8" t="s">
        <v>209</v>
      </c>
      <c r="G73" s="8" t="s">
        <v>39</v>
      </c>
      <c r="H73" s="8">
        <v>0.2</v>
      </c>
      <c r="I73" s="15">
        <v>1.92</v>
      </c>
      <c r="J73"/>
    </row>
    <row r="74" spans="1:10">
      <c r="A74" s="8" t="s">
        <v>210</v>
      </c>
      <c r="B74" s="8" t="s">
        <v>210</v>
      </c>
      <c r="C74" s="8" t="s">
        <v>211</v>
      </c>
      <c r="D74" s="8">
        <v>9999</v>
      </c>
      <c r="E74" s="8" t="s">
        <v>37</v>
      </c>
      <c r="F74" s="8" t="s">
        <v>212</v>
      </c>
      <c r="G74" s="8" t="s">
        <v>39</v>
      </c>
      <c r="H74" s="8">
        <v>0.2</v>
      </c>
      <c r="I74" s="15">
        <v>2.63</v>
      </c>
      <c r="J74"/>
    </row>
    <row r="75" spans="1:10">
      <c r="A75" s="10"/>
      <c r="B75" s="10"/>
      <c r="C75" s="10"/>
      <c r="D75" s="10"/>
      <c r="E75" s="10"/>
      <c r="F75" s="10"/>
      <c r="G75" s="8" t="s">
        <v>40</v>
      </c>
      <c r="H75" s="8">
        <v>0.25</v>
      </c>
      <c r="I75" s="15">
        <v>0.14000000000000001</v>
      </c>
      <c r="J75"/>
    </row>
    <row r="76" spans="1:10">
      <c r="A76" s="8" t="s">
        <v>213</v>
      </c>
      <c r="B76" s="8" t="s">
        <v>213</v>
      </c>
      <c r="C76" s="8" t="s">
        <v>214</v>
      </c>
      <c r="D76" s="8">
        <v>9999</v>
      </c>
      <c r="E76" s="8" t="s">
        <v>37</v>
      </c>
      <c r="F76" s="8" t="s">
        <v>215</v>
      </c>
      <c r="G76" s="8" t="s">
        <v>39</v>
      </c>
      <c r="H76" s="8">
        <v>0.2</v>
      </c>
      <c r="I76" s="15">
        <v>3.92</v>
      </c>
      <c r="J76"/>
    </row>
    <row r="77" spans="1:10">
      <c r="A77" s="10"/>
      <c r="B77" s="10"/>
      <c r="C77" s="10"/>
      <c r="D77" s="10"/>
      <c r="E77" s="10"/>
      <c r="F77" s="10"/>
      <c r="G77" s="8" t="s">
        <v>40</v>
      </c>
      <c r="H77" s="8">
        <v>0.25</v>
      </c>
      <c r="I77" s="15">
        <v>0.11</v>
      </c>
      <c r="J77"/>
    </row>
    <row r="78" spans="1:10">
      <c r="A78" s="8" t="s">
        <v>216</v>
      </c>
      <c r="B78" s="8" t="s">
        <v>216</v>
      </c>
      <c r="C78" s="8" t="s">
        <v>217</v>
      </c>
      <c r="D78" s="8">
        <v>9999</v>
      </c>
      <c r="E78" s="8" t="s">
        <v>37</v>
      </c>
      <c r="F78" s="8" t="s">
        <v>218</v>
      </c>
      <c r="G78" s="8" t="s">
        <v>39</v>
      </c>
      <c r="H78" s="8">
        <v>0.2</v>
      </c>
      <c r="I78" s="15">
        <v>11.4</v>
      </c>
      <c r="J78"/>
    </row>
    <row r="79" spans="1:10">
      <c r="A79" s="8" t="s">
        <v>219</v>
      </c>
      <c r="B79" s="8" t="s">
        <v>219</v>
      </c>
      <c r="C79" s="8" t="s">
        <v>220</v>
      </c>
      <c r="D79" s="8">
        <v>9999</v>
      </c>
      <c r="E79" s="8" t="s">
        <v>37</v>
      </c>
      <c r="F79" s="8" t="s">
        <v>221</v>
      </c>
      <c r="G79" s="8" t="s">
        <v>39</v>
      </c>
      <c r="H79" s="8">
        <v>0.2</v>
      </c>
      <c r="I79" s="15">
        <v>2.36</v>
      </c>
      <c r="J79"/>
    </row>
    <row r="80" spans="1:10">
      <c r="A80" s="10"/>
      <c r="B80" s="10"/>
      <c r="C80" s="10"/>
      <c r="D80" s="10"/>
      <c r="E80" s="10"/>
      <c r="F80" s="10"/>
      <c r="G80" s="8" t="s">
        <v>40</v>
      </c>
      <c r="H80" s="8">
        <v>0.25</v>
      </c>
      <c r="I80" s="15">
        <v>0.01</v>
      </c>
      <c r="J80"/>
    </row>
    <row r="81" spans="1:10">
      <c r="A81" s="8" t="s">
        <v>222</v>
      </c>
      <c r="B81" s="8" t="s">
        <v>222</v>
      </c>
      <c r="C81" s="8" t="s">
        <v>223</v>
      </c>
      <c r="D81" s="8">
        <v>9999</v>
      </c>
      <c r="E81" s="8" t="s">
        <v>37</v>
      </c>
      <c r="F81" s="8" t="s">
        <v>224</v>
      </c>
      <c r="G81" s="8" t="s">
        <v>39</v>
      </c>
      <c r="H81" s="8">
        <v>0.2</v>
      </c>
      <c r="I81" s="15">
        <v>1.93</v>
      </c>
      <c r="J81"/>
    </row>
    <row r="82" spans="1:10">
      <c r="A82" s="8" t="s">
        <v>225</v>
      </c>
      <c r="B82" s="8" t="s">
        <v>225</v>
      </c>
      <c r="C82" s="8" t="s">
        <v>226</v>
      </c>
      <c r="D82" s="8">
        <v>9999</v>
      </c>
      <c r="E82" s="8" t="s">
        <v>37</v>
      </c>
      <c r="F82" s="8" t="s">
        <v>227</v>
      </c>
      <c r="G82" s="8" t="s">
        <v>39</v>
      </c>
      <c r="H82" s="8">
        <v>0.2</v>
      </c>
      <c r="I82" s="15">
        <v>2.02</v>
      </c>
      <c r="J82"/>
    </row>
    <row r="83" spans="1:10">
      <c r="A83" s="8" t="s">
        <v>228</v>
      </c>
      <c r="B83" s="8" t="s">
        <v>228</v>
      </c>
      <c r="C83" s="8" t="s">
        <v>229</v>
      </c>
      <c r="D83" s="8">
        <v>9999</v>
      </c>
      <c r="E83" s="8" t="s">
        <v>37</v>
      </c>
      <c r="F83" s="8" t="s">
        <v>230</v>
      </c>
      <c r="G83" s="8" t="s">
        <v>39</v>
      </c>
      <c r="H83" s="8">
        <v>0.2</v>
      </c>
      <c r="I83" s="15">
        <v>3.42</v>
      </c>
      <c r="J83"/>
    </row>
    <row r="84" spans="1:10">
      <c r="A84" s="10"/>
      <c r="B84" s="10"/>
      <c r="C84" s="10"/>
      <c r="D84" s="10"/>
      <c r="E84" s="10"/>
      <c r="F84" s="10"/>
      <c r="G84" s="8" t="s">
        <v>40</v>
      </c>
      <c r="H84" s="8">
        <v>0.25</v>
      </c>
      <c r="I84" s="15">
        <v>0.12</v>
      </c>
      <c r="J84"/>
    </row>
    <row r="85" spans="1:10">
      <c r="A85" s="8" t="s">
        <v>231</v>
      </c>
      <c r="B85" s="8" t="s">
        <v>231</v>
      </c>
      <c r="C85" s="8" t="s">
        <v>232</v>
      </c>
      <c r="D85" s="8">
        <v>9999</v>
      </c>
      <c r="E85" s="8" t="s">
        <v>37</v>
      </c>
      <c r="F85" s="8" t="s">
        <v>233</v>
      </c>
      <c r="G85" s="8" t="s">
        <v>39</v>
      </c>
      <c r="H85" s="8">
        <v>0.2</v>
      </c>
      <c r="I85" s="15">
        <v>1.98</v>
      </c>
      <c r="J85"/>
    </row>
    <row r="86" spans="1:10">
      <c r="A86" s="8" t="s">
        <v>234</v>
      </c>
      <c r="B86" s="8" t="s">
        <v>234</v>
      </c>
      <c r="C86" s="8" t="s">
        <v>235</v>
      </c>
      <c r="D86" s="8">
        <v>9999</v>
      </c>
      <c r="E86" s="8" t="s">
        <v>37</v>
      </c>
      <c r="F86" s="8" t="s">
        <v>236</v>
      </c>
      <c r="G86" s="8" t="s">
        <v>39</v>
      </c>
      <c r="H86" s="8">
        <v>0.2</v>
      </c>
      <c r="I86" s="15">
        <v>3.01</v>
      </c>
      <c r="J86"/>
    </row>
    <row r="87" spans="1:10">
      <c r="A87" s="10"/>
      <c r="B87" s="10"/>
      <c r="C87" s="10"/>
      <c r="D87" s="10"/>
      <c r="E87" s="10"/>
      <c r="F87" s="10"/>
      <c r="G87" s="8" t="s">
        <v>40</v>
      </c>
      <c r="H87" s="8">
        <v>0.25</v>
      </c>
      <c r="I87" s="15">
        <v>0.69</v>
      </c>
      <c r="J87"/>
    </row>
    <row r="88" spans="1:10">
      <c r="A88" s="8" t="s">
        <v>237</v>
      </c>
      <c r="B88" s="8" t="s">
        <v>237</v>
      </c>
      <c r="C88" s="8" t="s">
        <v>238</v>
      </c>
      <c r="D88" s="8">
        <v>9999</v>
      </c>
      <c r="E88" s="8" t="s">
        <v>37</v>
      </c>
      <c r="F88" s="8" t="s">
        <v>239</v>
      </c>
      <c r="G88" s="8" t="s">
        <v>39</v>
      </c>
      <c r="H88" s="8">
        <v>0.2</v>
      </c>
      <c r="I88" s="15">
        <v>1.92</v>
      </c>
      <c r="J88"/>
    </row>
    <row r="89" spans="1:10">
      <c r="A89" s="8" t="s">
        <v>240</v>
      </c>
      <c r="B89" s="8" t="s">
        <v>240</v>
      </c>
      <c r="C89" s="8" t="s">
        <v>241</v>
      </c>
      <c r="D89" s="8">
        <v>9999</v>
      </c>
      <c r="E89" s="8" t="s">
        <v>37</v>
      </c>
      <c r="F89" s="8" t="s">
        <v>242</v>
      </c>
      <c r="G89" s="8" t="s">
        <v>39</v>
      </c>
      <c r="H89" s="8">
        <v>0.2</v>
      </c>
      <c r="I89" s="15">
        <v>2.42</v>
      </c>
      <c r="J89"/>
    </row>
    <row r="90" spans="1:10">
      <c r="A90" s="8" t="s">
        <v>243</v>
      </c>
      <c r="B90" s="8" t="s">
        <v>243</v>
      </c>
      <c r="C90" s="8" t="s">
        <v>244</v>
      </c>
      <c r="D90" s="8">
        <v>9999</v>
      </c>
      <c r="E90" s="8" t="s">
        <v>37</v>
      </c>
      <c r="F90" s="8" t="s">
        <v>245</v>
      </c>
      <c r="G90" s="8" t="s">
        <v>39</v>
      </c>
      <c r="H90" s="8">
        <v>0.2</v>
      </c>
      <c r="I90" s="15">
        <v>23.41</v>
      </c>
      <c r="J90"/>
    </row>
    <row r="91" spans="1:10">
      <c r="A91" s="10"/>
      <c r="B91" s="10"/>
      <c r="C91" s="10"/>
      <c r="D91" s="10"/>
      <c r="E91" s="10"/>
      <c r="F91" s="10"/>
      <c r="G91" s="8" t="s">
        <v>40</v>
      </c>
      <c r="H91" s="8">
        <v>0.25</v>
      </c>
      <c r="I91" s="15">
        <v>2.92</v>
      </c>
      <c r="J91"/>
    </row>
    <row r="92" spans="1:10">
      <c r="A92" s="8" t="s">
        <v>246</v>
      </c>
      <c r="B92" s="8" t="s">
        <v>246</v>
      </c>
      <c r="C92" s="8" t="s">
        <v>247</v>
      </c>
      <c r="D92" s="8">
        <v>9999</v>
      </c>
      <c r="E92" s="8" t="s">
        <v>37</v>
      </c>
      <c r="F92" s="8" t="s">
        <v>248</v>
      </c>
      <c r="G92" s="8" t="s">
        <v>39</v>
      </c>
      <c r="H92" s="8">
        <v>0.2</v>
      </c>
      <c r="I92" s="15">
        <v>2.2400000000000002</v>
      </c>
      <c r="J92"/>
    </row>
    <row r="93" spans="1:10">
      <c r="A93" s="10"/>
      <c r="B93" s="10"/>
      <c r="C93" s="10"/>
      <c r="D93" s="10"/>
      <c r="E93" s="10"/>
      <c r="F93" s="10"/>
      <c r="G93" s="8" t="s">
        <v>40</v>
      </c>
      <c r="H93" s="8">
        <v>0.25</v>
      </c>
      <c r="I93" s="15">
        <v>0.1</v>
      </c>
      <c r="J93"/>
    </row>
    <row r="94" spans="1:10">
      <c r="A94" s="8" t="s">
        <v>249</v>
      </c>
      <c r="B94" s="8" t="s">
        <v>249</v>
      </c>
      <c r="C94" s="8" t="s">
        <v>250</v>
      </c>
      <c r="D94" s="8">
        <v>9999</v>
      </c>
      <c r="E94" s="8" t="s">
        <v>37</v>
      </c>
      <c r="F94" s="8" t="s">
        <v>61</v>
      </c>
      <c r="G94" s="8" t="s">
        <v>39</v>
      </c>
      <c r="H94" s="8">
        <v>0.2</v>
      </c>
      <c r="I94" s="15">
        <v>7.46</v>
      </c>
      <c r="J94"/>
    </row>
    <row r="95" spans="1:10">
      <c r="A95" s="10"/>
      <c r="B95" s="10"/>
      <c r="C95" s="10"/>
      <c r="D95" s="10"/>
      <c r="E95" s="10"/>
      <c r="F95" s="10"/>
      <c r="G95" s="8" t="s">
        <v>40</v>
      </c>
      <c r="H95" s="8">
        <v>0.25</v>
      </c>
      <c r="I95" s="15">
        <v>2.76</v>
      </c>
      <c r="J95"/>
    </row>
    <row r="96" spans="1:10">
      <c r="A96" s="8" t="s">
        <v>251</v>
      </c>
      <c r="B96" s="8" t="s">
        <v>251</v>
      </c>
      <c r="C96" s="8" t="s">
        <v>252</v>
      </c>
      <c r="D96" s="8">
        <v>9999</v>
      </c>
      <c r="E96" s="8" t="s">
        <v>37</v>
      </c>
      <c r="F96" s="8" t="s">
        <v>253</v>
      </c>
      <c r="G96" s="8" t="s">
        <v>39</v>
      </c>
      <c r="H96" s="8">
        <v>0.2</v>
      </c>
      <c r="I96" s="15">
        <v>2.5099999999999998</v>
      </c>
      <c r="J96"/>
    </row>
    <row r="97" spans="1:10">
      <c r="A97" s="10"/>
      <c r="B97" s="10"/>
      <c r="C97" s="10"/>
      <c r="D97" s="10"/>
      <c r="E97" s="10"/>
      <c r="F97" s="10"/>
      <c r="G97" s="8" t="s">
        <v>40</v>
      </c>
      <c r="H97" s="8">
        <v>0.25</v>
      </c>
      <c r="I97" s="15">
        <v>12.22</v>
      </c>
      <c r="J97"/>
    </row>
    <row r="98" spans="1:10">
      <c r="A98" s="8" t="s">
        <v>254</v>
      </c>
      <c r="B98" s="8" t="s">
        <v>0</v>
      </c>
      <c r="C98" s="8" t="s">
        <v>255</v>
      </c>
      <c r="D98" s="8">
        <v>9999</v>
      </c>
      <c r="E98" s="8" t="s">
        <v>37</v>
      </c>
      <c r="F98" s="8" t="s">
        <v>256</v>
      </c>
      <c r="G98" s="8" t="s">
        <v>39</v>
      </c>
      <c r="H98" s="8">
        <v>0.2</v>
      </c>
      <c r="I98" s="15">
        <v>5.16</v>
      </c>
      <c r="J98"/>
    </row>
    <row r="99" spans="1:10">
      <c r="A99" s="10"/>
      <c r="B99" s="10"/>
      <c r="C99" s="10"/>
      <c r="D99" s="10"/>
      <c r="E99" s="10"/>
      <c r="F99" s="10"/>
      <c r="G99" s="8" t="s">
        <v>40</v>
      </c>
      <c r="H99" s="8">
        <v>0.25</v>
      </c>
      <c r="I99" s="15">
        <v>2.0099999999999998</v>
      </c>
      <c r="J99"/>
    </row>
    <row r="100" spans="1:10">
      <c r="A100" s="8" t="s">
        <v>257</v>
      </c>
      <c r="B100" s="8" t="s">
        <v>257</v>
      </c>
      <c r="C100" s="8" t="s">
        <v>258</v>
      </c>
      <c r="D100" s="8">
        <v>9999</v>
      </c>
      <c r="E100" s="8" t="s">
        <v>37</v>
      </c>
      <c r="F100" s="8" t="s">
        <v>259</v>
      </c>
      <c r="G100" s="8" t="s">
        <v>39</v>
      </c>
      <c r="H100" s="8">
        <v>0.2</v>
      </c>
      <c r="I100" s="15">
        <v>2.4700000000000002</v>
      </c>
      <c r="J100"/>
    </row>
    <row r="101" spans="1:10">
      <c r="A101" s="8" t="s">
        <v>260</v>
      </c>
      <c r="B101" s="8" t="s">
        <v>260</v>
      </c>
      <c r="C101" s="8" t="s">
        <v>261</v>
      </c>
      <c r="D101" s="8">
        <v>9999</v>
      </c>
      <c r="E101" s="8" t="s">
        <v>37</v>
      </c>
      <c r="F101" s="8" t="s">
        <v>262</v>
      </c>
      <c r="G101" s="8" t="s">
        <v>39</v>
      </c>
      <c r="H101" s="8">
        <v>0.2</v>
      </c>
      <c r="I101" s="15">
        <v>10.87</v>
      </c>
      <c r="J101"/>
    </row>
    <row r="102" spans="1:10">
      <c r="A102" s="10"/>
      <c r="B102" s="10"/>
      <c r="C102" s="10"/>
      <c r="D102" s="10"/>
      <c r="E102" s="10"/>
      <c r="F102" s="10"/>
      <c r="G102" s="8" t="s">
        <v>40</v>
      </c>
      <c r="H102" s="8">
        <v>0.25</v>
      </c>
      <c r="I102" s="15">
        <v>0.45</v>
      </c>
      <c r="J102"/>
    </row>
    <row r="103" spans="1:10">
      <c r="A103" s="8" t="s">
        <v>263</v>
      </c>
      <c r="B103" s="8" t="s">
        <v>263</v>
      </c>
      <c r="C103" s="8" t="s">
        <v>264</v>
      </c>
      <c r="D103" s="8">
        <v>9999</v>
      </c>
      <c r="E103" s="8" t="s">
        <v>37</v>
      </c>
      <c r="F103" s="8" t="s">
        <v>265</v>
      </c>
      <c r="G103" s="8" t="s">
        <v>39</v>
      </c>
      <c r="H103" s="8">
        <v>0.2</v>
      </c>
      <c r="I103" s="15">
        <v>2.31</v>
      </c>
      <c r="J103"/>
    </row>
    <row r="104" spans="1:10">
      <c r="A104" s="8" t="s">
        <v>266</v>
      </c>
      <c r="B104" s="8" t="s">
        <v>266</v>
      </c>
      <c r="C104" s="8" t="s">
        <v>267</v>
      </c>
      <c r="D104" s="8">
        <v>9999</v>
      </c>
      <c r="E104" s="8" t="s">
        <v>37</v>
      </c>
      <c r="F104" s="8" t="s">
        <v>268</v>
      </c>
      <c r="G104" s="8" t="s">
        <v>39</v>
      </c>
      <c r="H104" s="8">
        <v>0.2</v>
      </c>
      <c r="I104" s="15">
        <v>2.48</v>
      </c>
      <c r="J104"/>
    </row>
    <row r="105" spans="1:10">
      <c r="A105" s="8" t="s">
        <v>269</v>
      </c>
      <c r="B105" s="8" t="s">
        <v>269</v>
      </c>
      <c r="C105" s="8" t="s">
        <v>270</v>
      </c>
      <c r="D105" s="8">
        <v>9999</v>
      </c>
      <c r="E105" s="8" t="s">
        <v>37</v>
      </c>
      <c r="F105" s="8" t="s">
        <v>271</v>
      </c>
      <c r="G105" s="8" t="s">
        <v>39</v>
      </c>
      <c r="H105" s="8">
        <v>0.2</v>
      </c>
      <c r="I105" s="15">
        <v>12.78</v>
      </c>
      <c r="J105"/>
    </row>
    <row r="106" spans="1:10">
      <c r="A106" s="8" t="s">
        <v>272</v>
      </c>
      <c r="B106" s="8" t="s">
        <v>272</v>
      </c>
      <c r="C106" s="8" t="s">
        <v>273</v>
      </c>
      <c r="D106" s="8">
        <v>9999</v>
      </c>
      <c r="E106" s="8" t="s">
        <v>37</v>
      </c>
      <c r="F106" s="8" t="s">
        <v>274</v>
      </c>
      <c r="G106" s="8" t="s">
        <v>39</v>
      </c>
      <c r="H106" s="8">
        <v>0.2</v>
      </c>
      <c r="I106" s="15">
        <v>1.92</v>
      </c>
      <c r="J106"/>
    </row>
    <row r="107" spans="1:10">
      <c r="A107" s="8" t="s">
        <v>275</v>
      </c>
      <c r="B107" s="8" t="s">
        <v>275</v>
      </c>
      <c r="C107" s="8" t="s">
        <v>276</v>
      </c>
      <c r="D107" s="8">
        <v>9999</v>
      </c>
      <c r="E107" s="8" t="s">
        <v>37</v>
      </c>
      <c r="F107" s="8" t="s">
        <v>277</v>
      </c>
      <c r="G107" s="8" t="s">
        <v>39</v>
      </c>
      <c r="H107" s="8">
        <v>0.2</v>
      </c>
      <c r="I107" s="15">
        <v>58.1</v>
      </c>
      <c r="J107"/>
    </row>
    <row r="108" spans="1:10">
      <c r="A108" s="10"/>
      <c r="B108" s="10"/>
      <c r="C108" s="10"/>
      <c r="D108" s="10"/>
      <c r="E108" s="10"/>
      <c r="F108" s="10"/>
      <c r="G108" s="8" t="s">
        <v>40</v>
      </c>
      <c r="H108" s="8">
        <v>0.25</v>
      </c>
      <c r="I108" s="15">
        <v>0.62</v>
      </c>
      <c r="J108"/>
    </row>
    <row r="109" spans="1:10">
      <c r="A109" s="8" t="s">
        <v>278</v>
      </c>
      <c r="B109" s="8" t="s">
        <v>278</v>
      </c>
      <c r="C109" s="8" t="s">
        <v>279</v>
      </c>
      <c r="D109" s="8">
        <v>9999</v>
      </c>
      <c r="E109" s="8" t="s">
        <v>37</v>
      </c>
      <c r="F109" s="8" t="s">
        <v>280</v>
      </c>
      <c r="G109" s="8" t="s">
        <v>39</v>
      </c>
      <c r="H109" s="8">
        <v>0.2</v>
      </c>
      <c r="I109" s="15">
        <v>11.8</v>
      </c>
      <c r="J109"/>
    </row>
    <row r="110" spans="1:10">
      <c r="A110" s="10"/>
      <c r="B110" s="10"/>
      <c r="C110" s="10"/>
      <c r="D110" s="10"/>
      <c r="E110" s="10"/>
      <c r="F110" s="10"/>
      <c r="G110" s="8" t="s">
        <v>40</v>
      </c>
      <c r="H110" s="8">
        <v>0.25</v>
      </c>
      <c r="I110" s="15">
        <v>18.79</v>
      </c>
      <c r="J110"/>
    </row>
    <row r="111" spans="1:10">
      <c r="A111" s="8" t="s">
        <v>281</v>
      </c>
      <c r="B111" s="8" t="s">
        <v>281</v>
      </c>
      <c r="C111" s="8" t="s">
        <v>282</v>
      </c>
      <c r="D111" s="8">
        <v>9999</v>
      </c>
      <c r="E111" s="8" t="s">
        <v>37</v>
      </c>
      <c r="F111" s="8" t="s">
        <v>283</v>
      </c>
      <c r="G111" s="8" t="s">
        <v>39</v>
      </c>
      <c r="H111" s="8">
        <v>0.2</v>
      </c>
      <c r="I111" s="15">
        <v>21.12</v>
      </c>
      <c r="J111"/>
    </row>
    <row r="112" spans="1:10">
      <c r="A112" s="8" t="s">
        <v>284</v>
      </c>
      <c r="B112" s="8" t="s">
        <v>284</v>
      </c>
      <c r="C112" s="8" t="s">
        <v>285</v>
      </c>
      <c r="D112" s="8">
        <v>9999</v>
      </c>
      <c r="E112" s="8" t="s">
        <v>37</v>
      </c>
      <c r="F112" s="8" t="s">
        <v>133</v>
      </c>
      <c r="G112" s="8" t="s">
        <v>39</v>
      </c>
      <c r="H112" s="8">
        <v>0.2</v>
      </c>
      <c r="I112" s="15">
        <v>3.42</v>
      </c>
      <c r="J112"/>
    </row>
    <row r="113" spans="1:10">
      <c r="A113" s="8" t="s">
        <v>286</v>
      </c>
      <c r="B113" s="8" t="s">
        <v>286</v>
      </c>
      <c r="C113" s="8" t="s">
        <v>287</v>
      </c>
      <c r="D113" s="8">
        <v>9999</v>
      </c>
      <c r="E113" s="8" t="s">
        <v>37</v>
      </c>
      <c r="F113" s="8" t="s">
        <v>288</v>
      </c>
      <c r="G113" s="8" t="s">
        <v>39</v>
      </c>
      <c r="H113" s="8">
        <v>0.2</v>
      </c>
      <c r="I113" s="15">
        <v>5.61</v>
      </c>
      <c r="J113"/>
    </row>
    <row r="114" spans="1:10">
      <c r="A114" s="8" t="s">
        <v>289</v>
      </c>
      <c r="B114" s="8" t="s">
        <v>289</v>
      </c>
      <c r="C114" s="8" t="s">
        <v>290</v>
      </c>
      <c r="D114" s="8">
        <v>9999</v>
      </c>
      <c r="E114" s="8" t="s">
        <v>37</v>
      </c>
      <c r="F114" s="8" t="s">
        <v>291</v>
      </c>
      <c r="G114" s="8" t="s">
        <v>39</v>
      </c>
      <c r="H114" s="8">
        <v>0.2</v>
      </c>
      <c r="I114" s="15">
        <v>2.3199999999999998</v>
      </c>
      <c r="J114"/>
    </row>
    <row r="115" spans="1:10">
      <c r="A115" s="8" t="s">
        <v>292</v>
      </c>
      <c r="B115" s="8" t="s">
        <v>292</v>
      </c>
      <c r="C115" s="8" t="s">
        <v>293</v>
      </c>
      <c r="D115" s="8">
        <v>9999</v>
      </c>
      <c r="E115" s="8" t="s">
        <v>37</v>
      </c>
      <c r="F115" s="8" t="s">
        <v>294</v>
      </c>
      <c r="G115" s="8" t="s">
        <v>39</v>
      </c>
      <c r="H115" s="8">
        <v>0.2</v>
      </c>
      <c r="I115" s="15">
        <v>4.72</v>
      </c>
      <c r="J115"/>
    </row>
    <row r="116" spans="1:10">
      <c r="A116" s="8" t="s">
        <v>295</v>
      </c>
      <c r="B116" s="8" t="s">
        <v>295</v>
      </c>
      <c r="C116" s="8" t="s">
        <v>296</v>
      </c>
      <c r="D116" s="8">
        <v>9999</v>
      </c>
      <c r="E116" s="8" t="s">
        <v>37</v>
      </c>
      <c r="F116" s="8" t="s">
        <v>297</v>
      </c>
      <c r="G116" s="8" t="s">
        <v>39</v>
      </c>
      <c r="H116" s="8">
        <v>0.2</v>
      </c>
      <c r="I116" s="15">
        <v>4.7699999999999996</v>
      </c>
      <c r="J116"/>
    </row>
    <row r="117" spans="1:10">
      <c r="A117" s="8" t="s">
        <v>298</v>
      </c>
      <c r="B117" s="8" t="s">
        <v>298</v>
      </c>
      <c r="C117" s="8" t="s">
        <v>299</v>
      </c>
      <c r="D117" s="8">
        <v>9999</v>
      </c>
      <c r="E117" s="8" t="s">
        <v>37</v>
      </c>
      <c r="F117" s="8" t="s">
        <v>300</v>
      </c>
      <c r="G117" s="8" t="s">
        <v>39</v>
      </c>
      <c r="H117" s="8">
        <v>0.2</v>
      </c>
      <c r="I117" s="15">
        <v>1.92</v>
      </c>
      <c r="J117"/>
    </row>
    <row r="118" spans="1:10">
      <c r="A118" s="8" t="s">
        <v>301</v>
      </c>
      <c r="B118" s="8" t="s">
        <v>301</v>
      </c>
      <c r="C118" s="8" t="s">
        <v>302</v>
      </c>
      <c r="D118" s="8">
        <v>9999</v>
      </c>
      <c r="E118" s="8" t="s">
        <v>37</v>
      </c>
      <c r="F118" s="8" t="s">
        <v>303</v>
      </c>
      <c r="G118" s="8" t="s">
        <v>39</v>
      </c>
      <c r="H118" s="8">
        <v>0.2</v>
      </c>
      <c r="I118" s="15">
        <v>1.93</v>
      </c>
      <c r="J118"/>
    </row>
    <row r="119" spans="1:10">
      <c r="A119" s="8" t="s">
        <v>304</v>
      </c>
      <c r="B119" s="8" t="s">
        <v>304</v>
      </c>
      <c r="C119" s="8" t="s">
        <v>305</v>
      </c>
      <c r="D119" s="8">
        <v>9999</v>
      </c>
      <c r="E119" s="8" t="s">
        <v>37</v>
      </c>
      <c r="F119" s="8" t="s">
        <v>306</v>
      </c>
      <c r="G119" s="8" t="s">
        <v>39</v>
      </c>
      <c r="H119" s="8">
        <v>0.2</v>
      </c>
      <c r="I119" s="15">
        <v>3.62</v>
      </c>
      <c r="J119"/>
    </row>
    <row r="120" spans="1:10">
      <c r="A120" s="10"/>
      <c r="B120" s="10"/>
      <c r="C120" s="10"/>
      <c r="D120" s="10"/>
      <c r="E120" s="10"/>
      <c r="F120" s="10"/>
      <c r="G120" s="8" t="s">
        <v>40</v>
      </c>
      <c r="H120" s="8">
        <v>0.25</v>
      </c>
      <c r="I120" s="15">
        <v>10.93</v>
      </c>
      <c r="J120"/>
    </row>
    <row r="121" spans="1:10">
      <c r="A121" s="8" t="s">
        <v>307</v>
      </c>
      <c r="B121" s="8" t="s">
        <v>307</v>
      </c>
      <c r="C121" s="8" t="s">
        <v>308</v>
      </c>
      <c r="D121" s="8">
        <v>9999</v>
      </c>
      <c r="E121" s="8" t="s">
        <v>37</v>
      </c>
      <c r="F121" s="8" t="s">
        <v>309</v>
      </c>
      <c r="G121" s="8" t="s">
        <v>39</v>
      </c>
      <c r="H121" s="8">
        <v>0.2</v>
      </c>
      <c r="I121" s="15">
        <v>2.3199999999999998</v>
      </c>
      <c r="J121"/>
    </row>
    <row r="122" spans="1:10">
      <c r="A122" s="8" t="s">
        <v>310</v>
      </c>
      <c r="B122" s="8" t="s">
        <v>310</v>
      </c>
      <c r="C122" s="8" t="s">
        <v>311</v>
      </c>
      <c r="D122" s="8">
        <v>9999</v>
      </c>
      <c r="E122" s="8" t="s">
        <v>37</v>
      </c>
      <c r="F122" s="8" t="s">
        <v>312</v>
      </c>
      <c r="G122" s="8" t="s">
        <v>39</v>
      </c>
      <c r="H122" s="8">
        <v>0.2</v>
      </c>
      <c r="I122" s="15">
        <v>1.92</v>
      </c>
      <c r="J122"/>
    </row>
    <row r="123" spans="1:10">
      <c r="A123" s="8" t="s">
        <v>313</v>
      </c>
      <c r="B123" s="8" t="s">
        <v>313</v>
      </c>
      <c r="C123" s="8" t="s">
        <v>314</v>
      </c>
      <c r="D123" s="8">
        <v>9999</v>
      </c>
      <c r="E123" s="8" t="s">
        <v>37</v>
      </c>
      <c r="F123" s="8" t="s">
        <v>315</v>
      </c>
      <c r="G123" s="8" t="s">
        <v>39</v>
      </c>
      <c r="H123" s="8">
        <v>0.2</v>
      </c>
      <c r="I123" s="15">
        <v>1.92</v>
      </c>
      <c r="J123"/>
    </row>
    <row r="124" spans="1:10">
      <c r="A124" s="8" t="s">
        <v>316</v>
      </c>
      <c r="B124" s="8" t="s">
        <v>316</v>
      </c>
      <c r="C124" s="8" t="s">
        <v>317</v>
      </c>
      <c r="D124" s="8">
        <v>9999</v>
      </c>
      <c r="E124" s="8" t="s">
        <v>37</v>
      </c>
      <c r="F124" s="8" t="s">
        <v>61</v>
      </c>
      <c r="G124" s="8" t="s">
        <v>39</v>
      </c>
      <c r="H124" s="8">
        <v>0.2</v>
      </c>
      <c r="I124" s="15">
        <v>2.19</v>
      </c>
      <c r="J124"/>
    </row>
    <row r="125" spans="1:10">
      <c r="A125" s="10"/>
      <c r="B125" s="10"/>
      <c r="C125" s="10"/>
      <c r="D125" s="10"/>
      <c r="E125" s="10"/>
      <c r="F125" s="10"/>
      <c r="G125" s="8" t="s">
        <v>40</v>
      </c>
      <c r="H125" s="8">
        <v>0.25</v>
      </c>
      <c r="I125" s="15">
        <v>1.34</v>
      </c>
      <c r="J125"/>
    </row>
    <row r="126" spans="1:10">
      <c r="A126" s="8" t="s">
        <v>318</v>
      </c>
      <c r="B126" s="8" t="s">
        <v>318</v>
      </c>
      <c r="C126" s="8" t="s">
        <v>319</v>
      </c>
      <c r="D126" s="8">
        <v>9999</v>
      </c>
      <c r="E126" s="8" t="s">
        <v>37</v>
      </c>
      <c r="F126" s="8" t="s">
        <v>320</v>
      </c>
      <c r="G126" s="8" t="s">
        <v>39</v>
      </c>
      <c r="H126" s="8">
        <v>0.2</v>
      </c>
      <c r="I126" s="15">
        <v>1.98</v>
      </c>
      <c r="J126"/>
    </row>
    <row r="127" spans="1:10">
      <c r="A127" s="10"/>
      <c r="B127" s="10"/>
      <c r="C127" s="10"/>
      <c r="D127" s="10"/>
      <c r="E127" s="10"/>
      <c r="F127" s="10"/>
      <c r="G127" s="8" t="s">
        <v>40</v>
      </c>
      <c r="H127" s="8">
        <v>0.25</v>
      </c>
      <c r="I127" s="15">
        <v>0.01</v>
      </c>
      <c r="J127"/>
    </row>
    <row r="128" spans="1:10">
      <c r="A128" s="8" t="s">
        <v>321</v>
      </c>
      <c r="B128" s="8" t="s">
        <v>321</v>
      </c>
      <c r="C128" s="8" t="s">
        <v>322</v>
      </c>
      <c r="D128" s="8">
        <v>9999</v>
      </c>
      <c r="E128" s="8" t="s">
        <v>37</v>
      </c>
      <c r="F128" s="8" t="s">
        <v>323</v>
      </c>
      <c r="G128" s="8" t="s">
        <v>39</v>
      </c>
      <c r="H128" s="8">
        <v>0.2</v>
      </c>
      <c r="I128" s="15">
        <v>1.95</v>
      </c>
      <c r="J128"/>
    </row>
    <row r="129" spans="1:10">
      <c r="A129" s="8" t="s">
        <v>324</v>
      </c>
      <c r="B129" s="8" t="s">
        <v>324</v>
      </c>
      <c r="C129" s="8" t="s">
        <v>325</v>
      </c>
      <c r="D129" s="8">
        <v>9999</v>
      </c>
      <c r="E129" s="8" t="s">
        <v>37</v>
      </c>
      <c r="F129" s="8" t="s">
        <v>326</v>
      </c>
      <c r="G129" s="8" t="s">
        <v>39</v>
      </c>
      <c r="H129" s="8">
        <v>0.2</v>
      </c>
      <c r="I129" s="15">
        <v>2.57</v>
      </c>
      <c r="J129"/>
    </row>
    <row r="130" spans="1:10">
      <c r="A130" s="8" t="s">
        <v>327</v>
      </c>
      <c r="B130" s="8" t="s">
        <v>327</v>
      </c>
      <c r="C130" s="8" t="s">
        <v>328</v>
      </c>
      <c r="D130" s="8">
        <v>9999</v>
      </c>
      <c r="E130" s="8" t="s">
        <v>37</v>
      </c>
      <c r="F130" s="8" t="s">
        <v>329</v>
      </c>
      <c r="G130" s="8" t="s">
        <v>39</v>
      </c>
      <c r="H130" s="8">
        <v>0.2</v>
      </c>
      <c r="I130" s="15">
        <v>4.49</v>
      </c>
      <c r="J130"/>
    </row>
    <row r="131" spans="1:10">
      <c r="A131" s="8" t="s">
        <v>330</v>
      </c>
      <c r="B131" s="8" t="s">
        <v>330</v>
      </c>
      <c r="C131" s="8" t="s">
        <v>331</v>
      </c>
      <c r="D131" s="8">
        <v>9999</v>
      </c>
      <c r="E131" s="8" t="s">
        <v>37</v>
      </c>
      <c r="F131" s="8" t="s">
        <v>332</v>
      </c>
      <c r="G131" s="8" t="s">
        <v>39</v>
      </c>
      <c r="H131" s="8">
        <v>0.2</v>
      </c>
      <c r="I131" s="15">
        <v>2.39</v>
      </c>
      <c r="J131"/>
    </row>
    <row r="132" spans="1:10">
      <c r="A132" s="8" t="s">
        <v>333</v>
      </c>
      <c r="B132" s="8" t="s">
        <v>333</v>
      </c>
      <c r="C132" s="8" t="s">
        <v>334</v>
      </c>
      <c r="D132" s="8">
        <v>9999</v>
      </c>
      <c r="E132" s="8" t="s">
        <v>37</v>
      </c>
      <c r="F132" s="8" t="s">
        <v>335</v>
      </c>
      <c r="G132" s="8" t="s">
        <v>39</v>
      </c>
      <c r="H132" s="8">
        <v>0.2</v>
      </c>
      <c r="I132" s="15">
        <v>2.98</v>
      </c>
      <c r="J132"/>
    </row>
    <row r="133" spans="1:10">
      <c r="A133" s="8" t="s">
        <v>336</v>
      </c>
      <c r="B133" s="8" t="s">
        <v>336</v>
      </c>
      <c r="C133" s="8" t="s">
        <v>337</v>
      </c>
      <c r="D133" s="8">
        <v>9999</v>
      </c>
      <c r="E133" s="8" t="s">
        <v>37</v>
      </c>
      <c r="F133" s="8" t="s">
        <v>338</v>
      </c>
      <c r="G133" s="8" t="s">
        <v>39</v>
      </c>
      <c r="H133" s="8">
        <v>0.2</v>
      </c>
      <c r="I133" s="15">
        <v>2.3199999999999998</v>
      </c>
      <c r="J133"/>
    </row>
    <row r="134" spans="1:10">
      <c r="A134" s="8" t="s">
        <v>339</v>
      </c>
      <c r="B134" s="8" t="s">
        <v>339</v>
      </c>
      <c r="C134" s="8" t="s">
        <v>340</v>
      </c>
      <c r="D134" s="8">
        <v>9999</v>
      </c>
      <c r="E134" s="8" t="s">
        <v>37</v>
      </c>
      <c r="F134" s="8" t="s">
        <v>341</v>
      </c>
      <c r="G134" s="8" t="s">
        <v>39</v>
      </c>
      <c r="H134" s="8">
        <v>0.2</v>
      </c>
      <c r="I134" s="15">
        <v>37.549999999999997</v>
      </c>
      <c r="J134"/>
    </row>
    <row r="135" spans="1:10">
      <c r="A135" s="8" t="s">
        <v>342</v>
      </c>
      <c r="B135" s="8" t="s">
        <v>342</v>
      </c>
      <c r="C135" s="8" t="s">
        <v>343</v>
      </c>
      <c r="D135" s="8">
        <v>9999</v>
      </c>
      <c r="E135" s="8" t="s">
        <v>37</v>
      </c>
      <c r="F135" s="8" t="s">
        <v>344</v>
      </c>
      <c r="G135" s="8" t="s">
        <v>39</v>
      </c>
      <c r="H135" s="8">
        <v>0.2</v>
      </c>
      <c r="I135" s="15">
        <v>2.44</v>
      </c>
      <c r="J135"/>
    </row>
    <row r="136" spans="1:10">
      <c r="A136" s="10"/>
      <c r="B136" s="10"/>
      <c r="C136" s="10"/>
      <c r="D136" s="10"/>
      <c r="E136" s="10"/>
      <c r="F136" s="10"/>
      <c r="G136" s="8" t="s">
        <v>40</v>
      </c>
      <c r="H136" s="8">
        <v>0.25</v>
      </c>
      <c r="I136" s="15">
        <v>0.12</v>
      </c>
      <c r="J136"/>
    </row>
    <row r="137" spans="1:10">
      <c r="A137" s="8" t="s">
        <v>345</v>
      </c>
      <c r="B137" s="8" t="s">
        <v>345</v>
      </c>
      <c r="C137" s="8" t="s">
        <v>346</v>
      </c>
      <c r="D137" s="8">
        <v>9999</v>
      </c>
      <c r="E137" s="8" t="s">
        <v>37</v>
      </c>
      <c r="F137" s="8" t="s">
        <v>347</v>
      </c>
      <c r="G137" s="8" t="s">
        <v>39</v>
      </c>
      <c r="H137" s="8">
        <v>0.2</v>
      </c>
      <c r="I137" s="15">
        <v>1.92</v>
      </c>
      <c r="J137"/>
    </row>
    <row r="138" spans="1:10">
      <c r="A138" s="8" t="s">
        <v>348</v>
      </c>
      <c r="B138" s="8" t="s">
        <v>348</v>
      </c>
      <c r="C138" s="8" t="s">
        <v>349</v>
      </c>
      <c r="D138" s="8">
        <v>9999</v>
      </c>
      <c r="E138" s="8" t="s">
        <v>37</v>
      </c>
      <c r="F138" s="8" t="s">
        <v>350</v>
      </c>
      <c r="G138" s="8" t="s">
        <v>39</v>
      </c>
      <c r="H138" s="8">
        <v>0.2</v>
      </c>
      <c r="I138" s="15">
        <v>1.92</v>
      </c>
      <c r="J138"/>
    </row>
    <row r="139" spans="1:10">
      <c r="A139" s="8" t="s">
        <v>351</v>
      </c>
      <c r="B139" s="8" t="s">
        <v>351</v>
      </c>
      <c r="C139" s="8" t="s">
        <v>352</v>
      </c>
      <c r="D139" s="8">
        <v>9999</v>
      </c>
      <c r="E139" s="8" t="s">
        <v>37</v>
      </c>
      <c r="F139" s="8" t="s">
        <v>172</v>
      </c>
      <c r="G139" s="8" t="s">
        <v>39</v>
      </c>
      <c r="H139" s="8">
        <v>0.2</v>
      </c>
      <c r="I139" s="15">
        <v>30.56</v>
      </c>
      <c r="J139"/>
    </row>
    <row r="140" spans="1:10">
      <c r="A140" s="8" t="s">
        <v>353</v>
      </c>
      <c r="B140" s="8" t="s">
        <v>353</v>
      </c>
      <c r="C140" s="8" t="s">
        <v>354</v>
      </c>
      <c r="D140" s="8">
        <v>9999</v>
      </c>
      <c r="E140" s="8" t="s">
        <v>37</v>
      </c>
      <c r="F140" s="8" t="s">
        <v>355</v>
      </c>
      <c r="G140" s="8" t="s">
        <v>39</v>
      </c>
      <c r="H140" s="8">
        <v>0.2</v>
      </c>
      <c r="I140" s="15">
        <v>2.3199999999999998</v>
      </c>
      <c r="J140"/>
    </row>
    <row r="141" spans="1:10">
      <c r="A141" s="8" t="s">
        <v>356</v>
      </c>
      <c r="B141" s="8" t="s">
        <v>356</v>
      </c>
      <c r="C141" s="8" t="s">
        <v>357</v>
      </c>
      <c r="D141" s="8">
        <v>9999</v>
      </c>
      <c r="E141" s="8" t="s">
        <v>37</v>
      </c>
      <c r="F141" s="8" t="s">
        <v>358</v>
      </c>
      <c r="G141" s="8" t="s">
        <v>39</v>
      </c>
      <c r="H141" s="8">
        <v>0.2</v>
      </c>
      <c r="I141" s="15">
        <v>2.0499999999999998</v>
      </c>
      <c r="J141"/>
    </row>
    <row r="142" spans="1:10">
      <c r="A142" s="10"/>
      <c r="B142" s="10"/>
      <c r="C142" s="10"/>
      <c r="D142" s="10"/>
      <c r="E142" s="10"/>
      <c r="F142" s="10"/>
      <c r="G142" s="8" t="s">
        <v>40</v>
      </c>
      <c r="H142" s="8">
        <v>0.25</v>
      </c>
      <c r="I142" s="15">
        <v>1.1399999999999999</v>
      </c>
      <c r="J142"/>
    </row>
    <row r="143" spans="1:10">
      <c r="A143" s="8" t="s">
        <v>359</v>
      </c>
      <c r="B143" s="8" t="s">
        <v>359</v>
      </c>
      <c r="C143" s="8" t="s">
        <v>360</v>
      </c>
      <c r="D143" s="8">
        <v>9999</v>
      </c>
      <c r="E143" s="8" t="s">
        <v>37</v>
      </c>
      <c r="F143" s="8" t="s">
        <v>329</v>
      </c>
      <c r="G143" s="8" t="s">
        <v>39</v>
      </c>
      <c r="H143" s="8">
        <v>0.2</v>
      </c>
      <c r="I143" s="15">
        <v>4.33</v>
      </c>
      <c r="J143"/>
    </row>
    <row r="144" spans="1:10">
      <c r="A144" s="8" t="s">
        <v>361</v>
      </c>
      <c r="B144" s="8" t="s">
        <v>362</v>
      </c>
      <c r="C144" s="8" t="s">
        <v>363</v>
      </c>
      <c r="D144" s="8">
        <v>9999</v>
      </c>
      <c r="E144" s="8" t="s">
        <v>37</v>
      </c>
      <c r="F144" s="8" t="s">
        <v>364</v>
      </c>
      <c r="G144" s="8" t="s">
        <v>39</v>
      </c>
      <c r="H144" s="8">
        <v>0.2</v>
      </c>
      <c r="I144" s="15">
        <v>3.05</v>
      </c>
      <c r="J144"/>
    </row>
    <row r="145" spans="1:10">
      <c r="A145" s="8" t="s">
        <v>365</v>
      </c>
      <c r="B145" s="8" t="s">
        <v>365</v>
      </c>
      <c r="C145" s="8" t="s">
        <v>366</v>
      </c>
      <c r="D145" s="8">
        <v>9999</v>
      </c>
      <c r="E145" s="8" t="s">
        <v>37</v>
      </c>
      <c r="F145" s="8" t="s">
        <v>367</v>
      </c>
      <c r="G145" s="8" t="s">
        <v>39</v>
      </c>
      <c r="H145" s="8">
        <v>0.2</v>
      </c>
      <c r="I145" s="15">
        <v>1.92</v>
      </c>
      <c r="J145"/>
    </row>
    <row r="146" spans="1:10">
      <c r="A146" s="8" t="s">
        <v>368</v>
      </c>
      <c r="B146" s="8" t="s">
        <v>368</v>
      </c>
      <c r="C146" s="8" t="s">
        <v>369</v>
      </c>
      <c r="D146" s="8">
        <v>9999</v>
      </c>
      <c r="E146" s="8" t="s">
        <v>37</v>
      </c>
      <c r="F146" s="8" t="s">
        <v>61</v>
      </c>
      <c r="G146" s="8" t="s">
        <v>39</v>
      </c>
      <c r="H146" s="8">
        <v>0.2</v>
      </c>
      <c r="I146" s="15">
        <v>12.38</v>
      </c>
      <c r="J146"/>
    </row>
    <row r="147" spans="1:10">
      <c r="A147" s="10"/>
      <c r="B147" s="10"/>
      <c r="C147" s="10"/>
      <c r="D147" s="10"/>
      <c r="E147" s="10"/>
      <c r="F147" s="10"/>
      <c r="G147" s="8" t="s">
        <v>40</v>
      </c>
      <c r="H147" s="8">
        <v>0.25</v>
      </c>
      <c r="I147" s="15">
        <v>2.5499999999999998</v>
      </c>
      <c r="J147"/>
    </row>
    <row r="148" spans="1:10">
      <c r="A148" s="8" t="s">
        <v>370</v>
      </c>
      <c r="B148" s="8" t="s">
        <v>370</v>
      </c>
      <c r="C148" s="8" t="s">
        <v>371</v>
      </c>
      <c r="D148" s="8">
        <v>9999</v>
      </c>
      <c r="E148" s="8" t="s">
        <v>37</v>
      </c>
      <c r="F148" s="8" t="s">
        <v>372</v>
      </c>
      <c r="G148" s="8" t="s">
        <v>39</v>
      </c>
      <c r="H148" s="8">
        <v>0.2</v>
      </c>
      <c r="I148" s="15">
        <v>5.88</v>
      </c>
      <c r="J148"/>
    </row>
    <row r="149" spans="1:10">
      <c r="A149" s="10"/>
      <c r="B149" s="10"/>
      <c r="C149" s="10"/>
      <c r="D149" s="10"/>
      <c r="E149" s="10"/>
      <c r="F149" s="10"/>
      <c r="G149" s="8" t="s">
        <v>40</v>
      </c>
      <c r="H149" s="8">
        <v>0.25</v>
      </c>
      <c r="I149" s="15">
        <v>0.7</v>
      </c>
      <c r="J149"/>
    </row>
    <row r="150" spans="1:10">
      <c r="A150" s="8" t="s">
        <v>373</v>
      </c>
      <c r="B150" s="8" t="s">
        <v>373</v>
      </c>
      <c r="C150" s="8" t="s">
        <v>374</v>
      </c>
      <c r="D150" s="8">
        <v>9999</v>
      </c>
      <c r="E150" s="8" t="s">
        <v>37</v>
      </c>
      <c r="F150" s="8" t="s">
        <v>375</v>
      </c>
      <c r="G150" s="8" t="s">
        <v>39</v>
      </c>
      <c r="H150" s="8">
        <v>0.2</v>
      </c>
      <c r="I150" s="15">
        <v>1.99</v>
      </c>
      <c r="J150"/>
    </row>
    <row r="151" spans="1:10">
      <c r="A151" s="10"/>
      <c r="B151" s="10"/>
      <c r="C151" s="10"/>
      <c r="D151" s="10"/>
      <c r="E151" s="10"/>
      <c r="F151" s="10"/>
      <c r="G151" s="8" t="s">
        <v>40</v>
      </c>
      <c r="H151" s="8">
        <v>0.25</v>
      </c>
      <c r="I151" s="15">
        <v>6.69</v>
      </c>
      <c r="J151"/>
    </row>
    <row r="152" spans="1:10">
      <c r="A152" s="8" t="s">
        <v>376</v>
      </c>
      <c r="B152" s="8" t="s">
        <v>376</v>
      </c>
      <c r="C152" s="8" t="s">
        <v>377</v>
      </c>
      <c r="D152" s="8">
        <v>9999</v>
      </c>
      <c r="E152" s="8" t="s">
        <v>37</v>
      </c>
      <c r="F152" s="8" t="s">
        <v>378</v>
      </c>
      <c r="G152" s="8" t="s">
        <v>39</v>
      </c>
      <c r="H152" s="8">
        <v>0.2</v>
      </c>
      <c r="I152" s="15">
        <v>2.4900000000000002</v>
      </c>
      <c r="J152"/>
    </row>
    <row r="153" spans="1:10">
      <c r="A153" s="10"/>
      <c r="B153" s="10"/>
      <c r="C153" s="10"/>
      <c r="D153" s="10"/>
      <c r="E153" s="10"/>
      <c r="F153" s="10"/>
      <c r="G153" s="8" t="s">
        <v>40</v>
      </c>
      <c r="H153" s="8">
        <v>0.25</v>
      </c>
      <c r="I153" s="15">
        <v>0.54</v>
      </c>
      <c r="J153"/>
    </row>
    <row r="154" spans="1:10">
      <c r="A154" s="8" t="s">
        <v>379</v>
      </c>
      <c r="B154" s="8" t="s">
        <v>379</v>
      </c>
      <c r="C154" s="8" t="s">
        <v>380</v>
      </c>
      <c r="D154" s="8">
        <v>9999</v>
      </c>
      <c r="E154" s="8" t="s">
        <v>37</v>
      </c>
      <c r="F154" s="8" t="s">
        <v>381</v>
      </c>
      <c r="G154" s="8" t="s">
        <v>39</v>
      </c>
      <c r="H154" s="8">
        <v>0.2</v>
      </c>
      <c r="I154" s="15">
        <v>2.42</v>
      </c>
      <c r="J154"/>
    </row>
    <row r="155" spans="1:10">
      <c r="A155" s="8" t="s">
        <v>382</v>
      </c>
      <c r="B155" s="8" t="s">
        <v>382</v>
      </c>
      <c r="C155" s="8" t="s">
        <v>383</v>
      </c>
      <c r="D155" s="8">
        <v>9999</v>
      </c>
      <c r="E155" s="8" t="s">
        <v>37</v>
      </c>
      <c r="F155" s="8" t="s">
        <v>242</v>
      </c>
      <c r="G155" s="8" t="s">
        <v>39</v>
      </c>
      <c r="H155" s="8">
        <v>0.2</v>
      </c>
      <c r="I155" s="15">
        <v>1.92</v>
      </c>
      <c r="J155"/>
    </row>
    <row r="156" spans="1:10">
      <c r="A156" s="8" t="s">
        <v>384</v>
      </c>
      <c r="B156" s="8" t="s">
        <v>384</v>
      </c>
      <c r="C156" s="8" t="s">
        <v>385</v>
      </c>
      <c r="D156" s="8">
        <v>9999</v>
      </c>
      <c r="E156" s="8" t="s">
        <v>37</v>
      </c>
      <c r="F156" s="8" t="s">
        <v>386</v>
      </c>
      <c r="G156" s="8" t="s">
        <v>39</v>
      </c>
      <c r="H156" s="8">
        <v>0.2</v>
      </c>
      <c r="I156" s="15">
        <v>4.0199999999999996</v>
      </c>
      <c r="J156"/>
    </row>
    <row r="157" spans="1:10">
      <c r="A157" s="8" t="s">
        <v>387</v>
      </c>
      <c r="B157" s="8" t="s">
        <v>387</v>
      </c>
      <c r="C157" s="8" t="s">
        <v>388</v>
      </c>
      <c r="D157" s="8">
        <v>9999</v>
      </c>
      <c r="E157" s="8" t="s">
        <v>37</v>
      </c>
      <c r="F157" s="8" t="s">
        <v>389</v>
      </c>
      <c r="G157" s="8" t="s">
        <v>39</v>
      </c>
      <c r="H157" s="8">
        <v>0.2</v>
      </c>
      <c r="I157" s="15">
        <v>2.57</v>
      </c>
      <c r="J157"/>
    </row>
    <row r="158" spans="1:10">
      <c r="A158" s="10"/>
      <c r="B158" s="10"/>
      <c r="C158" s="10"/>
      <c r="D158" s="10"/>
      <c r="E158" s="10"/>
      <c r="F158" s="10"/>
      <c r="G158" s="8" t="s">
        <v>40</v>
      </c>
      <c r="H158" s="8">
        <v>0.25</v>
      </c>
      <c r="I158" s="15">
        <v>0.01</v>
      </c>
      <c r="J158"/>
    </row>
    <row r="159" spans="1:10">
      <c r="A159" s="8" t="s">
        <v>390</v>
      </c>
      <c r="B159" s="8" t="s">
        <v>390</v>
      </c>
      <c r="C159" s="8" t="s">
        <v>391</v>
      </c>
      <c r="D159" s="8">
        <v>9999</v>
      </c>
      <c r="E159" s="8" t="s">
        <v>37</v>
      </c>
      <c r="F159" s="8" t="s">
        <v>392</v>
      </c>
      <c r="G159" s="8" t="s">
        <v>39</v>
      </c>
      <c r="H159" s="8">
        <v>0.2</v>
      </c>
      <c r="I159" s="15">
        <v>2.6</v>
      </c>
      <c r="J159"/>
    </row>
    <row r="160" spans="1:10">
      <c r="A160" s="10"/>
      <c r="B160" s="10"/>
      <c r="C160" s="10"/>
      <c r="D160" s="10"/>
      <c r="E160" s="10"/>
      <c r="F160" s="10"/>
      <c r="G160" s="8" t="s">
        <v>40</v>
      </c>
      <c r="H160" s="8">
        <v>0.25</v>
      </c>
      <c r="I160" s="15">
        <v>2.2000000000000002</v>
      </c>
      <c r="J160"/>
    </row>
    <row r="161" spans="1:10">
      <c r="A161" s="8" t="s">
        <v>393</v>
      </c>
      <c r="B161" s="8" t="s">
        <v>393</v>
      </c>
      <c r="C161" s="8" t="s">
        <v>394</v>
      </c>
      <c r="D161" s="8">
        <v>9999</v>
      </c>
      <c r="E161" s="8" t="s">
        <v>37</v>
      </c>
      <c r="F161" s="8" t="s">
        <v>329</v>
      </c>
      <c r="G161" s="8" t="s">
        <v>39</v>
      </c>
      <c r="H161" s="8">
        <v>0.2</v>
      </c>
      <c r="I161" s="15">
        <v>1.92</v>
      </c>
      <c r="J161"/>
    </row>
    <row r="162" spans="1:10">
      <c r="A162" s="10"/>
      <c r="B162" s="10"/>
      <c r="C162" s="10"/>
      <c r="D162" s="10"/>
      <c r="E162" s="10"/>
      <c r="F162" s="10"/>
      <c r="G162" s="8" t="s">
        <v>40</v>
      </c>
      <c r="H162" s="8">
        <v>0.25</v>
      </c>
      <c r="I162" s="15">
        <v>0.02</v>
      </c>
      <c r="J162"/>
    </row>
    <row r="163" spans="1:10">
      <c r="A163" s="8" t="s">
        <v>395</v>
      </c>
      <c r="B163" s="8" t="s">
        <v>396</v>
      </c>
      <c r="C163" s="8" t="s">
        <v>397</v>
      </c>
      <c r="D163" s="8">
        <v>9999</v>
      </c>
      <c r="E163" s="8" t="s">
        <v>37</v>
      </c>
      <c r="F163" s="8" t="s">
        <v>398</v>
      </c>
      <c r="G163" s="8" t="s">
        <v>39</v>
      </c>
      <c r="H163" s="8">
        <v>0.2</v>
      </c>
      <c r="I163" s="15">
        <v>3.89</v>
      </c>
      <c r="J163"/>
    </row>
    <row r="164" spans="1:10">
      <c r="A164" s="8" t="s">
        <v>399</v>
      </c>
      <c r="B164" s="8" t="s">
        <v>399</v>
      </c>
      <c r="C164" s="8" t="s">
        <v>400</v>
      </c>
      <c r="D164" s="8">
        <v>9999</v>
      </c>
      <c r="E164" s="8" t="s">
        <v>37</v>
      </c>
      <c r="F164" s="8" t="s">
        <v>401</v>
      </c>
      <c r="G164" s="8" t="s">
        <v>39</v>
      </c>
      <c r="H164" s="8">
        <v>0.2</v>
      </c>
      <c r="I164" s="15">
        <v>1.92</v>
      </c>
      <c r="J164"/>
    </row>
    <row r="165" spans="1:10">
      <c r="A165" s="8" t="s">
        <v>402</v>
      </c>
      <c r="B165" s="8" t="s">
        <v>402</v>
      </c>
      <c r="C165" s="8" t="s">
        <v>403</v>
      </c>
      <c r="D165" s="8">
        <v>9999</v>
      </c>
      <c r="E165" s="8" t="s">
        <v>37</v>
      </c>
      <c r="F165" s="8" t="s">
        <v>404</v>
      </c>
      <c r="G165" s="8" t="s">
        <v>39</v>
      </c>
      <c r="H165" s="8">
        <v>0.2</v>
      </c>
      <c r="I165" s="15">
        <v>2.08</v>
      </c>
      <c r="J165"/>
    </row>
    <row r="166" spans="1:10">
      <c r="A166" s="8" t="s">
        <v>405</v>
      </c>
      <c r="B166" s="8" t="s">
        <v>405</v>
      </c>
      <c r="C166" s="8" t="s">
        <v>406</v>
      </c>
      <c r="D166" s="8">
        <v>9999</v>
      </c>
      <c r="E166" s="8" t="s">
        <v>37</v>
      </c>
      <c r="F166" s="8" t="s">
        <v>407</v>
      </c>
      <c r="G166" s="8" t="s">
        <v>39</v>
      </c>
      <c r="H166" s="8">
        <v>0.2</v>
      </c>
      <c r="I166" s="15">
        <v>9.5</v>
      </c>
      <c r="J166"/>
    </row>
    <row r="167" spans="1:10">
      <c r="A167" s="8" t="s">
        <v>408</v>
      </c>
      <c r="B167" s="8" t="s">
        <v>408</v>
      </c>
      <c r="C167" s="8" t="s">
        <v>409</v>
      </c>
      <c r="D167" s="8">
        <v>9999</v>
      </c>
      <c r="E167" s="8" t="s">
        <v>37</v>
      </c>
      <c r="F167" s="8" t="s">
        <v>410</v>
      </c>
      <c r="G167" s="8" t="s">
        <v>39</v>
      </c>
      <c r="H167" s="8">
        <v>0.2</v>
      </c>
      <c r="I167" s="15">
        <v>3.84</v>
      </c>
      <c r="J167"/>
    </row>
    <row r="168" spans="1:10">
      <c r="A168" s="8" t="s">
        <v>411</v>
      </c>
      <c r="B168" s="8" t="s">
        <v>411</v>
      </c>
      <c r="C168" s="8" t="s">
        <v>412</v>
      </c>
      <c r="D168" s="8">
        <v>9999</v>
      </c>
      <c r="E168" s="8" t="s">
        <v>37</v>
      </c>
      <c r="F168" s="8" t="s">
        <v>413</v>
      </c>
      <c r="G168" s="8" t="s">
        <v>39</v>
      </c>
      <c r="H168" s="8">
        <v>0.2</v>
      </c>
      <c r="I168" s="15">
        <v>5.39</v>
      </c>
      <c r="J168"/>
    </row>
    <row r="169" spans="1:10">
      <c r="A169" s="10"/>
      <c r="B169" s="10"/>
      <c r="C169" s="10"/>
      <c r="D169" s="10"/>
      <c r="E169" s="10"/>
      <c r="F169" s="10"/>
      <c r="G169" s="8" t="s">
        <v>40</v>
      </c>
      <c r="H169" s="8">
        <v>0.25</v>
      </c>
      <c r="I169" s="15">
        <v>5.95</v>
      </c>
      <c r="J169"/>
    </row>
    <row r="170" spans="1:10">
      <c r="A170" s="8" t="s">
        <v>414</v>
      </c>
      <c r="B170" s="8" t="s">
        <v>414</v>
      </c>
      <c r="C170" s="8" t="s">
        <v>415</v>
      </c>
      <c r="D170" s="8">
        <v>9999</v>
      </c>
      <c r="E170" s="8" t="s">
        <v>37</v>
      </c>
      <c r="F170" s="8" t="s">
        <v>416</v>
      </c>
      <c r="G170" s="8" t="s">
        <v>39</v>
      </c>
      <c r="H170" s="8">
        <v>0.2</v>
      </c>
      <c r="I170" s="15">
        <v>1.99</v>
      </c>
      <c r="J170"/>
    </row>
    <row r="171" spans="1:10">
      <c r="A171" s="8" t="s">
        <v>417</v>
      </c>
      <c r="B171" s="8" t="s">
        <v>0</v>
      </c>
      <c r="C171" s="8" t="s">
        <v>418</v>
      </c>
      <c r="D171" s="8">
        <v>9999</v>
      </c>
      <c r="E171" s="8" t="s">
        <v>37</v>
      </c>
      <c r="F171" s="8" t="s">
        <v>419</v>
      </c>
      <c r="G171" s="8" t="s">
        <v>39</v>
      </c>
      <c r="H171" s="8">
        <v>0.2</v>
      </c>
      <c r="I171" s="15">
        <v>4.0599999999999996</v>
      </c>
      <c r="J171"/>
    </row>
    <row r="172" spans="1:10">
      <c r="A172" s="8" t="s">
        <v>420</v>
      </c>
      <c r="B172" s="8" t="s">
        <v>420</v>
      </c>
      <c r="C172" s="8" t="s">
        <v>421</v>
      </c>
      <c r="D172" s="8">
        <v>9999</v>
      </c>
      <c r="E172" s="8" t="s">
        <v>37</v>
      </c>
      <c r="F172" s="8" t="s">
        <v>422</v>
      </c>
      <c r="G172" s="8" t="s">
        <v>39</v>
      </c>
      <c r="H172" s="8">
        <v>0.2</v>
      </c>
      <c r="I172" s="15">
        <v>2.0099999999999998</v>
      </c>
      <c r="J172"/>
    </row>
    <row r="173" spans="1:10">
      <c r="A173" s="8" t="s">
        <v>423</v>
      </c>
      <c r="B173" s="8" t="s">
        <v>423</v>
      </c>
      <c r="C173" s="8" t="s">
        <v>424</v>
      </c>
      <c r="D173" s="8">
        <v>9999</v>
      </c>
      <c r="E173" s="8" t="s">
        <v>37</v>
      </c>
      <c r="F173" s="8" t="s">
        <v>425</v>
      </c>
      <c r="G173" s="8" t="s">
        <v>39</v>
      </c>
      <c r="H173" s="8">
        <v>0.2</v>
      </c>
      <c r="I173" s="15">
        <v>1.92</v>
      </c>
      <c r="J173"/>
    </row>
    <row r="174" spans="1:10">
      <c r="A174" s="8" t="s">
        <v>426</v>
      </c>
      <c r="B174" s="8" t="s">
        <v>426</v>
      </c>
      <c r="C174" s="8" t="s">
        <v>427</v>
      </c>
      <c r="D174" s="8">
        <v>9999</v>
      </c>
      <c r="E174" s="8" t="s">
        <v>37</v>
      </c>
      <c r="F174" s="8" t="s">
        <v>428</v>
      </c>
      <c r="G174" s="8" t="s">
        <v>39</v>
      </c>
      <c r="H174" s="8">
        <v>0.2</v>
      </c>
      <c r="I174" s="15">
        <v>1.96</v>
      </c>
      <c r="J174"/>
    </row>
    <row r="175" spans="1:10">
      <c r="A175" s="8" t="s">
        <v>429</v>
      </c>
      <c r="B175" s="8" t="s">
        <v>429</v>
      </c>
      <c r="C175" s="8" t="s">
        <v>430</v>
      </c>
      <c r="D175" s="8">
        <v>9999</v>
      </c>
      <c r="E175" s="8" t="s">
        <v>37</v>
      </c>
      <c r="F175" s="8" t="s">
        <v>398</v>
      </c>
      <c r="G175" s="8" t="s">
        <v>39</v>
      </c>
      <c r="H175" s="8">
        <v>0.2</v>
      </c>
      <c r="I175" s="15">
        <v>974.54</v>
      </c>
      <c r="J175"/>
    </row>
    <row r="176" spans="1:10">
      <c r="A176" s="10"/>
      <c r="B176" s="10"/>
      <c r="C176" s="10"/>
      <c r="D176" s="10"/>
      <c r="E176" s="10"/>
      <c r="F176" s="10"/>
      <c r="G176" s="8" t="s">
        <v>40</v>
      </c>
      <c r="H176" s="8">
        <v>0.25</v>
      </c>
      <c r="I176" s="15">
        <v>22.18</v>
      </c>
      <c r="J176"/>
    </row>
    <row r="177" spans="1:10">
      <c r="A177" s="8" t="s">
        <v>431</v>
      </c>
      <c r="B177" s="8" t="s">
        <v>432</v>
      </c>
      <c r="C177" s="8" t="s">
        <v>433</v>
      </c>
      <c r="D177" s="8">
        <v>9999</v>
      </c>
      <c r="E177" s="8" t="s">
        <v>37</v>
      </c>
      <c r="F177" s="8" t="s">
        <v>434</v>
      </c>
      <c r="G177" s="8" t="s">
        <v>39</v>
      </c>
      <c r="H177" s="8">
        <v>0.2</v>
      </c>
      <c r="I177" s="15">
        <v>10.1</v>
      </c>
      <c r="J177"/>
    </row>
    <row r="178" spans="1:10">
      <c r="A178" s="10"/>
      <c r="B178" s="10"/>
      <c r="C178" s="10"/>
      <c r="D178" s="10"/>
      <c r="E178" s="10"/>
      <c r="F178" s="10"/>
      <c r="G178" s="8" t="s">
        <v>40</v>
      </c>
      <c r="H178" s="8">
        <v>0.25</v>
      </c>
      <c r="I178" s="15">
        <v>7.0000000000000007E-2</v>
      </c>
      <c r="J178"/>
    </row>
    <row r="179" spans="1:10">
      <c r="A179" s="8" t="s">
        <v>435</v>
      </c>
      <c r="B179" s="8" t="s">
        <v>435</v>
      </c>
      <c r="C179" s="8" t="s">
        <v>436</v>
      </c>
      <c r="D179" s="8">
        <v>9999</v>
      </c>
      <c r="E179" s="8" t="s">
        <v>37</v>
      </c>
      <c r="F179" s="8" t="s">
        <v>344</v>
      </c>
      <c r="G179" s="8" t="s">
        <v>39</v>
      </c>
      <c r="H179" s="8">
        <v>0.2</v>
      </c>
      <c r="I179" s="15">
        <v>2.3199999999999998</v>
      </c>
      <c r="J179"/>
    </row>
    <row r="180" spans="1:10">
      <c r="A180" s="8" t="s">
        <v>437</v>
      </c>
      <c r="B180" s="8" t="s">
        <v>437</v>
      </c>
      <c r="C180" s="8" t="s">
        <v>438</v>
      </c>
      <c r="D180" s="8">
        <v>9999</v>
      </c>
      <c r="E180" s="8" t="s">
        <v>37</v>
      </c>
      <c r="F180" s="8" t="s">
        <v>389</v>
      </c>
      <c r="G180" s="8" t="s">
        <v>39</v>
      </c>
      <c r="H180" s="8">
        <v>0.2</v>
      </c>
      <c r="I180" s="15">
        <v>7.15</v>
      </c>
      <c r="J180"/>
    </row>
    <row r="181" spans="1:10">
      <c r="A181" s="8" t="s">
        <v>439</v>
      </c>
      <c r="B181" s="8" t="s">
        <v>439</v>
      </c>
      <c r="C181" s="8" t="s">
        <v>440</v>
      </c>
      <c r="D181" s="8">
        <v>9999</v>
      </c>
      <c r="E181" s="8" t="s">
        <v>37</v>
      </c>
      <c r="F181" s="8" t="s">
        <v>441</v>
      </c>
      <c r="G181" s="8" t="s">
        <v>39</v>
      </c>
      <c r="H181" s="8">
        <v>0.2</v>
      </c>
      <c r="I181" s="15">
        <v>2.1800000000000002</v>
      </c>
      <c r="J181"/>
    </row>
    <row r="182" spans="1:10">
      <c r="A182" s="8" t="s">
        <v>442</v>
      </c>
      <c r="B182" s="8" t="s">
        <v>442</v>
      </c>
      <c r="C182" s="8" t="s">
        <v>443</v>
      </c>
      <c r="D182" s="8">
        <v>9999</v>
      </c>
      <c r="E182" s="8" t="s">
        <v>37</v>
      </c>
      <c r="F182" s="8" t="s">
        <v>444</v>
      </c>
      <c r="G182" s="8" t="s">
        <v>39</v>
      </c>
      <c r="H182" s="8">
        <v>0.2</v>
      </c>
      <c r="I182" s="15">
        <v>6.9</v>
      </c>
      <c r="J182"/>
    </row>
    <row r="183" spans="1:10">
      <c r="A183" s="10"/>
      <c r="B183" s="10"/>
      <c r="C183" s="10"/>
      <c r="D183" s="10"/>
      <c r="E183" s="10"/>
      <c r="F183" s="10"/>
      <c r="G183" s="8" t="s">
        <v>40</v>
      </c>
      <c r="H183" s="8">
        <v>0.25</v>
      </c>
      <c r="I183" s="15">
        <v>0.05</v>
      </c>
      <c r="J183"/>
    </row>
    <row r="184" spans="1:10">
      <c r="A184" s="8" t="s">
        <v>445</v>
      </c>
      <c r="B184" s="8" t="s">
        <v>445</v>
      </c>
      <c r="C184" s="8" t="s">
        <v>446</v>
      </c>
      <c r="D184" s="8">
        <v>9999</v>
      </c>
      <c r="E184" s="8" t="s">
        <v>37</v>
      </c>
      <c r="F184" s="8" t="s">
        <v>447</v>
      </c>
      <c r="G184" s="8" t="s">
        <v>39</v>
      </c>
      <c r="H184" s="8">
        <v>0.2</v>
      </c>
      <c r="I184" s="15">
        <v>2.14</v>
      </c>
      <c r="J184"/>
    </row>
    <row r="185" spans="1:10">
      <c r="A185" s="8" t="s">
        <v>448</v>
      </c>
      <c r="B185" s="8" t="s">
        <v>448</v>
      </c>
      <c r="C185" s="8" t="s">
        <v>449</v>
      </c>
      <c r="D185" s="8">
        <v>9999</v>
      </c>
      <c r="E185" s="8" t="s">
        <v>37</v>
      </c>
      <c r="F185" s="8" t="s">
        <v>450</v>
      </c>
      <c r="G185" s="8" t="s">
        <v>39</v>
      </c>
      <c r="H185" s="8">
        <v>0.2</v>
      </c>
      <c r="I185" s="15">
        <v>5.41</v>
      </c>
      <c r="J185"/>
    </row>
    <row r="186" spans="1:10">
      <c r="A186" s="8" t="s">
        <v>451</v>
      </c>
      <c r="B186" s="8" t="s">
        <v>451</v>
      </c>
      <c r="C186" s="8" t="s">
        <v>452</v>
      </c>
      <c r="D186" s="8">
        <v>9999</v>
      </c>
      <c r="E186" s="8" t="s">
        <v>37</v>
      </c>
      <c r="F186" s="8" t="s">
        <v>453</v>
      </c>
      <c r="G186" s="8" t="s">
        <v>39</v>
      </c>
      <c r="H186" s="8">
        <v>0.2</v>
      </c>
      <c r="I186" s="15">
        <v>1.92</v>
      </c>
      <c r="J186"/>
    </row>
    <row r="187" spans="1:10">
      <c r="A187" s="8" t="s">
        <v>454</v>
      </c>
      <c r="B187" s="8" t="s">
        <v>454</v>
      </c>
      <c r="C187" s="8" t="s">
        <v>455</v>
      </c>
      <c r="D187" s="8">
        <v>9999</v>
      </c>
      <c r="E187" s="8" t="s">
        <v>37</v>
      </c>
      <c r="F187" s="8" t="s">
        <v>456</v>
      </c>
      <c r="G187" s="8" t="s">
        <v>39</v>
      </c>
      <c r="H187" s="8">
        <v>0.2</v>
      </c>
      <c r="I187" s="15">
        <v>10.77</v>
      </c>
      <c r="J187"/>
    </row>
    <row r="188" spans="1:10">
      <c r="A188" s="10"/>
      <c r="B188" s="10"/>
      <c r="C188" s="10"/>
      <c r="D188" s="10"/>
      <c r="E188" s="10"/>
      <c r="F188" s="10"/>
      <c r="G188" s="8" t="s">
        <v>40</v>
      </c>
      <c r="H188" s="8">
        <v>0.25</v>
      </c>
      <c r="I188" s="15">
        <v>19.149999999999999</v>
      </c>
      <c r="J188"/>
    </row>
    <row r="189" spans="1:10">
      <c r="A189" s="8" t="s">
        <v>457</v>
      </c>
      <c r="B189" s="8" t="s">
        <v>457</v>
      </c>
      <c r="C189" s="8" t="s">
        <v>458</v>
      </c>
      <c r="D189" s="8">
        <v>9999</v>
      </c>
      <c r="E189" s="8" t="s">
        <v>37</v>
      </c>
      <c r="F189" s="8" t="s">
        <v>459</v>
      </c>
      <c r="G189" s="8" t="s">
        <v>39</v>
      </c>
      <c r="H189" s="8">
        <v>0.2</v>
      </c>
      <c r="I189" s="15">
        <v>2.2200000000000002</v>
      </c>
      <c r="J189"/>
    </row>
    <row r="190" spans="1:10">
      <c r="A190" s="10"/>
      <c r="B190" s="10"/>
      <c r="C190" s="10"/>
      <c r="D190" s="10"/>
      <c r="E190" s="10"/>
      <c r="F190" s="10"/>
      <c r="G190" s="8" t="s">
        <v>40</v>
      </c>
      <c r="H190" s="8">
        <v>0.25</v>
      </c>
      <c r="I190" s="15">
        <v>1.05</v>
      </c>
      <c r="J190"/>
    </row>
    <row r="191" spans="1:10">
      <c r="A191" s="8" t="s">
        <v>460</v>
      </c>
      <c r="B191" s="8" t="s">
        <v>460</v>
      </c>
      <c r="C191" s="8" t="s">
        <v>461</v>
      </c>
      <c r="D191" s="8">
        <v>9999</v>
      </c>
      <c r="E191" s="8" t="s">
        <v>37</v>
      </c>
      <c r="F191" s="8" t="s">
        <v>462</v>
      </c>
      <c r="G191" s="8" t="s">
        <v>39</v>
      </c>
      <c r="H191" s="8">
        <v>0.2</v>
      </c>
      <c r="I191" s="15">
        <v>1.92</v>
      </c>
      <c r="J191"/>
    </row>
    <row r="192" spans="1:10">
      <c r="A192" s="8" t="s">
        <v>463</v>
      </c>
      <c r="B192" s="8" t="s">
        <v>463</v>
      </c>
      <c r="C192" s="8" t="s">
        <v>464</v>
      </c>
      <c r="D192" s="8">
        <v>9999</v>
      </c>
      <c r="E192" s="8" t="s">
        <v>37</v>
      </c>
      <c r="F192" s="8" t="s">
        <v>465</v>
      </c>
      <c r="G192" s="8" t="s">
        <v>39</v>
      </c>
      <c r="H192" s="8">
        <v>0.2</v>
      </c>
      <c r="I192" s="15">
        <v>2.15</v>
      </c>
      <c r="J192"/>
    </row>
    <row r="193" spans="1:10">
      <c r="A193" s="8" t="s">
        <v>466</v>
      </c>
      <c r="B193" s="8" t="s">
        <v>466</v>
      </c>
      <c r="C193" s="8" t="s">
        <v>467</v>
      </c>
      <c r="D193" s="8">
        <v>9999</v>
      </c>
      <c r="E193" s="8" t="s">
        <v>37</v>
      </c>
      <c r="F193" s="8" t="s">
        <v>468</v>
      </c>
      <c r="G193" s="8" t="s">
        <v>39</v>
      </c>
      <c r="H193" s="8">
        <v>0.2</v>
      </c>
      <c r="I193" s="15">
        <v>2.0299999999999998</v>
      </c>
      <c r="J193"/>
    </row>
    <row r="194" spans="1:10">
      <c r="A194" s="8" t="s">
        <v>469</v>
      </c>
      <c r="B194" s="8" t="s">
        <v>469</v>
      </c>
      <c r="C194" s="8" t="s">
        <v>470</v>
      </c>
      <c r="D194" s="8">
        <v>9999</v>
      </c>
      <c r="E194" s="8" t="s">
        <v>37</v>
      </c>
      <c r="F194" s="8" t="s">
        <v>471</v>
      </c>
      <c r="G194" s="8" t="s">
        <v>39</v>
      </c>
      <c r="H194" s="8">
        <v>0.2</v>
      </c>
      <c r="I194" s="15">
        <v>3.26</v>
      </c>
      <c r="J194"/>
    </row>
    <row r="195" spans="1:10">
      <c r="A195" s="8" t="s">
        <v>472</v>
      </c>
      <c r="B195" s="8" t="s">
        <v>472</v>
      </c>
      <c r="C195" s="8" t="s">
        <v>473</v>
      </c>
      <c r="D195" s="8">
        <v>9999</v>
      </c>
      <c r="E195" s="8" t="s">
        <v>37</v>
      </c>
      <c r="F195" s="8" t="s">
        <v>474</v>
      </c>
      <c r="G195" s="8" t="s">
        <v>39</v>
      </c>
      <c r="H195" s="8">
        <v>0.2</v>
      </c>
      <c r="I195" s="15">
        <v>1.92</v>
      </c>
      <c r="J195"/>
    </row>
    <row r="196" spans="1:10">
      <c r="A196" s="8" t="s">
        <v>475</v>
      </c>
      <c r="B196" s="8" t="s">
        <v>475</v>
      </c>
      <c r="C196" s="8" t="s">
        <v>476</v>
      </c>
      <c r="D196" s="8">
        <v>9999</v>
      </c>
      <c r="E196" s="8" t="s">
        <v>37</v>
      </c>
      <c r="F196" s="8" t="s">
        <v>477</v>
      </c>
      <c r="G196" s="8" t="s">
        <v>39</v>
      </c>
      <c r="H196" s="8">
        <v>0.2</v>
      </c>
      <c r="I196" s="15">
        <v>2.0299999999999998</v>
      </c>
      <c r="J196"/>
    </row>
    <row r="197" spans="1:10">
      <c r="A197" s="10"/>
      <c r="B197" s="10"/>
      <c r="C197" s="10"/>
      <c r="D197" s="10"/>
      <c r="E197" s="10"/>
      <c r="F197" s="10"/>
      <c r="G197" s="8" t="s">
        <v>40</v>
      </c>
      <c r="H197" s="8">
        <v>0.25</v>
      </c>
      <c r="I197" s="15">
        <v>0.04</v>
      </c>
      <c r="J197"/>
    </row>
    <row r="198" spans="1:10">
      <c r="A198" s="8" t="s">
        <v>478</v>
      </c>
      <c r="B198" s="8" t="s">
        <v>478</v>
      </c>
      <c r="C198" s="8" t="s">
        <v>479</v>
      </c>
      <c r="D198" s="8">
        <v>9999</v>
      </c>
      <c r="E198" s="8" t="s">
        <v>37</v>
      </c>
      <c r="F198" s="8" t="s">
        <v>477</v>
      </c>
      <c r="G198" s="8" t="s">
        <v>39</v>
      </c>
      <c r="H198" s="8">
        <v>0.2</v>
      </c>
      <c r="I198" s="15">
        <v>3.67</v>
      </c>
      <c r="J198"/>
    </row>
    <row r="199" spans="1:10">
      <c r="A199" s="10"/>
      <c r="B199" s="10"/>
      <c r="C199" s="10"/>
      <c r="D199" s="10"/>
      <c r="E199" s="10"/>
      <c r="F199" s="10"/>
      <c r="G199" s="8" t="s">
        <v>40</v>
      </c>
      <c r="H199" s="8">
        <v>0.25</v>
      </c>
      <c r="I199" s="15">
        <v>0.57999999999999996</v>
      </c>
      <c r="J199"/>
    </row>
    <row r="200" spans="1:10">
      <c r="A200" s="8" t="s">
        <v>480</v>
      </c>
      <c r="B200" s="8" t="s">
        <v>480</v>
      </c>
      <c r="C200" s="8" t="s">
        <v>481</v>
      </c>
      <c r="D200" s="8">
        <v>9999</v>
      </c>
      <c r="E200" s="8" t="s">
        <v>37</v>
      </c>
      <c r="F200" s="8" t="s">
        <v>482</v>
      </c>
      <c r="G200" s="8" t="s">
        <v>39</v>
      </c>
      <c r="H200" s="8">
        <v>0.2</v>
      </c>
      <c r="I200" s="15">
        <v>11.78</v>
      </c>
      <c r="J200"/>
    </row>
    <row r="201" spans="1:10">
      <c r="A201" s="10"/>
      <c r="B201" s="10"/>
      <c r="C201" s="10"/>
      <c r="D201" s="10"/>
      <c r="E201" s="10"/>
      <c r="F201" s="10"/>
      <c r="G201" s="8" t="s">
        <v>40</v>
      </c>
      <c r="H201" s="8">
        <v>0.25</v>
      </c>
      <c r="I201" s="15">
        <v>0.02</v>
      </c>
      <c r="J201"/>
    </row>
    <row r="202" spans="1:10">
      <c r="A202" s="8" t="s">
        <v>483</v>
      </c>
      <c r="B202" s="8" t="s">
        <v>483</v>
      </c>
      <c r="C202" s="8" t="s">
        <v>484</v>
      </c>
      <c r="D202" s="8">
        <v>9999</v>
      </c>
      <c r="E202" s="8" t="s">
        <v>37</v>
      </c>
      <c r="F202" s="8" t="s">
        <v>485</v>
      </c>
      <c r="G202" s="8" t="s">
        <v>39</v>
      </c>
      <c r="H202" s="8">
        <v>0.2</v>
      </c>
      <c r="I202" s="15">
        <v>12.12</v>
      </c>
      <c r="J202"/>
    </row>
    <row r="203" spans="1:10">
      <c r="A203" s="10"/>
      <c r="B203" s="10"/>
      <c r="C203" s="10"/>
      <c r="D203" s="10"/>
      <c r="E203" s="10"/>
      <c r="F203" s="10"/>
      <c r="G203" s="8" t="s">
        <v>40</v>
      </c>
      <c r="H203" s="8">
        <v>0.25</v>
      </c>
      <c r="I203" s="15">
        <v>4.09</v>
      </c>
      <c r="J203"/>
    </row>
    <row r="204" spans="1:10">
      <c r="A204" s="8" t="s">
        <v>486</v>
      </c>
      <c r="B204" s="8" t="s">
        <v>486</v>
      </c>
      <c r="C204" s="8" t="s">
        <v>487</v>
      </c>
      <c r="D204" s="8">
        <v>9999</v>
      </c>
      <c r="E204" s="8" t="s">
        <v>37</v>
      </c>
      <c r="F204" s="8" t="s">
        <v>488</v>
      </c>
      <c r="G204" s="8" t="s">
        <v>39</v>
      </c>
      <c r="H204" s="8">
        <v>0.2</v>
      </c>
      <c r="I204" s="15">
        <v>1.92</v>
      </c>
      <c r="J204"/>
    </row>
    <row r="205" spans="1:10">
      <c r="A205" s="8" t="s">
        <v>489</v>
      </c>
      <c r="B205" s="8" t="s">
        <v>489</v>
      </c>
      <c r="C205" s="8" t="s">
        <v>490</v>
      </c>
      <c r="D205" s="8">
        <v>9999</v>
      </c>
      <c r="E205" s="8" t="s">
        <v>37</v>
      </c>
      <c r="F205" s="8" t="s">
        <v>491</v>
      </c>
      <c r="G205" s="8" t="s">
        <v>39</v>
      </c>
      <c r="H205" s="8">
        <v>0.2</v>
      </c>
      <c r="I205" s="15">
        <v>2.2400000000000002</v>
      </c>
      <c r="J205"/>
    </row>
    <row r="206" spans="1:10">
      <c r="A206" s="8" t="s">
        <v>492</v>
      </c>
      <c r="B206" s="8" t="s">
        <v>492</v>
      </c>
      <c r="C206" s="8" t="s">
        <v>493</v>
      </c>
      <c r="D206" s="8">
        <v>9999</v>
      </c>
      <c r="E206" s="8" t="s">
        <v>37</v>
      </c>
      <c r="F206" s="8" t="s">
        <v>494</v>
      </c>
      <c r="G206" s="8" t="s">
        <v>39</v>
      </c>
      <c r="H206" s="8">
        <v>0.2</v>
      </c>
      <c r="I206" s="15">
        <v>16.27</v>
      </c>
      <c r="J206"/>
    </row>
    <row r="207" spans="1:10">
      <c r="A207" s="8" t="s">
        <v>495</v>
      </c>
      <c r="B207" s="8" t="s">
        <v>495</v>
      </c>
      <c r="C207" s="8" t="s">
        <v>496</v>
      </c>
      <c r="D207" s="8">
        <v>9999</v>
      </c>
      <c r="E207" s="8" t="s">
        <v>37</v>
      </c>
      <c r="F207" s="8" t="s">
        <v>497</v>
      </c>
      <c r="G207" s="8" t="s">
        <v>39</v>
      </c>
      <c r="H207" s="8">
        <v>0.2</v>
      </c>
      <c r="I207" s="15">
        <v>2.08</v>
      </c>
      <c r="J207"/>
    </row>
    <row r="208" spans="1:10">
      <c r="A208" s="8" t="s">
        <v>498</v>
      </c>
      <c r="B208" s="8" t="s">
        <v>498</v>
      </c>
      <c r="C208" s="8" t="s">
        <v>499</v>
      </c>
      <c r="D208" s="8">
        <v>9999</v>
      </c>
      <c r="E208" s="8" t="s">
        <v>37</v>
      </c>
      <c r="F208" s="8" t="s">
        <v>500</v>
      </c>
      <c r="G208" s="8" t="s">
        <v>39</v>
      </c>
      <c r="H208" s="8">
        <v>0.2</v>
      </c>
      <c r="I208" s="15">
        <v>1.92</v>
      </c>
      <c r="J208"/>
    </row>
    <row r="209" spans="1:10">
      <c r="A209" s="10"/>
      <c r="B209" s="10"/>
      <c r="C209" s="10"/>
      <c r="D209" s="10"/>
      <c r="E209" s="10"/>
      <c r="F209" s="10"/>
      <c r="G209" s="8" t="s">
        <v>40</v>
      </c>
      <c r="H209" s="8">
        <v>0.25</v>
      </c>
      <c r="I209" s="15">
        <v>1.1399999999999999</v>
      </c>
      <c r="J209"/>
    </row>
    <row r="210" spans="1:10">
      <c r="A210" s="8" t="s">
        <v>501</v>
      </c>
      <c r="B210" s="8" t="s">
        <v>501</v>
      </c>
      <c r="C210" s="8" t="s">
        <v>502</v>
      </c>
      <c r="D210" s="8">
        <v>9999</v>
      </c>
      <c r="E210" s="8" t="s">
        <v>37</v>
      </c>
      <c r="F210" s="8" t="s">
        <v>503</v>
      </c>
      <c r="G210" s="8" t="s">
        <v>39</v>
      </c>
      <c r="H210" s="8">
        <v>0.2</v>
      </c>
      <c r="I210" s="15">
        <v>1.43</v>
      </c>
      <c r="J210"/>
    </row>
    <row r="211" spans="1:10">
      <c r="A211" s="8" t="s">
        <v>504</v>
      </c>
      <c r="B211" s="8" t="s">
        <v>504</v>
      </c>
      <c r="C211" s="8" t="s">
        <v>505</v>
      </c>
      <c r="D211" s="8">
        <v>9999</v>
      </c>
      <c r="E211" s="8" t="s">
        <v>37</v>
      </c>
      <c r="F211" s="8" t="s">
        <v>506</v>
      </c>
      <c r="G211" s="8" t="s">
        <v>39</v>
      </c>
      <c r="H211" s="8">
        <v>0.2</v>
      </c>
      <c r="I211" s="15">
        <v>2.52</v>
      </c>
      <c r="J211"/>
    </row>
    <row r="212" spans="1:10">
      <c r="A212" s="8" t="s">
        <v>507</v>
      </c>
      <c r="B212" s="8" t="s">
        <v>507</v>
      </c>
      <c r="C212" s="8" t="s">
        <v>508</v>
      </c>
      <c r="D212" s="8">
        <v>9999</v>
      </c>
      <c r="E212" s="8" t="s">
        <v>37</v>
      </c>
      <c r="F212" s="8" t="s">
        <v>509</v>
      </c>
      <c r="G212" s="8" t="s">
        <v>39</v>
      </c>
      <c r="H212" s="8">
        <v>0.2</v>
      </c>
      <c r="I212" s="15">
        <v>1.92</v>
      </c>
      <c r="J212"/>
    </row>
    <row r="213" spans="1:10">
      <c r="A213" s="8" t="s">
        <v>510</v>
      </c>
      <c r="B213" s="8" t="s">
        <v>510</v>
      </c>
      <c r="C213" s="8" t="s">
        <v>511</v>
      </c>
      <c r="D213" s="8">
        <v>9999</v>
      </c>
      <c r="E213" s="8" t="s">
        <v>37</v>
      </c>
      <c r="F213" s="8" t="s">
        <v>512</v>
      </c>
      <c r="G213" s="8" t="s">
        <v>39</v>
      </c>
      <c r="H213" s="8">
        <v>0.2</v>
      </c>
      <c r="I213" s="15">
        <v>14.59</v>
      </c>
      <c r="J213"/>
    </row>
    <row r="214" spans="1:10">
      <c r="A214" s="8" t="s">
        <v>513</v>
      </c>
      <c r="B214" s="8" t="s">
        <v>513</v>
      </c>
      <c r="C214" s="8" t="s">
        <v>514</v>
      </c>
      <c r="D214" s="8">
        <v>9999</v>
      </c>
      <c r="E214" s="8" t="s">
        <v>37</v>
      </c>
      <c r="F214" s="8" t="s">
        <v>245</v>
      </c>
      <c r="G214" s="8" t="s">
        <v>39</v>
      </c>
      <c r="H214" s="8">
        <v>0.2</v>
      </c>
      <c r="I214" s="15">
        <v>2.04</v>
      </c>
      <c r="J214"/>
    </row>
    <row r="215" spans="1:10">
      <c r="A215" s="8" t="s">
        <v>515</v>
      </c>
      <c r="B215" s="8" t="s">
        <v>515</v>
      </c>
      <c r="C215" s="8" t="s">
        <v>516</v>
      </c>
      <c r="D215" s="8">
        <v>9999</v>
      </c>
      <c r="E215" s="8" t="s">
        <v>37</v>
      </c>
      <c r="F215" s="8" t="s">
        <v>517</v>
      </c>
      <c r="G215" s="8" t="s">
        <v>39</v>
      </c>
      <c r="H215" s="8">
        <v>0.2</v>
      </c>
      <c r="I215" s="15">
        <v>3.13</v>
      </c>
      <c r="J215"/>
    </row>
    <row r="216" spans="1:10">
      <c r="A216" s="8" t="s">
        <v>518</v>
      </c>
      <c r="B216" s="8" t="s">
        <v>518</v>
      </c>
      <c r="C216" s="8" t="s">
        <v>519</v>
      </c>
      <c r="D216" s="8">
        <v>9999</v>
      </c>
      <c r="E216" s="8" t="s">
        <v>37</v>
      </c>
      <c r="F216" s="8" t="s">
        <v>520</v>
      </c>
      <c r="G216" s="8" t="s">
        <v>39</v>
      </c>
      <c r="H216" s="8">
        <v>0.2</v>
      </c>
      <c r="I216" s="15">
        <v>1.92</v>
      </c>
      <c r="J216"/>
    </row>
    <row r="217" spans="1:10">
      <c r="A217" s="8" t="s">
        <v>521</v>
      </c>
      <c r="B217" s="8" t="s">
        <v>521</v>
      </c>
      <c r="C217" s="8" t="s">
        <v>522</v>
      </c>
      <c r="D217" s="8">
        <v>9999</v>
      </c>
      <c r="E217" s="8" t="s">
        <v>37</v>
      </c>
      <c r="F217" s="8" t="s">
        <v>523</v>
      </c>
      <c r="G217" s="8" t="s">
        <v>39</v>
      </c>
      <c r="H217" s="8">
        <v>0.2</v>
      </c>
      <c r="I217" s="15">
        <v>7.85</v>
      </c>
      <c r="J217"/>
    </row>
    <row r="218" spans="1:10">
      <c r="A218" s="8" t="s">
        <v>524</v>
      </c>
      <c r="B218" s="8" t="s">
        <v>524</v>
      </c>
      <c r="C218" s="8" t="s">
        <v>525</v>
      </c>
      <c r="D218" s="8">
        <v>9999</v>
      </c>
      <c r="E218" s="8" t="s">
        <v>37</v>
      </c>
      <c r="F218" s="8" t="s">
        <v>526</v>
      </c>
      <c r="G218" s="8" t="s">
        <v>39</v>
      </c>
      <c r="H218" s="8">
        <v>0.2</v>
      </c>
      <c r="I218" s="15">
        <v>10.72</v>
      </c>
      <c r="J218"/>
    </row>
    <row r="219" spans="1:10">
      <c r="A219" s="8" t="s">
        <v>527</v>
      </c>
      <c r="B219" s="8" t="s">
        <v>527</v>
      </c>
      <c r="C219" s="8" t="s">
        <v>528</v>
      </c>
      <c r="D219" s="8">
        <v>9999</v>
      </c>
      <c r="E219" s="8" t="s">
        <v>37</v>
      </c>
      <c r="F219" s="8" t="s">
        <v>529</v>
      </c>
      <c r="G219" s="8" t="s">
        <v>39</v>
      </c>
      <c r="H219" s="8">
        <v>0.2</v>
      </c>
      <c r="I219" s="15">
        <v>3.03</v>
      </c>
      <c r="J219"/>
    </row>
    <row r="220" spans="1:10">
      <c r="A220" s="8" t="s">
        <v>530</v>
      </c>
      <c r="B220" s="8" t="s">
        <v>530</v>
      </c>
      <c r="C220" s="8" t="s">
        <v>531</v>
      </c>
      <c r="D220" s="8">
        <v>9999</v>
      </c>
      <c r="E220" s="8" t="s">
        <v>37</v>
      </c>
      <c r="F220" s="8" t="s">
        <v>532</v>
      </c>
      <c r="G220" s="8" t="s">
        <v>39</v>
      </c>
      <c r="H220" s="8">
        <v>0.2</v>
      </c>
      <c r="I220" s="15">
        <v>1.92</v>
      </c>
      <c r="J220"/>
    </row>
    <row r="221" spans="1:10">
      <c r="A221" s="8" t="s">
        <v>533</v>
      </c>
      <c r="B221" s="8" t="s">
        <v>533</v>
      </c>
      <c r="C221" s="8" t="s">
        <v>534</v>
      </c>
      <c r="D221" s="8">
        <v>9999</v>
      </c>
      <c r="E221" s="8" t="s">
        <v>37</v>
      </c>
      <c r="F221" s="8" t="s">
        <v>532</v>
      </c>
      <c r="G221" s="8" t="s">
        <v>39</v>
      </c>
      <c r="H221" s="8">
        <v>0.2</v>
      </c>
      <c r="I221" s="15">
        <v>1.92</v>
      </c>
      <c r="J221"/>
    </row>
    <row r="222" spans="1:10">
      <c r="A222" s="8" t="s">
        <v>535</v>
      </c>
      <c r="B222" s="8" t="s">
        <v>535</v>
      </c>
      <c r="C222" s="8" t="s">
        <v>536</v>
      </c>
      <c r="D222" s="8">
        <v>9999</v>
      </c>
      <c r="E222" s="8" t="s">
        <v>37</v>
      </c>
      <c r="F222" s="8" t="s">
        <v>537</v>
      </c>
      <c r="G222" s="8" t="s">
        <v>39</v>
      </c>
      <c r="H222" s="8">
        <v>0.2</v>
      </c>
      <c r="I222" s="15">
        <v>2.9</v>
      </c>
      <c r="J222"/>
    </row>
    <row r="223" spans="1:10">
      <c r="A223" s="8" t="s">
        <v>538</v>
      </c>
      <c r="B223" s="8" t="s">
        <v>538</v>
      </c>
      <c r="C223" s="8" t="s">
        <v>539</v>
      </c>
      <c r="D223" s="8">
        <v>9999</v>
      </c>
      <c r="E223" s="8" t="s">
        <v>37</v>
      </c>
      <c r="F223" s="8" t="s">
        <v>540</v>
      </c>
      <c r="G223" s="8" t="s">
        <v>39</v>
      </c>
      <c r="H223" s="8">
        <v>0.2</v>
      </c>
      <c r="I223" s="15">
        <v>1.95</v>
      </c>
      <c r="J223"/>
    </row>
    <row r="224" spans="1:10">
      <c r="A224" s="8" t="s">
        <v>541</v>
      </c>
      <c r="B224" s="8" t="s">
        <v>541</v>
      </c>
      <c r="C224" s="8" t="s">
        <v>542</v>
      </c>
      <c r="D224" s="8">
        <v>9999</v>
      </c>
      <c r="E224" s="8" t="s">
        <v>37</v>
      </c>
      <c r="F224" s="8" t="s">
        <v>543</v>
      </c>
      <c r="G224" s="8" t="s">
        <v>39</v>
      </c>
      <c r="H224" s="8">
        <v>0.2</v>
      </c>
      <c r="I224" s="15">
        <v>3.18</v>
      </c>
      <c r="J224"/>
    </row>
    <row r="225" spans="1:10">
      <c r="A225" s="8" t="s">
        <v>544</v>
      </c>
      <c r="B225" s="8" t="s">
        <v>544</v>
      </c>
      <c r="C225" s="8" t="s">
        <v>545</v>
      </c>
      <c r="D225" s="8">
        <v>9999</v>
      </c>
      <c r="E225" s="8" t="s">
        <v>37</v>
      </c>
      <c r="F225" s="8" t="s">
        <v>546</v>
      </c>
      <c r="G225" s="8" t="s">
        <v>39</v>
      </c>
      <c r="H225" s="8">
        <v>0.2</v>
      </c>
      <c r="I225" s="15">
        <v>40.03</v>
      </c>
      <c r="J225"/>
    </row>
    <row r="226" spans="1:10">
      <c r="A226" s="10"/>
      <c r="B226" s="10"/>
      <c r="C226" s="10"/>
      <c r="D226" s="10"/>
      <c r="E226" s="10"/>
      <c r="F226" s="10"/>
      <c r="G226" s="8" t="s">
        <v>40</v>
      </c>
      <c r="H226" s="8">
        <v>0.25</v>
      </c>
      <c r="I226" s="15">
        <v>2.2799999999999998</v>
      </c>
      <c r="J226"/>
    </row>
    <row r="227" spans="1:10">
      <c r="A227" s="8" t="s">
        <v>547</v>
      </c>
      <c r="B227" s="8" t="s">
        <v>547</v>
      </c>
      <c r="C227" s="8" t="s">
        <v>548</v>
      </c>
      <c r="D227" s="8">
        <v>9999</v>
      </c>
      <c r="E227" s="8" t="s">
        <v>37</v>
      </c>
      <c r="F227" s="8" t="s">
        <v>549</v>
      </c>
      <c r="G227" s="8" t="s">
        <v>39</v>
      </c>
      <c r="H227" s="8">
        <v>0.2</v>
      </c>
      <c r="I227" s="15">
        <v>5.91</v>
      </c>
      <c r="J227"/>
    </row>
    <row r="228" spans="1:10">
      <c r="A228" s="8" t="s">
        <v>550</v>
      </c>
      <c r="B228" s="8" t="s">
        <v>550</v>
      </c>
      <c r="C228" s="8" t="s">
        <v>551</v>
      </c>
      <c r="D228" s="8">
        <v>9999</v>
      </c>
      <c r="E228" s="8" t="s">
        <v>37</v>
      </c>
      <c r="F228" s="8" t="s">
        <v>552</v>
      </c>
      <c r="G228" s="8" t="s">
        <v>39</v>
      </c>
      <c r="H228" s="8">
        <v>0.2</v>
      </c>
      <c r="I228" s="15">
        <v>2.77</v>
      </c>
      <c r="J228"/>
    </row>
    <row r="229" spans="1:10">
      <c r="A229" s="8" t="s">
        <v>553</v>
      </c>
      <c r="B229" s="8" t="s">
        <v>554</v>
      </c>
      <c r="C229" s="8" t="s">
        <v>555</v>
      </c>
      <c r="D229" s="8">
        <v>9999</v>
      </c>
      <c r="E229" s="8" t="s">
        <v>37</v>
      </c>
      <c r="F229" s="8" t="s">
        <v>556</v>
      </c>
      <c r="G229" s="8" t="s">
        <v>39</v>
      </c>
      <c r="H229" s="8">
        <v>0.2</v>
      </c>
      <c r="I229" s="15">
        <v>1.93</v>
      </c>
      <c r="J229"/>
    </row>
    <row r="230" spans="1:10">
      <c r="A230" s="8" t="s">
        <v>557</v>
      </c>
      <c r="B230" s="8" t="s">
        <v>557</v>
      </c>
      <c r="C230" s="8" t="s">
        <v>558</v>
      </c>
      <c r="D230" s="8">
        <v>9999</v>
      </c>
      <c r="E230" s="8" t="s">
        <v>37</v>
      </c>
      <c r="F230" s="8" t="s">
        <v>559</v>
      </c>
      <c r="G230" s="8" t="s">
        <v>39</v>
      </c>
      <c r="H230" s="8">
        <v>0.2</v>
      </c>
      <c r="I230" s="15">
        <v>33.19</v>
      </c>
      <c r="J230"/>
    </row>
    <row r="231" spans="1:10">
      <c r="A231" s="8" t="s">
        <v>560</v>
      </c>
      <c r="B231" s="8" t="s">
        <v>560</v>
      </c>
      <c r="C231" s="8" t="s">
        <v>561</v>
      </c>
      <c r="D231" s="8">
        <v>9999</v>
      </c>
      <c r="E231" s="8" t="s">
        <v>37</v>
      </c>
      <c r="F231" s="8" t="s">
        <v>562</v>
      </c>
      <c r="G231" s="8" t="s">
        <v>39</v>
      </c>
      <c r="H231" s="8">
        <v>0.2</v>
      </c>
      <c r="I231" s="15">
        <v>1.92</v>
      </c>
      <c r="J231"/>
    </row>
    <row r="232" spans="1:10">
      <c r="A232" s="8" t="s">
        <v>563</v>
      </c>
      <c r="B232" s="8" t="s">
        <v>563</v>
      </c>
      <c r="C232" s="8" t="s">
        <v>564</v>
      </c>
      <c r="D232" s="8">
        <v>9999</v>
      </c>
      <c r="E232" s="8" t="s">
        <v>37</v>
      </c>
      <c r="F232" s="8" t="s">
        <v>303</v>
      </c>
      <c r="G232" s="8" t="s">
        <v>39</v>
      </c>
      <c r="H232" s="8">
        <v>0.2</v>
      </c>
      <c r="I232" s="15">
        <v>2.2400000000000002</v>
      </c>
      <c r="J232"/>
    </row>
    <row r="233" spans="1:10">
      <c r="A233" s="10"/>
      <c r="B233" s="10"/>
      <c r="C233" s="10"/>
      <c r="D233" s="10"/>
      <c r="E233" s="10"/>
      <c r="F233" s="10"/>
      <c r="G233" s="8" t="s">
        <v>40</v>
      </c>
      <c r="H233" s="8">
        <v>0.25</v>
      </c>
      <c r="I233" s="15">
        <v>12.29</v>
      </c>
      <c r="J233"/>
    </row>
    <row r="234" spans="1:10">
      <c r="A234" s="8" t="s">
        <v>565</v>
      </c>
      <c r="B234" s="8" t="s">
        <v>565</v>
      </c>
      <c r="C234" s="8" t="s">
        <v>566</v>
      </c>
      <c r="D234" s="8">
        <v>9999</v>
      </c>
      <c r="E234" s="8" t="s">
        <v>37</v>
      </c>
      <c r="F234" s="8" t="s">
        <v>546</v>
      </c>
      <c r="G234" s="8" t="s">
        <v>39</v>
      </c>
      <c r="H234" s="8">
        <v>0.2</v>
      </c>
      <c r="I234" s="15">
        <v>1.92</v>
      </c>
      <c r="J234"/>
    </row>
    <row r="235" spans="1:10">
      <c r="A235" s="8" t="s">
        <v>567</v>
      </c>
      <c r="B235" s="8" t="s">
        <v>567</v>
      </c>
      <c r="C235" s="8" t="s">
        <v>568</v>
      </c>
      <c r="D235" s="8">
        <v>9999</v>
      </c>
      <c r="E235" s="8" t="s">
        <v>37</v>
      </c>
      <c r="F235" s="8" t="s">
        <v>569</v>
      </c>
      <c r="G235" s="8" t="s">
        <v>39</v>
      </c>
      <c r="H235" s="8">
        <v>0.2</v>
      </c>
      <c r="I235" s="15">
        <v>2.19</v>
      </c>
      <c r="J235"/>
    </row>
    <row r="236" spans="1:10">
      <c r="A236" s="10"/>
      <c r="B236" s="10"/>
      <c r="C236" s="10"/>
      <c r="D236" s="10"/>
      <c r="E236" s="10"/>
      <c r="F236" s="10"/>
      <c r="G236" s="8" t="s">
        <v>40</v>
      </c>
      <c r="H236" s="8">
        <v>0.25</v>
      </c>
      <c r="I236" s="15">
        <v>3.64</v>
      </c>
      <c r="J236"/>
    </row>
    <row r="237" spans="1:10">
      <c r="A237" s="8" t="s">
        <v>570</v>
      </c>
      <c r="B237" s="8" t="s">
        <v>570</v>
      </c>
      <c r="C237" s="8" t="s">
        <v>571</v>
      </c>
      <c r="D237" s="8">
        <v>9999</v>
      </c>
      <c r="E237" s="8" t="s">
        <v>37</v>
      </c>
      <c r="F237" s="8" t="s">
        <v>572</v>
      </c>
      <c r="G237" s="8" t="s">
        <v>39</v>
      </c>
      <c r="H237" s="8">
        <v>0.2</v>
      </c>
      <c r="I237" s="15">
        <v>7.62</v>
      </c>
      <c r="J237"/>
    </row>
    <row r="238" spans="1:10">
      <c r="A238" s="8" t="s">
        <v>573</v>
      </c>
      <c r="B238" s="8" t="s">
        <v>573</v>
      </c>
      <c r="C238" s="8" t="s">
        <v>574</v>
      </c>
      <c r="D238" s="8">
        <v>9999</v>
      </c>
      <c r="E238" s="8" t="s">
        <v>37</v>
      </c>
      <c r="F238" s="8" t="s">
        <v>572</v>
      </c>
      <c r="G238" s="8" t="s">
        <v>39</v>
      </c>
      <c r="H238" s="8">
        <v>0.2</v>
      </c>
      <c r="I238" s="15">
        <v>5.99</v>
      </c>
      <c r="J238"/>
    </row>
    <row r="239" spans="1:10">
      <c r="A239" s="8" t="s">
        <v>575</v>
      </c>
      <c r="B239" s="8" t="s">
        <v>575</v>
      </c>
      <c r="C239" s="8" t="s">
        <v>576</v>
      </c>
      <c r="D239" s="8">
        <v>9999</v>
      </c>
      <c r="E239" s="8" t="s">
        <v>37</v>
      </c>
      <c r="F239" s="8" t="s">
        <v>577</v>
      </c>
      <c r="G239" s="8" t="s">
        <v>39</v>
      </c>
      <c r="H239" s="8">
        <v>0.2</v>
      </c>
      <c r="I239" s="15">
        <v>2.2599999999999998</v>
      </c>
      <c r="J239"/>
    </row>
    <row r="240" spans="1:10">
      <c r="A240" s="8" t="s">
        <v>578</v>
      </c>
      <c r="B240" s="8" t="s">
        <v>578</v>
      </c>
      <c r="C240" s="8" t="s">
        <v>579</v>
      </c>
      <c r="D240" s="8">
        <v>9999</v>
      </c>
      <c r="E240" s="8" t="s">
        <v>37</v>
      </c>
      <c r="F240" s="8" t="s">
        <v>580</v>
      </c>
      <c r="G240" s="8" t="s">
        <v>39</v>
      </c>
      <c r="H240" s="8">
        <v>0.2</v>
      </c>
      <c r="I240" s="15">
        <v>14.6</v>
      </c>
      <c r="J240"/>
    </row>
    <row r="241" spans="1:10">
      <c r="A241" s="10"/>
      <c r="B241" s="10"/>
      <c r="C241" s="10"/>
      <c r="D241" s="10"/>
      <c r="E241" s="10"/>
      <c r="F241" s="10"/>
      <c r="G241" s="8" t="s">
        <v>40</v>
      </c>
      <c r="H241" s="8">
        <v>0.25</v>
      </c>
      <c r="I241" s="15">
        <v>0.02</v>
      </c>
      <c r="J241"/>
    </row>
    <row r="242" spans="1:10">
      <c r="A242" s="8" t="s">
        <v>581</v>
      </c>
      <c r="B242" s="8" t="s">
        <v>581</v>
      </c>
      <c r="C242" s="8" t="s">
        <v>582</v>
      </c>
      <c r="D242" s="8">
        <v>9999</v>
      </c>
      <c r="E242" s="8" t="s">
        <v>37</v>
      </c>
      <c r="F242" s="8" t="s">
        <v>583</v>
      </c>
      <c r="G242" s="8" t="s">
        <v>39</v>
      </c>
      <c r="H242" s="8">
        <v>0.2</v>
      </c>
      <c r="I242" s="15">
        <v>4.18</v>
      </c>
      <c r="J242"/>
    </row>
    <row r="243" spans="1:10">
      <c r="A243" s="8" t="s">
        <v>584</v>
      </c>
      <c r="B243" s="8" t="s">
        <v>584</v>
      </c>
      <c r="C243" s="8" t="s">
        <v>585</v>
      </c>
      <c r="D243" s="8">
        <v>9999</v>
      </c>
      <c r="E243" s="8" t="s">
        <v>37</v>
      </c>
      <c r="F243" s="8" t="s">
        <v>586</v>
      </c>
      <c r="G243" s="8" t="s">
        <v>39</v>
      </c>
      <c r="H243" s="8">
        <v>0.2</v>
      </c>
      <c r="I243" s="15">
        <v>3.7</v>
      </c>
      <c r="J243"/>
    </row>
    <row r="244" spans="1:10">
      <c r="A244" s="8" t="s">
        <v>587</v>
      </c>
      <c r="B244" s="8" t="s">
        <v>587</v>
      </c>
      <c r="C244" s="8" t="s">
        <v>588</v>
      </c>
      <c r="D244" s="8">
        <v>9999</v>
      </c>
      <c r="E244" s="8" t="s">
        <v>37</v>
      </c>
      <c r="F244" s="8" t="s">
        <v>589</v>
      </c>
      <c r="G244" s="8" t="s">
        <v>39</v>
      </c>
      <c r="H244" s="8">
        <v>0.2</v>
      </c>
      <c r="I244" s="15">
        <v>2.42</v>
      </c>
      <c r="J244"/>
    </row>
    <row r="245" spans="1:10">
      <c r="A245" s="8" t="s">
        <v>590</v>
      </c>
      <c r="B245" s="8" t="s">
        <v>590</v>
      </c>
      <c r="C245" s="8" t="s">
        <v>591</v>
      </c>
      <c r="D245" s="8">
        <v>9999</v>
      </c>
      <c r="E245" s="8" t="s">
        <v>37</v>
      </c>
      <c r="F245" s="8" t="s">
        <v>221</v>
      </c>
      <c r="G245" s="8" t="s">
        <v>39</v>
      </c>
      <c r="H245" s="8">
        <v>0.2</v>
      </c>
      <c r="I245" s="15">
        <v>2.14</v>
      </c>
      <c r="J245"/>
    </row>
    <row r="246" spans="1:10">
      <c r="A246" s="8" t="s">
        <v>592</v>
      </c>
      <c r="B246" s="8" t="s">
        <v>592</v>
      </c>
      <c r="C246" s="8" t="s">
        <v>593</v>
      </c>
      <c r="D246" s="8">
        <v>9999</v>
      </c>
      <c r="E246" s="8" t="s">
        <v>37</v>
      </c>
      <c r="F246" s="8" t="s">
        <v>594</v>
      </c>
      <c r="G246" s="8" t="s">
        <v>39</v>
      </c>
      <c r="H246" s="8">
        <v>0.2</v>
      </c>
      <c r="I246" s="15">
        <v>1.92</v>
      </c>
      <c r="J246"/>
    </row>
    <row r="247" spans="1:10">
      <c r="A247" s="8" t="s">
        <v>595</v>
      </c>
      <c r="B247" s="8" t="s">
        <v>595</v>
      </c>
      <c r="C247" s="8" t="s">
        <v>596</v>
      </c>
      <c r="D247" s="8">
        <v>9999</v>
      </c>
      <c r="E247" s="8" t="s">
        <v>37</v>
      </c>
      <c r="F247" s="8" t="s">
        <v>597</v>
      </c>
      <c r="G247" s="8" t="s">
        <v>39</v>
      </c>
      <c r="H247" s="8">
        <v>0.2</v>
      </c>
      <c r="I247" s="15">
        <v>1.92</v>
      </c>
      <c r="J247"/>
    </row>
    <row r="248" spans="1:10">
      <c r="A248" s="8" t="s">
        <v>598</v>
      </c>
      <c r="B248" s="8" t="s">
        <v>598</v>
      </c>
      <c r="C248" s="8" t="s">
        <v>599</v>
      </c>
      <c r="D248" s="8">
        <v>9999</v>
      </c>
      <c r="E248" s="8" t="s">
        <v>37</v>
      </c>
      <c r="F248" s="8" t="s">
        <v>600</v>
      </c>
      <c r="G248" s="8" t="s">
        <v>39</v>
      </c>
      <c r="H248" s="8">
        <v>0.2</v>
      </c>
      <c r="I248" s="15">
        <v>14.55</v>
      </c>
      <c r="J248"/>
    </row>
    <row r="249" spans="1:10">
      <c r="A249" s="8" t="s">
        <v>601</v>
      </c>
      <c r="B249" s="8" t="s">
        <v>601</v>
      </c>
      <c r="C249" s="8" t="s">
        <v>602</v>
      </c>
      <c r="D249" s="8">
        <v>9999</v>
      </c>
      <c r="E249" s="8" t="s">
        <v>37</v>
      </c>
      <c r="F249" s="8" t="s">
        <v>603</v>
      </c>
      <c r="G249" s="8" t="s">
        <v>39</v>
      </c>
      <c r="H249" s="8">
        <v>0.2</v>
      </c>
      <c r="I249" s="15">
        <v>1.92</v>
      </c>
      <c r="J249"/>
    </row>
    <row r="250" spans="1:10">
      <c r="A250" s="8" t="s">
        <v>604</v>
      </c>
      <c r="B250" s="8" t="s">
        <v>604</v>
      </c>
      <c r="C250" s="8" t="s">
        <v>605</v>
      </c>
      <c r="D250" s="8">
        <v>9999</v>
      </c>
      <c r="E250" s="8" t="s">
        <v>37</v>
      </c>
      <c r="F250" s="8" t="s">
        <v>606</v>
      </c>
      <c r="G250" s="8" t="s">
        <v>39</v>
      </c>
      <c r="H250" s="8">
        <v>0.2</v>
      </c>
      <c r="I250" s="15">
        <v>2.4700000000000002</v>
      </c>
      <c r="J250"/>
    </row>
    <row r="251" spans="1:10">
      <c r="A251" s="10"/>
      <c r="B251" s="10"/>
      <c r="C251" s="10"/>
      <c r="D251" s="10"/>
      <c r="E251" s="10"/>
      <c r="F251" s="10"/>
      <c r="G251" s="8" t="s">
        <v>40</v>
      </c>
      <c r="H251" s="8">
        <v>0.25</v>
      </c>
      <c r="I251" s="15">
        <v>0.14000000000000001</v>
      </c>
      <c r="J251"/>
    </row>
    <row r="252" spans="1:10">
      <c r="A252" s="8" t="s">
        <v>607</v>
      </c>
      <c r="B252" s="8" t="s">
        <v>607</v>
      </c>
      <c r="C252" s="8" t="s">
        <v>608</v>
      </c>
      <c r="D252" s="8">
        <v>9999</v>
      </c>
      <c r="E252" s="8" t="s">
        <v>37</v>
      </c>
      <c r="F252" s="8" t="s">
        <v>609</v>
      </c>
      <c r="G252" s="8" t="s">
        <v>39</v>
      </c>
      <c r="H252" s="8">
        <v>0.2</v>
      </c>
      <c r="I252" s="15">
        <v>8.44</v>
      </c>
      <c r="J252"/>
    </row>
    <row r="253" spans="1:10">
      <c r="A253" s="10"/>
      <c r="B253" s="10"/>
      <c r="C253" s="10"/>
      <c r="D253" s="10"/>
      <c r="E253" s="10"/>
      <c r="F253" s="10"/>
      <c r="G253" s="8" t="s">
        <v>40</v>
      </c>
      <c r="H253" s="8">
        <v>0.25</v>
      </c>
      <c r="I253" s="15">
        <v>2.79</v>
      </c>
      <c r="J253"/>
    </row>
    <row r="254" spans="1:10">
      <c r="A254" s="8" t="s">
        <v>610</v>
      </c>
      <c r="B254" s="8" t="s">
        <v>610</v>
      </c>
      <c r="C254" s="8" t="s">
        <v>611</v>
      </c>
      <c r="D254" s="8">
        <v>9999</v>
      </c>
      <c r="E254" s="8" t="s">
        <v>37</v>
      </c>
      <c r="F254" s="8" t="s">
        <v>612</v>
      </c>
      <c r="G254" s="8" t="s">
        <v>39</v>
      </c>
      <c r="H254" s="8">
        <v>0.2</v>
      </c>
      <c r="I254" s="15">
        <v>1.92</v>
      </c>
      <c r="J254"/>
    </row>
    <row r="255" spans="1:10">
      <c r="A255" s="8" t="s">
        <v>613</v>
      </c>
      <c r="B255" s="8" t="s">
        <v>613</v>
      </c>
      <c r="C255" s="8" t="s">
        <v>614</v>
      </c>
      <c r="D255" s="8">
        <v>9999</v>
      </c>
      <c r="E255" s="8" t="s">
        <v>37</v>
      </c>
      <c r="F255" s="8" t="s">
        <v>413</v>
      </c>
      <c r="G255" s="8" t="s">
        <v>39</v>
      </c>
      <c r="H255" s="8">
        <v>0.2</v>
      </c>
      <c r="I255" s="15">
        <v>43.66</v>
      </c>
      <c r="J255"/>
    </row>
    <row r="256" spans="1:10">
      <c r="A256" s="8" t="s">
        <v>615</v>
      </c>
      <c r="B256" s="8" t="s">
        <v>615</v>
      </c>
      <c r="C256" s="8" t="s">
        <v>616</v>
      </c>
      <c r="D256" s="8">
        <v>9999</v>
      </c>
      <c r="E256" s="8" t="s">
        <v>37</v>
      </c>
      <c r="F256" s="8" t="s">
        <v>617</v>
      </c>
      <c r="G256" s="8" t="s">
        <v>39</v>
      </c>
      <c r="H256" s="8">
        <v>0.2</v>
      </c>
      <c r="I256" s="15">
        <v>2.41</v>
      </c>
      <c r="J256"/>
    </row>
    <row r="257" spans="1:10">
      <c r="A257" s="8" t="s">
        <v>618</v>
      </c>
      <c r="B257" s="8" t="s">
        <v>618</v>
      </c>
      <c r="C257" s="8" t="s">
        <v>619</v>
      </c>
      <c r="D257" s="8">
        <v>9999</v>
      </c>
      <c r="E257" s="8" t="s">
        <v>37</v>
      </c>
      <c r="F257" s="8" t="s">
        <v>277</v>
      </c>
      <c r="G257" s="8" t="s">
        <v>39</v>
      </c>
      <c r="H257" s="8">
        <v>0.2</v>
      </c>
      <c r="I257" s="15">
        <v>17.829999999999998</v>
      </c>
      <c r="J257"/>
    </row>
    <row r="258" spans="1:10">
      <c r="A258" s="10"/>
      <c r="B258" s="10"/>
      <c r="C258" s="10"/>
      <c r="D258" s="10"/>
      <c r="E258" s="10"/>
      <c r="F258" s="10"/>
      <c r="G258" s="8" t="s">
        <v>40</v>
      </c>
      <c r="H258" s="8">
        <v>0.25</v>
      </c>
      <c r="I258" s="15">
        <v>0.05</v>
      </c>
      <c r="J258"/>
    </row>
    <row r="259" spans="1:10">
      <c r="A259" s="8" t="s">
        <v>620</v>
      </c>
      <c r="B259" s="8" t="s">
        <v>620</v>
      </c>
      <c r="C259" s="8" t="s">
        <v>621</v>
      </c>
      <c r="D259" s="8">
        <v>9999</v>
      </c>
      <c r="E259" s="8" t="s">
        <v>37</v>
      </c>
      <c r="F259" s="8" t="s">
        <v>622</v>
      </c>
      <c r="G259" s="8" t="s">
        <v>39</v>
      </c>
      <c r="H259" s="8">
        <v>0.2</v>
      </c>
      <c r="I259" s="15">
        <v>5.71</v>
      </c>
      <c r="J259"/>
    </row>
    <row r="260" spans="1:10">
      <c r="A260" s="10"/>
      <c r="B260" s="10"/>
      <c r="C260" s="10"/>
      <c r="D260" s="10"/>
      <c r="E260" s="10"/>
      <c r="F260" s="10"/>
      <c r="G260" s="8" t="s">
        <v>40</v>
      </c>
      <c r="H260" s="8">
        <v>0.25</v>
      </c>
      <c r="I260" s="15">
        <v>1.65</v>
      </c>
      <c r="J260"/>
    </row>
    <row r="261" spans="1:10">
      <c r="A261" s="8" t="s">
        <v>623</v>
      </c>
      <c r="B261" s="8" t="s">
        <v>623</v>
      </c>
      <c r="C261" s="8" t="s">
        <v>624</v>
      </c>
      <c r="D261" s="8">
        <v>9999</v>
      </c>
      <c r="E261" s="8" t="s">
        <v>37</v>
      </c>
      <c r="F261" s="8" t="s">
        <v>625</v>
      </c>
      <c r="G261" s="8" t="s">
        <v>39</v>
      </c>
      <c r="H261" s="8">
        <v>0.2</v>
      </c>
      <c r="I261" s="15">
        <v>7.21</v>
      </c>
      <c r="J261"/>
    </row>
    <row r="262" spans="1:10">
      <c r="A262" s="8" t="s">
        <v>626</v>
      </c>
      <c r="B262" s="8" t="s">
        <v>626</v>
      </c>
      <c r="C262" s="8" t="s">
        <v>627</v>
      </c>
      <c r="D262" s="8">
        <v>9999</v>
      </c>
      <c r="E262" s="8" t="s">
        <v>37</v>
      </c>
      <c r="F262" s="8" t="s">
        <v>628</v>
      </c>
      <c r="G262" s="8" t="s">
        <v>39</v>
      </c>
      <c r="H262" s="8">
        <v>0.2</v>
      </c>
      <c r="I262" s="15">
        <v>1.92</v>
      </c>
      <c r="J262"/>
    </row>
    <row r="263" spans="1:10">
      <c r="A263" s="8" t="s">
        <v>629</v>
      </c>
      <c r="B263" s="8" t="s">
        <v>629</v>
      </c>
      <c r="C263" s="8" t="s">
        <v>630</v>
      </c>
      <c r="D263" s="8">
        <v>9999</v>
      </c>
      <c r="E263" s="8" t="s">
        <v>37</v>
      </c>
      <c r="F263" s="8" t="s">
        <v>631</v>
      </c>
      <c r="G263" s="8" t="s">
        <v>39</v>
      </c>
      <c r="H263" s="8">
        <v>0.2</v>
      </c>
      <c r="I263" s="15">
        <v>3.08</v>
      </c>
      <c r="J263"/>
    </row>
    <row r="264" spans="1:10">
      <c r="A264" s="10"/>
      <c r="B264" s="10"/>
      <c r="C264" s="10"/>
      <c r="D264" s="10"/>
      <c r="E264" s="10"/>
      <c r="F264" s="10"/>
      <c r="G264" s="8" t="s">
        <v>40</v>
      </c>
      <c r="H264" s="8">
        <v>0.25</v>
      </c>
      <c r="I264" s="15">
        <v>0.12</v>
      </c>
      <c r="J264"/>
    </row>
    <row r="265" spans="1:10">
      <c r="A265" s="8" t="s">
        <v>632</v>
      </c>
      <c r="B265" s="8" t="s">
        <v>632</v>
      </c>
      <c r="C265" s="8" t="s">
        <v>633</v>
      </c>
      <c r="D265" s="8">
        <v>9999</v>
      </c>
      <c r="E265" s="8" t="s">
        <v>37</v>
      </c>
      <c r="F265" s="8" t="s">
        <v>634</v>
      </c>
      <c r="G265" s="8" t="s">
        <v>39</v>
      </c>
      <c r="H265" s="8">
        <v>0.2</v>
      </c>
      <c r="I265" s="15">
        <v>2.44</v>
      </c>
      <c r="J265"/>
    </row>
    <row r="266" spans="1:10">
      <c r="A266" s="8" t="s">
        <v>635</v>
      </c>
      <c r="B266" s="8" t="s">
        <v>635</v>
      </c>
      <c r="C266" s="8" t="s">
        <v>636</v>
      </c>
      <c r="D266" s="8">
        <v>9999</v>
      </c>
      <c r="E266" s="8" t="s">
        <v>37</v>
      </c>
      <c r="F266" s="8" t="s">
        <v>637</v>
      </c>
      <c r="G266" s="8" t="s">
        <v>39</v>
      </c>
      <c r="H266" s="8">
        <v>0.2</v>
      </c>
      <c r="I266" s="15">
        <v>11.52</v>
      </c>
      <c r="J266"/>
    </row>
    <row r="267" spans="1:10">
      <c r="A267" s="10"/>
      <c r="B267" s="10"/>
      <c r="C267" s="10"/>
      <c r="D267" s="10"/>
      <c r="E267" s="10"/>
      <c r="F267" s="10"/>
      <c r="G267" s="8" t="s">
        <v>40</v>
      </c>
      <c r="H267" s="8">
        <v>0.25</v>
      </c>
      <c r="I267" s="15">
        <v>40.57</v>
      </c>
      <c r="J267"/>
    </row>
    <row r="268" spans="1:10">
      <c r="A268" s="8" t="s">
        <v>638</v>
      </c>
      <c r="B268" s="8" t="s">
        <v>638</v>
      </c>
      <c r="C268" s="8" t="s">
        <v>639</v>
      </c>
      <c r="D268" s="8">
        <v>9999</v>
      </c>
      <c r="E268" s="8" t="s">
        <v>37</v>
      </c>
      <c r="F268" s="8" t="s">
        <v>61</v>
      </c>
      <c r="G268" s="8" t="s">
        <v>39</v>
      </c>
      <c r="H268" s="8">
        <v>0.2</v>
      </c>
      <c r="I268" s="15">
        <v>21.1</v>
      </c>
      <c r="J268"/>
    </row>
    <row r="269" spans="1:10">
      <c r="A269" s="10"/>
      <c r="B269" s="10"/>
      <c r="C269" s="10"/>
      <c r="D269" s="10"/>
      <c r="E269" s="10"/>
      <c r="F269" s="10"/>
      <c r="G269" s="8" t="s">
        <v>40</v>
      </c>
      <c r="H269" s="8">
        <v>0.25</v>
      </c>
      <c r="I269" s="15">
        <v>14.72</v>
      </c>
      <c r="J269"/>
    </row>
    <row r="270" spans="1:10">
      <c r="A270" s="8" t="s">
        <v>640</v>
      </c>
      <c r="B270" s="8" t="s">
        <v>640</v>
      </c>
      <c r="C270" s="8" t="s">
        <v>641</v>
      </c>
      <c r="D270" s="8">
        <v>9999</v>
      </c>
      <c r="E270" s="8" t="s">
        <v>37</v>
      </c>
      <c r="F270" s="8" t="s">
        <v>642</v>
      </c>
      <c r="G270" s="8" t="s">
        <v>39</v>
      </c>
      <c r="H270" s="8">
        <v>0.2</v>
      </c>
      <c r="I270" s="15">
        <v>28.42</v>
      </c>
      <c r="J270"/>
    </row>
    <row r="271" spans="1:10">
      <c r="A271" s="10"/>
      <c r="B271" s="10"/>
      <c r="C271" s="10"/>
      <c r="D271" s="10"/>
      <c r="E271" s="10"/>
      <c r="F271" s="10"/>
      <c r="G271" s="8" t="s">
        <v>40</v>
      </c>
      <c r="H271" s="8">
        <v>0.25</v>
      </c>
      <c r="I271" s="15">
        <v>4.1900000000000004</v>
      </c>
      <c r="J271"/>
    </row>
    <row r="272" spans="1:10">
      <c r="A272" s="8" t="s">
        <v>643</v>
      </c>
      <c r="B272" s="8" t="s">
        <v>643</v>
      </c>
      <c r="C272" s="8" t="s">
        <v>644</v>
      </c>
      <c r="D272" s="8">
        <v>9999</v>
      </c>
      <c r="E272" s="8" t="s">
        <v>37</v>
      </c>
      <c r="F272" s="8" t="s">
        <v>645</v>
      </c>
      <c r="G272" s="8" t="s">
        <v>39</v>
      </c>
      <c r="H272" s="8">
        <v>0.2</v>
      </c>
      <c r="I272" s="15">
        <v>2.1</v>
      </c>
      <c r="J272"/>
    </row>
    <row r="273" spans="1:10">
      <c r="A273" s="8" t="s">
        <v>646</v>
      </c>
      <c r="B273" s="8" t="s">
        <v>646</v>
      </c>
      <c r="C273" s="8" t="s">
        <v>647</v>
      </c>
      <c r="D273" s="8">
        <v>9999</v>
      </c>
      <c r="E273" s="8" t="s">
        <v>37</v>
      </c>
      <c r="F273" s="8" t="s">
        <v>648</v>
      </c>
      <c r="G273" s="8" t="s">
        <v>39</v>
      </c>
      <c r="H273" s="8">
        <v>0.2</v>
      </c>
      <c r="I273" s="15">
        <v>1.93</v>
      </c>
      <c r="J273"/>
    </row>
    <row r="274" spans="1:10">
      <c r="A274" s="8" t="s">
        <v>649</v>
      </c>
      <c r="B274" s="8" t="s">
        <v>649</v>
      </c>
      <c r="C274" s="8" t="s">
        <v>650</v>
      </c>
      <c r="D274" s="8">
        <v>9999</v>
      </c>
      <c r="E274" s="8" t="s">
        <v>37</v>
      </c>
      <c r="F274" s="8" t="s">
        <v>651</v>
      </c>
      <c r="G274" s="8" t="s">
        <v>39</v>
      </c>
      <c r="H274" s="8">
        <v>0.2</v>
      </c>
      <c r="I274" s="15">
        <v>1.93</v>
      </c>
      <c r="J274"/>
    </row>
    <row r="275" spans="1:10">
      <c r="A275" s="8" t="s">
        <v>652</v>
      </c>
      <c r="B275" s="8" t="s">
        <v>652</v>
      </c>
      <c r="C275" s="8" t="s">
        <v>653</v>
      </c>
      <c r="D275" s="8">
        <v>9999</v>
      </c>
      <c r="E275" s="8" t="s">
        <v>37</v>
      </c>
      <c r="F275" s="8" t="s">
        <v>654</v>
      </c>
      <c r="G275" s="8" t="s">
        <v>39</v>
      </c>
      <c r="H275" s="8">
        <v>0.2</v>
      </c>
      <c r="I275" s="15">
        <v>2.86</v>
      </c>
      <c r="J275"/>
    </row>
    <row r="276" spans="1:10">
      <c r="A276" s="8" t="s">
        <v>655</v>
      </c>
      <c r="B276" s="8" t="s">
        <v>655</v>
      </c>
      <c r="C276" s="8" t="s">
        <v>656</v>
      </c>
      <c r="D276" s="8">
        <v>9999</v>
      </c>
      <c r="E276" s="8" t="s">
        <v>37</v>
      </c>
      <c r="F276" s="8" t="s">
        <v>657</v>
      </c>
      <c r="G276" s="8" t="s">
        <v>39</v>
      </c>
      <c r="H276" s="8">
        <v>0.2</v>
      </c>
      <c r="I276" s="15">
        <v>4.28</v>
      </c>
      <c r="J276"/>
    </row>
    <row r="277" spans="1:10">
      <c r="A277" s="10"/>
      <c r="B277" s="10"/>
      <c r="C277" s="10"/>
      <c r="D277" s="10"/>
      <c r="E277" s="10"/>
      <c r="F277" s="10"/>
      <c r="G277" s="8" t="s">
        <v>40</v>
      </c>
      <c r="H277" s="8">
        <v>0.25</v>
      </c>
      <c r="I277" s="15">
        <v>0.51</v>
      </c>
      <c r="J277"/>
    </row>
    <row r="278" spans="1:10">
      <c r="A278" s="8" t="s">
        <v>658</v>
      </c>
      <c r="B278" s="8" t="s">
        <v>658</v>
      </c>
      <c r="C278" s="8" t="s">
        <v>659</v>
      </c>
      <c r="D278" s="8">
        <v>9999</v>
      </c>
      <c r="E278" s="8" t="s">
        <v>37</v>
      </c>
      <c r="F278" s="8" t="s">
        <v>185</v>
      </c>
      <c r="G278" s="8" t="s">
        <v>39</v>
      </c>
      <c r="H278" s="8">
        <v>0.2</v>
      </c>
      <c r="I278" s="15">
        <v>2.5</v>
      </c>
      <c r="J278"/>
    </row>
    <row r="279" spans="1:10">
      <c r="A279" s="10"/>
      <c r="B279" s="10"/>
      <c r="C279" s="10"/>
      <c r="D279" s="10"/>
      <c r="E279" s="10"/>
      <c r="F279" s="10"/>
      <c r="G279" s="8" t="s">
        <v>40</v>
      </c>
      <c r="H279" s="8">
        <v>0.25</v>
      </c>
      <c r="I279" s="15">
        <v>0.28000000000000003</v>
      </c>
      <c r="J279"/>
    </row>
    <row r="280" spans="1:10">
      <c r="A280" s="8" t="s">
        <v>660</v>
      </c>
      <c r="B280" s="8" t="s">
        <v>660</v>
      </c>
      <c r="C280" s="8" t="s">
        <v>661</v>
      </c>
      <c r="D280" s="8">
        <v>9999</v>
      </c>
      <c r="E280" s="8" t="s">
        <v>37</v>
      </c>
      <c r="F280" s="8" t="s">
        <v>662</v>
      </c>
      <c r="G280" s="8" t="s">
        <v>39</v>
      </c>
      <c r="H280" s="8">
        <v>0.2</v>
      </c>
      <c r="I280" s="15">
        <v>8.94</v>
      </c>
      <c r="J280"/>
    </row>
    <row r="281" spans="1:10">
      <c r="A281" s="10"/>
      <c r="B281" s="10"/>
      <c r="C281" s="10"/>
      <c r="D281" s="10"/>
      <c r="E281" s="10"/>
      <c r="F281" s="10"/>
      <c r="G281" s="8" t="s">
        <v>40</v>
      </c>
      <c r="H281" s="8">
        <v>0.25</v>
      </c>
      <c r="I281" s="15">
        <v>0.02</v>
      </c>
      <c r="J281"/>
    </row>
    <row r="282" spans="1:10">
      <c r="A282" s="8" t="s">
        <v>663</v>
      </c>
      <c r="B282" s="8" t="s">
        <v>663</v>
      </c>
      <c r="C282" s="8" t="s">
        <v>664</v>
      </c>
      <c r="D282" s="8">
        <v>9999</v>
      </c>
      <c r="E282" s="8" t="s">
        <v>37</v>
      </c>
      <c r="F282" s="8" t="s">
        <v>665</v>
      </c>
      <c r="G282" s="8" t="s">
        <v>39</v>
      </c>
      <c r="H282" s="8">
        <v>0.2</v>
      </c>
      <c r="I282" s="15">
        <v>17</v>
      </c>
      <c r="J282"/>
    </row>
    <row r="283" spans="1:10">
      <c r="A283" s="8" t="s">
        <v>666</v>
      </c>
      <c r="B283" s="8" t="s">
        <v>666</v>
      </c>
      <c r="C283" s="8" t="s">
        <v>667</v>
      </c>
      <c r="D283" s="8">
        <v>9999</v>
      </c>
      <c r="E283" s="8" t="s">
        <v>37</v>
      </c>
      <c r="F283" s="8" t="s">
        <v>335</v>
      </c>
      <c r="G283" s="8" t="s">
        <v>39</v>
      </c>
      <c r="H283" s="8">
        <v>0.2</v>
      </c>
      <c r="I283" s="15">
        <v>2.3199999999999998</v>
      </c>
      <c r="J283"/>
    </row>
    <row r="284" spans="1:10">
      <c r="A284" s="8" t="s">
        <v>668</v>
      </c>
      <c r="B284" s="8" t="s">
        <v>668</v>
      </c>
      <c r="C284" s="8" t="s">
        <v>669</v>
      </c>
      <c r="D284" s="8">
        <v>9999</v>
      </c>
      <c r="E284" s="8" t="s">
        <v>37</v>
      </c>
      <c r="F284" s="8" t="s">
        <v>670</v>
      </c>
      <c r="G284" s="8" t="s">
        <v>39</v>
      </c>
      <c r="H284" s="8">
        <v>0.2</v>
      </c>
      <c r="I284" s="15">
        <v>3.73</v>
      </c>
      <c r="J284"/>
    </row>
    <row r="285" spans="1:10">
      <c r="A285" s="8" t="s">
        <v>671</v>
      </c>
      <c r="B285" s="8" t="s">
        <v>671</v>
      </c>
      <c r="C285" s="8" t="s">
        <v>672</v>
      </c>
      <c r="D285" s="8">
        <v>9999</v>
      </c>
      <c r="E285" s="8" t="s">
        <v>37</v>
      </c>
      <c r="F285" s="8" t="s">
        <v>673</v>
      </c>
      <c r="G285" s="8" t="s">
        <v>39</v>
      </c>
      <c r="H285" s="8">
        <v>0.2</v>
      </c>
      <c r="I285" s="15">
        <v>2.21</v>
      </c>
      <c r="J285"/>
    </row>
    <row r="286" spans="1:10">
      <c r="A286" s="8" t="s">
        <v>674</v>
      </c>
      <c r="B286" s="8" t="s">
        <v>674</v>
      </c>
      <c r="C286" s="8" t="s">
        <v>675</v>
      </c>
      <c r="D286" s="8">
        <v>9999</v>
      </c>
      <c r="E286" s="8" t="s">
        <v>37</v>
      </c>
      <c r="F286" s="8" t="s">
        <v>676</v>
      </c>
      <c r="G286" s="8" t="s">
        <v>39</v>
      </c>
      <c r="H286" s="8">
        <v>0.2</v>
      </c>
      <c r="I286" s="15">
        <v>1.92</v>
      </c>
      <c r="J286"/>
    </row>
    <row r="287" spans="1:10">
      <c r="A287" s="8" t="s">
        <v>677</v>
      </c>
      <c r="B287" s="8" t="s">
        <v>677</v>
      </c>
      <c r="C287" s="8" t="s">
        <v>678</v>
      </c>
      <c r="D287" s="8">
        <v>9999</v>
      </c>
      <c r="E287" s="8" t="s">
        <v>37</v>
      </c>
      <c r="F287" s="8" t="s">
        <v>679</v>
      </c>
      <c r="G287" s="8" t="s">
        <v>39</v>
      </c>
      <c r="H287" s="8">
        <v>0.2</v>
      </c>
      <c r="I287" s="15">
        <v>12.62</v>
      </c>
      <c r="J287"/>
    </row>
    <row r="288" spans="1:10">
      <c r="A288" s="10"/>
      <c r="B288" s="10"/>
      <c r="C288" s="10"/>
      <c r="D288" s="10"/>
      <c r="E288" s="10"/>
      <c r="F288" s="10"/>
      <c r="G288" s="8" t="s">
        <v>40</v>
      </c>
      <c r="H288" s="8">
        <v>0.25</v>
      </c>
      <c r="I288" s="15">
        <v>1.51</v>
      </c>
      <c r="J288"/>
    </row>
    <row r="289" spans="1:10">
      <c r="A289" s="8" t="s">
        <v>680</v>
      </c>
      <c r="B289" s="8" t="s">
        <v>680</v>
      </c>
      <c r="C289" s="8" t="s">
        <v>681</v>
      </c>
      <c r="D289" s="8">
        <v>9999</v>
      </c>
      <c r="E289" s="8" t="s">
        <v>37</v>
      </c>
      <c r="F289" s="8" t="s">
        <v>682</v>
      </c>
      <c r="G289" s="8" t="s">
        <v>39</v>
      </c>
      <c r="H289" s="8">
        <v>0.2</v>
      </c>
      <c r="I289" s="15">
        <v>30.7</v>
      </c>
      <c r="J289"/>
    </row>
    <row r="290" spans="1:10">
      <c r="A290" s="10"/>
      <c r="B290" s="10"/>
      <c r="C290" s="10"/>
      <c r="D290" s="10"/>
      <c r="E290" s="10"/>
      <c r="F290" s="10"/>
      <c r="G290" s="8" t="s">
        <v>40</v>
      </c>
      <c r="H290" s="8">
        <v>0.25</v>
      </c>
      <c r="I290" s="15">
        <v>0.03</v>
      </c>
      <c r="J290"/>
    </row>
    <row r="291" spans="1:10">
      <c r="A291" s="8" t="s">
        <v>683</v>
      </c>
      <c r="B291" s="8" t="s">
        <v>683</v>
      </c>
      <c r="C291" s="8" t="s">
        <v>684</v>
      </c>
      <c r="D291" s="8">
        <v>9999</v>
      </c>
      <c r="E291" s="8" t="s">
        <v>37</v>
      </c>
      <c r="F291" s="8" t="s">
        <v>685</v>
      </c>
      <c r="G291" s="8" t="s">
        <v>39</v>
      </c>
      <c r="H291" s="8">
        <v>0.2</v>
      </c>
      <c r="I291" s="15">
        <v>5.85</v>
      </c>
      <c r="J291"/>
    </row>
    <row r="292" spans="1:10">
      <c r="A292" s="10"/>
      <c r="B292" s="10"/>
      <c r="C292" s="10"/>
      <c r="D292" s="10"/>
      <c r="E292" s="10"/>
      <c r="F292" s="10"/>
      <c r="G292" s="8" t="s">
        <v>40</v>
      </c>
      <c r="H292" s="8">
        <v>0.25</v>
      </c>
      <c r="I292" s="15">
        <v>0.08</v>
      </c>
      <c r="J292"/>
    </row>
    <row r="293" spans="1:10">
      <c r="A293" s="8" t="s">
        <v>686</v>
      </c>
      <c r="B293" s="8" t="s">
        <v>686</v>
      </c>
      <c r="C293" s="8" t="s">
        <v>687</v>
      </c>
      <c r="D293" s="8">
        <v>9999</v>
      </c>
      <c r="E293" s="8" t="s">
        <v>37</v>
      </c>
      <c r="F293" s="8" t="s">
        <v>215</v>
      </c>
      <c r="G293" s="8" t="s">
        <v>39</v>
      </c>
      <c r="H293" s="8">
        <v>0.2</v>
      </c>
      <c r="I293" s="15">
        <v>3.63</v>
      </c>
      <c r="J293"/>
    </row>
    <row r="294" spans="1:10">
      <c r="A294" s="8" t="s">
        <v>688</v>
      </c>
      <c r="B294" s="8" t="s">
        <v>688</v>
      </c>
      <c r="C294" s="8" t="s">
        <v>689</v>
      </c>
      <c r="D294" s="8">
        <v>9999</v>
      </c>
      <c r="E294" s="8" t="s">
        <v>37</v>
      </c>
      <c r="F294" s="8" t="s">
        <v>690</v>
      </c>
      <c r="G294" s="8" t="s">
        <v>39</v>
      </c>
      <c r="H294" s="8">
        <v>0.2</v>
      </c>
      <c r="I294" s="15">
        <v>3.9</v>
      </c>
      <c r="J294"/>
    </row>
    <row r="295" spans="1:10">
      <c r="A295" s="10"/>
      <c r="B295" s="10"/>
      <c r="C295" s="10"/>
      <c r="D295" s="10"/>
      <c r="E295" s="10"/>
      <c r="F295" s="10"/>
      <c r="G295" s="8" t="s">
        <v>40</v>
      </c>
      <c r="H295" s="8">
        <v>0.25</v>
      </c>
      <c r="I295" s="15">
        <v>0.13</v>
      </c>
      <c r="J295"/>
    </row>
    <row r="296" spans="1:10">
      <c r="A296" s="8" t="s">
        <v>691</v>
      </c>
      <c r="B296" s="8" t="s">
        <v>691</v>
      </c>
      <c r="C296" s="8" t="s">
        <v>692</v>
      </c>
      <c r="D296" s="8">
        <v>9999</v>
      </c>
      <c r="E296" s="8" t="s">
        <v>37</v>
      </c>
      <c r="F296" s="8" t="s">
        <v>693</v>
      </c>
      <c r="G296" s="8" t="s">
        <v>39</v>
      </c>
      <c r="H296" s="8">
        <v>0.2</v>
      </c>
      <c r="I296" s="15">
        <v>3.39</v>
      </c>
      <c r="J296"/>
    </row>
    <row r="297" spans="1:10">
      <c r="A297" s="10"/>
      <c r="B297" s="10"/>
      <c r="C297" s="10"/>
      <c r="D297" s="10"/>
      <c r="E297" s="10"/>
      <c r="F297" s="10"/>
      <c r="G297" s="8" t="s">
        <v>40</v>
      </c>
      <c r="H297" s="8">
        <v>0.25</v>
      </c>
      <c r="I297" s="15">
        <v>0.05</v>
      </c>
      <c r="J297"/>
    </row>
    <row r="298" spans="1:10">
      <c r="A298" s="8" t="s">
        <v>694</v>
      </c>
      <c r="B298" s="8" t="s">
        <v>694</v>
      </c>
      <c r="C298" s="8" t="s">
        <v>695</v>
      </c>
      <c r="D298" s="8">
        <v>9999</v>
      </c>
      <c r="E298" s="8" t="s">
        <v>37</v>
      </c>
      <c r="F298" s="8" t="s">
        <v>696</v>
      </c>
      <c r="G298" s="8" t="s">
        <v>39</v>
      </c>
      <c r="H298" s="8">
        <v>0.2</v>
      </c>
      <c r="I298" s="15">
        <v>2.1</v>
      </c>
      <c r="J298"/>
    </row>
    <row r="299" spans="1:10">
      <c r="A299" s="8" t="s">
        <v>697</v>
      </c>
      <c r="B299" s="8" t="s">
        <v>697</v>
      </c>
      <c r="C299" s="8" t="s">
        <v>698</v>
      </c>
      <c r="D299" s="8">
        <v>9999</v>
      </c>
      <c r="E299" s="8" t="s">
        <v>37</v>
      </c>
      <c r="F299" s="8" t="s">
        <v>699</v>
      </c>
      <c r="G299" s="8" t="s">
        <v>39</v>
      </c>
      <c r="H299" s="8">
        <v>0.2</v>
      </c>
      <c r="I299" s="15">
        <v>4.08</v>
      </c>
      <c r="J299"/>
    </row>
    <row r="300" spans="1:10">
      <c r="A300" s="8" t="s">
        <v>700</v>
      </c>
      <c r="B300" s="8" t="s">
        <v>700</v>
      </c>
      <c r="C300" s="8" t="s">
        <v>701</v>
      </c>
      <c r="D300" s="8">
        <v>9999</v>
      </c>
      <c r="E300" s="8" t="s">
        <v>37</v>
      </c>
      <c r="F300" s="8" t="s">
        <v>702</v>
      </c>
      <c r="G300" s="8" t="s">
        <v>39</v>
      </c>
      <c r="H300" s="8">
        <v>0.2</v>
      </c>
      <c r="I300" s="15">
        <v>2.89</v>
      </c>
      <c r="J300"/>
    </row>
    <row r="301" spans="1:10">
      <c r="A301" s="8" t="s">
        <v>703</v>
      </c>
      <c r="B301" s="8" t="s">
        <v>703</v>
      </c>
      <c r="C301" s="8" t="s">
        <v>704</v>
      </c>
      <c r="D301" s="8">
        <v>9999</v>
      </c>
      <c r="E301" s="8" t="s">
        <v>37</v>
      </c>
      <c r="F301" s="8" t="s">
        <v>705</v>
      </c>
      <c r="G301" s="8" t="s">
        <v>39</v>
      </c>
      <c r="H301" s="8">
        <v>0.2</v>
      </c>
      <c r="I301" s="15">
        <v>121.97</v>
      </c>
      <c r="J301"/>
    </row>
    <row r="302" spans="1:10">
      <c r="A302" s="10"/>
      <c r="B302" s="10"/>
      <c r="C302" s="10"/>
      <c r="D302" s="10"/>
      <c r="E302" s="10"/>
      <c r="F302" s="10"/>
      <c r="G302" s="8" t="s">
        <v>40</v>
      </c>
      <c r="H302" s="8">
        <v>0.25</v>
      </c>
      <c r="I302" s="15">
        <v>20.3</v>
      </c>
      <c r="J302"/>
    </row>
    <row r="303" spans="1:10">
      <c r="A303" s="8" t="s">
        <v>706</v>
      </c>
      <c r="B303" s="8" t="s">
        <v>706</v>
      </c>
      <c r="C303" s="8" t="s">
        <v>707</v>
      </c>
      <c r="D303" s="8">
        <v>9999</v>
      </c>
      <c r="E303" s="8" t="s">
        <v>37</v>
      </c>
      <c r="F303" s="8" t="s">
        <v>708</v>
      </c>
      <c r="G303" s="8" t="s">
        <v>39</v>
      </c>
      <c r="H303" s="8">
        <v>0.2</v>
      </c>
      <c r="I303" s="15">
        <v>2.0299999999999998</v>
      </c>
      <c r="J303"/>
    </row>
    <row r="304" spans="1:10">
      <c r="A304" s="8" t="s">
        <v>709</v>
      </c>
      <c r="B304" s="8" t="s">
        <v>709</v>
      </c>
      <c r="C304" s="8" t="s">
        <v>710</v>
      </c>
      <c r="D304" s="8">
        <v>9999</v>
      </c>
      <c r="E304" s="8" t="s">
        <v>37</v>
      </c>
      <c r="F304" s="8" t="s">
        <v>711</v>
      </c>
      <c r="G304" s="8" t="s">
        <v>39</v>
      </c>
      <c r="H304" s="8">
        <v>0.2</v>
      </c>
      <c r="I304" s="15">
        <v>2.44</v>
      </c>
      <c r="J304"/>
    </row>
    <row r="305" spans="1:10">
      <c r="A305" s="10"/>
      <c r="B305" s="10"/>
      <c r="C305" s="10"/>
      <c r="D305" s="10"/>
      <c r="E305" s="10"/>
      <c r="F305" s="10"/>
      <c r="G305" s="8" t="s">
        <v>40</v>
      </c>
      <c r="H305" s="8">
        <v>0.25</v>
      </c>
      <c r="I305" s="15">
        <v>14.98</v>
      </c>
      <c r="J305"/>
    </row>
    <row r="306" spans="1:10">
      <c r="A306" s="8" t="s">
        <v>712</v>
      </c>
      <c r="B306" s="8" t="s">
        <v>712</v>
      </c>
      <c r="C306" s="8" t="s">
        <v>713</v>
      </c>
      <c r="D306" s="8">
        <v>9999</v>
      </c>
      <c r="E306" s="8" t="s">
        <v>37</v>
      </c>
      <c r="F306" s="8" t="s">
        <v>714</v>
      </c>
      <c r="G306" s="8" t="s">
        <v>39</v>
      </c>
      <c r="H306" s="8">
        <v>0.2</v>
      </c>
      <c r="I306" s="15">
        <v>2.69</v>
      </c>
      <c r="J306"/>
    </row>
    <row r="307" spans="1:10">
      <c r="A307" s="8" t="s">
        <v>715</v>
      </c>
      <c r="B307" s="8" t="s">
        <v>715</v>
      </c>
      <c r="C307" s="8" t="s">
        <v>716</v>
      </c>
      <c r="D307" s="8">
        <v>9999</v>
      </c>
      <c r="E307" s="8" t="s">
        <v>37</v>
      </c>
      <c r="F307" s="8" t="s">
        <v>717</v>
      </c>
      <c r="G307" s="8" t="s">
        <v>39</v>
      </c>
      <c r="H307" s="8">
        <v>0.2</v>
      </c>
      <c r="I307" s="15">
        <v>1.92</v>
      </c>
      <c r="J307"/>
    </row>
    <row r="308" spans="1:10">
      <c r="A308" s="8" t="s">
        <v>718</v>
      </c>
      <c r="B308" s="8" t="s">
        <v>718</v>
      </c>
      <c r="C308" s="8" t="s">
        <v>719</v>
      </c>
      <c r="D308" s="8">
        <v>9999</v>
      </c>
      <c r="E308" s="8" t="s">
        <v>37</v>
      </c>
      <c r="F308" s="8" t="s">
        <v>720</v>
      </c>
      <c r="G308" s="8" t="s">
        <v>39</v>
      </c>
      <c r="H308" s="8">
        <v>0.2</v>
      </c>
      <c r="I308" s="15">
        <v>2.0499999999999998</v>
      </c>
      <c r="J308"/>
    </row>
    <row r="309" spans="1:10">
      <c r="A309" s="8" t="s">
        <v>721</v>
      </c>
      <c r="B309" s="8" t="s">
        <v>721</v>
      </c>
      <c r="C309" s="8" t="s">
        <v>722</v>
      </c>
      <c r="D309" s="8">
        <v>9999</v>
      </c>
      <c r="E309" s="8" t="s">
        <v>37</v>
      </c>
      <c r="F309" s="8" t="s">
        <v>723</v>
      </c>
      <c r="G309" s="8" t="s">
        <v>39</v>
      </c>
      <c r="H309" s="8">
        <v>0.2</v>
      </c>
      <c r="I309" s="15">
        <v>2.74</v>
      </c>
      <c r="J309"/>
    </row>
    <row r="310" spans="1:10">
      <c r="A310" s="8" t="s">
        <v>724</v>
      </c>
      <c r="B310" s="8" t="s">
        <v>724</v>
      </c>
      <c r="C310" s="8" t="s">
        <v>725</v>
      </c>
      <c r="D310" s="8">
        <v>9999</v>
      </c>
      <c r="E310" s="8" t="s">
        <v>37</v>
      </c>
      <c r="F310" s="8" t="s">
        <v>726</v>
      </c>
      <c r="G310" s="8" t="s">
        <v>39</v>
      </c>
      <c r="H310" s="8">
        <v>0.2</v>
      </c>
      <c r="I310" s="15">
        <v>3.87</v>
      </c>
      <c r="J310"/>
    </row>
    <row r="311" spans="1:10">
      <c r="A311" s="10"/>
      <c r="B311" s="10"/>
      <c r="C311" s="10"/>
      <c r="D311" s="10"/>
      <c r="E311" s="10"/>
      <c r="F311" s="10"/>
      <c r="G311" s="8" t="s">
        <v>40</v>
      </c>
      <c r="H311" s="8">
        <v>0.25</v>
      </c>
      <c r="I311" s="15">
        <v>16.239999999999998</v>
      </c>
      <c r="J311"/>
    </row>
    <row r="312" spans="1:10">
      <c r="A312" s="8" t="s">
        <v>727</v>
      </c>
      <c r="B312" s="8" t="s">
        <v>727</v>
      </c>
      <c r="C312" s="8" t="s">
        <v>728</v>
      </c>
      <c r="D312" s="8">
        <v>9999</v>
      </c>
      <c r="E312" s="8" t="s">
        <v>37</v>
      </c>
      <c r="F312" s="8" t="s">
        <v>283</v>
      </c>
      <c r="G312" s="8" t="s">
        <v>39</v>
      </c>
      <c r="H312" s="8">
        <v>0.2</v>
      </c>
      <c r="I312" s="15">
        <v>1.97</v>
      </c>
      <c r="J312"/>
    </row>
    <row r="313" spans="1:10">
      <c r="A313" s="8" t="s">
        <v>729</v>
      </c>
      <c r="B313" s="8" t="s">
        <v>729</v>
      </c>
      <c r="C313" s="8" t="s">
        <v>730</v>
      </c>
      <c r="D313" s="8">
        <v>9999</v>
      </c>
      <c r="E313" s="8" t="s">
        <v>37</v>
      </c>
      <c r="F313" s="8" t="s">
        <v>441</v>
      </c>
      <c r="G313" s="8" t="s">
        <v>39</v>
      </c>
      <c r="H313" s="8">
        <v>0.2</v>
      </c>
      <c r="I313" s="15">
        <v>2.08</v>
      </c>
      <c r="J313"/>
    </row>
    <row r="314" spans="1:10">
      <c r="A314" s="8" t="s">
        <v>731</v>
      </c>
      <c r="B314" s="8" t="s">
        <v>731</v>
      </c>
      <c r="C314" s="8" t="s">
        <v>732</v>
      </c>
      <c r="D314" s="8">
        <v>9999</v>
      </c>
      <c r="E314" s="8" t="s">
        <v>37</v>
      </c>
      <c r="F314" s="8" t="s">
        <v>441</v>
      </c>
      <c r="G314" s="8" t="s">
        <v>39</v>
      </c>
      <c r="H314" s="8">
        <v>0.2</v>
      </c>
      <c r="I314" s="15">
        <v>7.56</v>
      </c>
      <c r="J314"/>
    </row>
    <row r="315" spans="1:10">
      <c r="A315" s="8" t="s">
        <v>733</v>
      </c>
      <c r="B315" s="8" t="s">
        <v>733</v>
      </c>
      <c r="C315" s="8" t="s">
        <v>734</v>
      </c>
      <c r="D315" s="8">
        <v>9999</v>
      </c>
      <c r="E315" s="8" t="s">
        <v>37</v>
      </c>
      <c r="F315" s="8" t="s">
        <v>735</v>
      </c>
      <c r="G315" s="8" t="s">
        <v>39</v>
      </c>
      <c r="H315" s="8">
        <v>0.2</v>
      </c>
      <c r="I315" s="15">
        <v>10.63</v>
      </c>
      <c r="J315"/>
    </row>
    <row r="316" spans="1:10">
      <c r="A316" s="8" t="s">
        <v>736</v>
      </c>
      <c r="B316" s="8" t="s">
        <v>736</v>
      </c>
      <c r="C316" s="8" t="s">
        <v>737</v>
      </c>
      <c r="D316" s="8">
        <v>9999</v>
      </c>
      <c r="E316" s="8" t="s">
        <v>37</v>
      </c>
      <c r="F316" s="8" t="s">
        <v>738</v>
      </c>
      <c r="G316" s="8" t="s">
        <v>39</v>
      </c>
      <c r="H316" s="8">
        <v>0.2</v>
      </c>
      <c r="I316" s="15">
        <v>2.67</v>
      </c>
      <c r="J316"/>
    </row>
    <row r="317" spans="1:10">
      <c r="A317" s="8" t="s">
        <v>739</v>
      </c>
      <c r="B317" s="8" t="s">
        <v>739</v>
      </c>
      <c r="C317" s="8" t="s">
        <v>740</v>
      </c>
      <c r="D317" s="8">
        <v>9999</v>
      </c>
      <c r="E317" s="8" t="s">
        <v>37</v>
      </c>
      <c r="F317" s="8" t="s">
        <v>741</v>
      </c>
      <c r="G317" s="8" t="s">
        <v>39</v>
      </c>
      <c r="H317" s="8">
        <v>0.2</v>
      </c>
      <c r="I317" s="15">
        <v>2.78</v>
      </c>
      <c r="J317"/>
    </row>
    <row r="318" spans="1:10">
      <c r="A318" s="10"/>
      <c r="B318" s="10"/>
      <c r="C318" s="10"/>
      <c r="D318" s="10"/>
      <c r="E318" s="10"/>
      <c r="F318" s="10"/>
      <c r="G318" s="8" t="s">
        <v>40</v>
      </c>
      <c r="H318" s="8">
        <v>0.25</v>
      </c>
      <c r="I318" s="15">
        <v>0.03</v>
      </c>
      <c r="J318"/>
    </row>
    <row r="319" spans="1:10">
      <c r="A319" s="8" t="s">
        <v>742</v>
      </c>
      <c r="B319" s="8" t="s">
        <v>742</v>
      </c>
      <c r="C319" s="8" t="s">
        <v>743</v>
      </c>
      <c r="D319" s="8">
        <v>9999</v>
      </c>
      <c r="E319" s="8" t="s">
        <v>37</v>
      </c>
      <c r="F319" s="8" t="s">
        <v>744</v>
      </c>
      <c r="G319" s="8" t="s">
        <v>39</v>
      </c>
      <c r="H319" s="8">
        <v>0.2</v>
      </c>
      <c r="I319" s="15">
        <v>2.65</v>
      </c>
      <c r="J319"/>
    </row>
    <row r="320" spans="1:10">
      <c r="A320" s="8" t="s">
        <v>745</v>
      </c>
      <c r="B320" s="8" t="s">
        <v>745</v>
      </c>
      <c r="C320" s="8" t="s">
        <v>746</v>
      </c>
      <c r="D320" s="8">
        <v>9999</v>
      </c>
      <c r="E320" s="8" t="s">
        <v>37</v>
      </c>
      <c r="F320" s="8" t="s">
        <v>747</v>
      </c>
      <c r="G320" s="8" t="s">
        <v>39</v>
      </c>
      <c r="H320" s="8">
        <v>0.2</v>
      </c>
      <c r="I320" s="15">
        <v>10.97</v>
      </c>
      <c r="J320"/>
    </row>
    <row r="321" spans="1:10">
      <c r="A321" s="10"/>
      <c r="B321" s="10"/>
      <c r="C321" s="10"/>
      <c r="D321" s="10"/>
      <c r="E321" s="10"/>
      <c r="F321" s="10"/>
      <c r="G321" s="8" t="s">
        <v>40</v>
      </c>
      <c r="H321" s="8">
        <v>0.25</v>
      </c>
      <c r="I321" s="15">
        <v>0.18</v>
      </c>
      <c r="J321"/>
    </row>
    <row r="322" spans="1:10">
      <c r="A322" s="8" t="s">
        <v>748</v>
      </c>
      <c r="B322" s="8" t="s">
        <v>748</v>
      </c>
      <c r="C322" s="8" t="s">
        <v>749</v>
      </c>
      <c r="D322" s="8">
        <v>9999</v>
      </c>
      <c r="E322" s="8" t="s">
        <v>37</v>
      </c>
      <c r="F322" s="8" t="s">
        <v>750</v>
      </c>
      <c r="G322" s="8" t="s">
        <v>39</v>
      </c>
      <c r="H322" s="8">
        <v>0.2</v>
      </c>
      <c r="I322" s="15">
        <v>2.81</v>
      </c>
      <c r="J322"/>
    </row>
    <row r="323" spans="1:10">
      <c r="A323" s="8" t="s">
        <v>751</v>
      </c>
      <c r="B323" s="8" t="s">
        <v>751</v>
      </c>
      <c r="C323" s="8" t="s">
        <v>752</v>
      </c>
      <c r="D323" s="8">
        <v>9999</v>
      </c>
      <c r="E323" s="8" t="s">
        <v>37</v>
      </c>
      <c r="F323" s="8" t="s">
        <v>753</v>
      </c>
      <c r="G323" s="8" t="s">
        <v>39</v>
      </c>
      <c r="H323" s="8">
        <v>0.2</v>
      </c>
      <c r="I323" s="15">
        <v>1.92</v>
      </c>
      <c r="J323"/>
    </row>
    <row r="324" spans="1:10">
      <c r="A324" s="8" t="s">
        <v>754</v>
      </c>
      <c r="B324" s="8" t="s">
        <v>754</v>
      </c>
      <c r="C324" s="8" t="s">
        <v>755</v>
      </c>
      <c r="D324" s="8">
        <v>9999</v>
      </c>
      <c r="E324" s="8" t="s">
        <v>37</v>
      </c>
      <c r="F324" s="8" t="s">
        <v>756</v>
      </c>
      <c r="G324" s="8" t="s">
        <v>39</v>
      </c>
      <c r="H324" s="8">
        <v>0.2</v>
      </c>
      <c r="I324" s="15">
        <v>14.08</v>
      </c>
      <c r="J324"/>
    </row>
    <row r="325" spans="1:10">
      <c r="A325" s="10"/>
      <c r="B325" s="10"/>
      <c r="C325" s="10"/>
      <c r="D325" s="10"/>
      <c r="E325" s="10"/>
      <c r="F325" s="10"/>
      <c r="G325" s="8" t="s">
        <v>40</v>
      </c>
      <c r="H325" s="8">
        <v>0.25</v>
      </c>
      <c r="I325" s="15">
        <v>36.29</v>
      </c>
      <c r="J325"/>
    </row>
    <row r="326" spans="1:10">
      <c r="A326" s="8" t="s">
        <v>757</v>
      </c>
      <c r="B326" s="8" t="s">
        <v>757</v>
      </c>
      <c r="C326" s="8" t="s">
        <v>758</v>
      </c>
      <c r="D326" s="8">
        <v>9999</v>
      </c>
      <c r="E326" s="8" t="s">
        <v>37</v>
      </c>
      <c r="F326" s="8" t="s">
        <v>759</v>
      </c>
      <c r="G326" s="8" t="s">
        <v>39</v>
      </c>
      <c r="H326" s="8">
        <v>0.2</v>
      </c>
      <c r="I326" s="15">
        <v>2.74</v>
      </c>
      <c r="J326"/>
    </row>
    <row r="327" spans="1:10">
      <c r="A327" s="8" t="s">
        <v>760</v>
      </c>
      <c r="B327" s="8" t="s">
        <v>760</v>
      </c>
      <c r="C327" s="8" t="s">
        <v>761</v>
      </c>
      <c r="D327" s="8">
        <v>9999</v>
      </c>
      <c r="E327" s="8" t="s">
        <v>37</v>
      </c>
      <c r="F327" s="8" t="s">
        <v>762</v>
      </c>
      <c r="G327" s="8" t="s">
        <v>39</v>
      </c>
      <c r="H327" s="8">
        <v>0.2</v>
      </c>
      <c r="I327" s="15">
        <v>12.14</v>
      </c>
      <c r="J327"/>
    </row>
    <row r="328" spans="1:10">
      <c r="A328" s="10"/>
      <c r="B328" s="10"/>
      <c r="C328" s="10"/>
      <c r="D328" s="10"/>
      <c r="E328" s="10"/>
      <c r="F328" s="10"/>
      <c r="G328" s="8" t="s">
        <v>40</v>
      </c>
      <c r="H328" s="8">
        <v>0.25</v>
      </c>
      <c r="I328" s="15">
        <v>0.01</v>
      </c>
      <c r="J328"/>
    </row>
    <row r="329" spans="1:10">
      <c r="A329" s="8" t="s">
        <v>763</v>
      </c>
      <c r="B329" s="8" t="s">
        <v>763</v>
      </c>
      <c r="C329" s="8" t="s">
        <v>764</v>
      </c>
      <c r="D329" s="8">
        <v>9999</v>
      </c>
      <c r="E329" s="8" t="s">
        <v>37</v>
      </c>
      <c r="F329" s="8" t="s">
        <v>765</v>
      </c>
      <c r="G329" s="8" t="s">
        <v>39</v>
      </c>
      <c r="H329" s="8">
        <v>0.2</v>
      </c>
      <c r="I329" s="15">
        <v>1.92</v>
      </c>
      <c r="J329"/>
    </row>
    <row r="330" spans="1:10">
      <c r="A330" s="8" t="s">
        <v>766</v>
      </c>
      <c r="B330" s="8" t="s">
        <v>766</v>
      </c>
      <c r="C330" s="8" t="s">
        <v>767</v>
      </c>
      <c r="D330" s="8">
        <v>9999</v>
      </c>
      <c r="E330" s="8" t="s">
        <v>37</v>
      </c>
      <c r="F330" s="8" t="s">
        <v>768</v>
      </c>
      <c r="G330" s="8" t="s">
        <v>39</v>
      </c>
      <c r="H330" s="8">
        <v>0.2</v>
      </c>
      <c r="I330" s="15">
        <v>2.91</v>
      </c>
      <c r="J330"/>
    </row>
    <row r="331" spans="1:10">
      <c r="A331" s="8" t="s">
        <v>769</v>
      </c>
      <c r="B331" s="8" t="s">
        <v>769</v>
      </c>
      <c r="C331" s="8" t="s">
        <v>770</v>
      </c>
      <c r="D331" s="8">
        <v>9999</v>
      </c>
      <c r="E331" s="8" t="s">
        <v>37</v>
      </c>
      <c r="F331" s="8" t="s">
        <v>771</v>
      </c>
      <c r="G331" s="8" t="s">
        <v>39</v>
      </c>
      <c r="H331" s="8">
        <v>0.2</v>
      </c>
      <c r="I331" s="15">
        <v>2.4300000000000002</v>
      </c>
      <c r="J331"/>
    </row>
    <row r="332" spans="1:10">
      <c r="A332" s="10"/>
      <c r="B332" s="10"/>
      <c r="C332" s="10"/>
      <c r="D332" s="10"/>
      <c r="E332" s="10"/>
      <c r="F332" s="10"/>
      <c r="G332" s="8" t="s">
        <v>40</v>
      </c>
      <c r="H332" s="8">
        <v>0.25</v>
      </c>
      <c r="I332" s="15">
        <v>0.06</v>
      </c>
      <c r="J332"/>
    </row>
    <row r="333" spans="1:10">
      <c r="A333" s="8" t="s">
        <v>772</v>
      </c>
      <c r="B333" s="8" t="s">
        <v>772</v>
      </c>
      <c r="C333" s="8" t="s">
        <v>773</v>
      </c>
      <c r="D333" s="8">
        <v>9999</v>
      </c>
      <c r="E333" s="8" t="s">
        <v>37</v>
      </c>
      <c r="F333" s="8" t="s">
        <v>774</v>
      </c>
      <c r="G333" s="8" t="s">
        <v>39</v>
      </c>
      <c r="H333" s="8">
        <v>0.2</v>
      </c>
      <c r="I333" s="15">
        <v>1.97</v>
      </c>
      <c r="J333"/>
    </row>
    <row r="334" spans="1:10">
      <c r="A334" s="8" t="s">
        <v>775</v>
      </c>
      <c r="B334" s="8" t="s">
        <v>775</v>
      </c>
      <c r="C334" s="8" t="s">
        <v>776</v>
      </c>
      <c r="D334" s="8">
        <v>9999</v>
      </c>
      <c r="E334" s="8" t="s">
        <v>37</v>
      </c>
      <c r="F334" s="8" t="s">
        <v>777</v>
      </c>
      <c r="G334" s="8" t="s">
        <v>39</v>
      </c>
      <c r="H334" s="8">
        <v>0.2</v>
      </c>
      <c r="I334" s="15">
        <v>1.92</v>
      </c>
      <c r="J334"/>
    </row>
    <row r="335" spans="1:10">
      <c r="A335" s="10"/>
      <c r="B335" s="10"/>
      <c r="C335" s="10"/>
      <c r="D335" s="10"/>
      <c r="E335" s="10"/>
      <c r="F335" s="10"/>
      <c r="G335" s="8" t="s">
        <v>40</v>
      </c>
      <c r="H335" s="8">
        <v>0.25</v>
      </c>
      <c r="I335" s="15">
        <v>3.12</v>
      </c>
      <c r="J335"/>
    </row>
    <row r="336" spans="1:10">
      <c r="A336" s="8" t="s">
        <v>778</v>
      </c>
      <c r="B336" s="8" t="s">
        <v>778</v>
      </c>
      <c r="C336" s="8" t="s">
        <v>779</v>
      </c>
      <c r="D336" s="8">
        <v>9999</v>
      </c>
      <c r="E336" s="8" t="s">
        <v>37</v>
      </c>
      <c r="F336" s="8" t="s">
        <v>780</v>
      </c>
      <c r="G336" s="8" t="s">
        <v>39</v>
      </c>
      <c r="H336" s="8">
        <v>0.2</v>
      </c>
      <c r="I336" s="15">
        <v>1.92</v>
      </c>
      <c r="J336"/>
    </row>
    <row r="337" spans="1:10">
      <c r="A337" s="8" t="s">
        <v>781</v>
      </c>
      <c r="B337" s="8" t="s">
        <v>781</v>
      </c>
      <c r="C337" s="8" t="s">
        <v>782</v>
      </c>
      <c r="D337" s="8">
        <v>9999</v>
      </c>
      <c r="E337" s="8" t="s">
        <v>37</v>
      </c>
      <c r="F337" s="8" t="s">
        <v>783</v>
      </c>
      <c r="G337" s="8" t="s">
        <v>39</v>
      </c>
      <c r="H337" s="8">
        <v>0.2</v>
      </c>
      <c r="I337" s="15">
        <v>2.74</v>
      </c>
      <c r="J337"/>
    </row>
    <row r="338" spans="1:10">
      <c r="A338" s="8" t="s">
        <v>784</v>
      </c>
      <c r="B338" s="8" t="s">
        <v>784</v>
      </c>
      <c r="C338" s="8" t="s">
        <v>785</v>
      </c>
      <c r="D338" s="8">
        <v>9999</v>
      </c>
      <c r="E338" s="8" t="s">
        <v>37</v>
      </c>
      <c r="F338" s="8" t="s">
        <v>786</v>
      </c>
      <c r="G338" s="8" t="s">
        <v>39</v>
      </c>
      <c r="H338" s="8">
        <v>0.2</v>
      </c>
      <c r="I338" s="15">
        <v>9.36</v>
      </c>
      <c r="J338"/>
    </row>
    <row r="339" spans="1:10">
      <c r="A339" s="10"/>
      <c r="B339" s="10"/>
      <c r="C339" s="10"/>
      <c r="D339" s="10"/>
      <c r="E339" s="10"/>
      <c r="F339" s="10"/>
      <c r="G339" s="8" t="s">
        <v>40</v>
      </c>
      <c r="H339" s="8">
        <v>0.25</v>
      </c>
      <c r="I339" s="15">
        <v>1.29</v>
      </c>
      <c r="J339"/>
    </row>
    <row r="340" spans="1:10">
      <c r="A340" s="8" t="s">
        <v>787</v>
      </c>
      <c r="B340" s="8" t="s">
        <v>787</v>
      </c>
      <c r="C340" s="8" t="s">
        <v>788</v>
      </c>
      <c r="D340" s="8">
        <v>9999</v>
      </c>
      <c r="E340" s="8" t="s">
        <v>37</v>
      </c>
      <c r="F340" s="8" t="s">
        <v>789</v>
      </c>
      <c r="G340" s="8" t="s">
        <v>39</v>
      </c>
      <c r="H340" s="8">
        <v>0.2</v>
      </c>
      <c r="I340" s="15">
        <v>4.87</v>
      </c>
      <c r="J340"/>
    </row>
    <row r="341" spans="1:10">
      <c r="A341" s="8" t="s">
        <v>790</v>
      </c>
      <c r="B341" s="8" t="s">
        <v>790</v>
      </c>
      <c r="C341" s="8" t="s">
        <v>791</v>
      </c>
      <c r="D341" s="8">
        <v>9999</v>
      </c>
      <c r="E341" s="8" t="s">
        <v>37</v>
      </c>
      <c r="F341" s="8" t="s">
        <v>792</v>
      </c>
      <c r="G341" s="8" t="s">
        <v>39</v>
      </c>
      <c r="H341" s="8">
        <v>0.2</v>
      </c>
      <c r="I341" s="15">
        <v>4.33</v>
      </c>
      <c r="J341"/>
    </row>
    <row r="342" spans="1:10">
      <c r="A342" s="10"/>
      <c r="B342" s="10"/>
      <c r="C342" s="10"/>
      <c r="D342" s="10"/>
      <c r="E342" s="10"/>
      <c r="F342" s="10"/>
      <c r="G342" s="8" t="s">
        <v>40</v>
      </c>
      <c r="H342" s="8">
        <v>0.25</v>
      </c>
      <c r="I342" s="15">
        <v>0.6</v>
      </c>
      <c r="J342"/>
    </row>
    <row r="343" spans="1:10">
      <c r="A343" s="8" t="s">
        <v>793</v>
      </c>
      <c r="B343" s="8" t="s">
        <v>793</v>
      </c>
      <c r="C343" s="8" t="s">
        <v>794</v>
      </c>
      <c r="D343" s="8">
        <v>9999</v>
      </c>
      <c r="E343" s="8" t="s">
        <v>37</v>
      </c>
      <c r="F343" s="8" t="s">
        <v>795</v>
      </c>
      <c r="G343" s="8" t="s">
        <v>39</v>
      </c>
      <c r="H343" s="8">
        <v>0.2</v>
      </c>
      <c r="I343" s="15">
        <v>2.4700000000000002</v>
      </c>
      <c r="J343"/>
    </row>
    <row r="344" spans="1:10">
      <c r="A344" s="8" t="s">
        <v>796</v>
      </c>
      <c r="B344" s="8" t="s">
        <v>796</v>
      </c>
      <c r="C344" s="8" t="s">
        <v>797</v>
      </c>
      <c r="D344" s="8">
        <v>9999</v>
      </c>
      <c r="E344" s="8" t="s">
        <v>37</v>
      </c>
      <c r="F344" s="8" t="s">
        <v>798</v>
      </c>
      <c r="G344" s="8" t="s">
        <v>39</v>
      </c>
      <c r="H344" s="8">
        <v>0.2</v>
      </c>
      <c r="I344" s="15">
        <v>8.1300000000000008</v>
      </c>
      <c r="J344"/>
    </row>
    <row r="345" spans="1:10">
      <c r="A345" s="8" t="s">
        <v>799</v>
      </c>
      <c r="B345" s="8" t="s">
        <v>799</v>
      </c>
      <c r="C345" s="8" t="s">
        <v>800</v>
      </c>
      <c r="D345" s="8">
        <v>9999</v>
      </c>
      <c r="E345" s="8" t="s">
        <v>37</v>
      </c>
      <c r="F345" s="8" t="s">
        <v>801</v>
      </c>
      <c r="G345" s="8" t="s">
        <v>39</v>
      </c>
      <c r="H345" s="8">
        <v>0.2</v>
      </c>
      <c r="I345" s="15">
        <v>5.27</v>
      </c>
      <c r="J345"/>
    </row>
    <row r="346" spans="1:10">
      <c r="A346" s="10"/>
      <c r="B346" s="10"/>
      <c r="C346" s="10"/>
      <c r="D346" s="10"/>
      <c r="E346" s="10"/>
      <c r="F346" s="10"/>
      <c r="G346" s="8" t="s">
        <v>40</v>
      </c>
      <c r="H346" s="8">
        <v>0.25</v>
      </c>
      <c r="I346" s="15">
        <v>1.39</v>
      </c>
      <c r="J346"/>
    </row>
    <row r="347" spans="1:10">
      <c r="A347" s="8" t="s">
        <v>802</v>
      </c>
      <c r="B347" s="8" t="s">
        <v>802</v>
      </c>
      <c r="C347" s="8" t="s">
        <v>803</v>
      </c>
      <c r="D347" s="8">
        <v>9999</v>
      </c>
      <c r="E347" s="8" t="s">
        <v>37</v>
      </c>
      <c r="F347" s="8" t="s">
        <v>804</v>
      </c>
      <c r="G347" s="8" t="s">
        <v>39</v>
      </c>
      <c r="H347" s="8">
        <v>0.2</v>
      </c>
      <c r="I347" s="15">
        <v>2.0299999999999998</v>
      </c>
      <c r="J347"/>
    </row>
    <row r="348" spans="1:10">
      <c r="A348" s="8" t="s">
        <v>805</v>
      </c>
      <c r="B348" s="8" t="s">
        <v>805</v>
      </c>
      <c r="C348" s="8" t="s">
        <v>806</v>
      </c>
      <c r="D348" s="8">
        <v>9999</v>
      </c>
      <c r="E348" s="8" t="s">
        <v>37</v>
      </c>
      <c r="F348" s="8" t="s">
        <v>807</v>
      </c>
      <c r="G348" s="8" t="s">
        <v>39</v>
      </c>
      <c r="H348" s="8">
        <v>0.2</v>
      </c>
      <c r="I348" s="15">
        <v>2.67</v>
      </c>
      <c r="J348"/>
    </row>
    <row r="349" spans="1:10">
      <c r="A349" s="8" t="s">
        <v>808</v>
      </c>
      <c r="B349" s="8" t="s">
        <v>808</v>
      </c>
      <c r="C349" s="8" t="s">
        <v>809</v>
      </c>
      <c r="D349" s="8">
        <v>9999</v>
      </c>
      <c r="E349" s="8" t="s">
        <v>37</v>
      </c>
      <c r="F349" s="8" t="s">
        <v>810</v>
      </c>
      <c r="G349" s="8" t="s">
        <v>39</v>
      </c>
      <c r="H349" s="8">
        <v>0.2</v>
      </c>
      <c r="I349" s="15">
        <v>3.11</v>
      </c>
      <c r="J349"/>
    </row>
    <row r="350" spans="1:10">
      <c r="A350" s="10"/>
      <c r="B350" s="10"/>
      <c r="C350" s="10"/>
      <c r="D350" s="10"/>
      <c r="E350" s="10"/>
      <c r="F350" s="10"/>
      <c r="G350" s="8" t="s">
        <v>40</v>
      </c>
      <c r="H350" s="8">
        <v>0.25</v>
      </c>
      <c r="I350" s="15">
        <v>0.21</v>
      </c>
      <c r="J350"/>
    </row>
    <row r="351" spans="1:10">
      <c r="A351" s="8" t="s">
        <v>811</v>
      </c>
      <c r="B351" s="8" t="s">
        <v>811</v>
      </c>
      <c r="C351" s="8" t="s">
        <v>812</v>
      </c>
      <c r="D351" s="8">
        <v>9999</v>
      </c>
      <c r="E351" s="8" t="s">
        <v>37</v>
      </c>
      <c r="F351" s="8" t="s">
        <v>813</v>
      </c>
      <c r="G351" s="8" t="s">
        <v>39</v>
      </c>
      <c r="H351" s="8">
        <v>0.2</v>
      </c>
      <c r="I351" s="15">
        <v>2.61</v>
      </c>
      <c r="J351"/>
    </row>
    <row r="352" spans="1:10">
      <c r="A352" s="8" t="s">
        <v>814</v>
      </c>
      <c r="B352" s="8" t="s">
        <v>814</v>
      </c>
      <c r="C352" s="8" t="s">
        <v>815</v>
      </c>
      <c r="D352" s="8">
        <v>9999</v>
      </c>
      <c r="E352" s="8" t="s">
        <v>37</v>
      </c>
      <c r="F352" s="8" t="s">
        <v>816</v>
      </c>
      <c r="G352" s="8" t="s">
        <v>39</v>
      </c>
      <c r="H352" s="8">
        <v>0.2</v>
      </c>
      <c r="I352" s="15">
        <v>19.48</v>
      </c>
      <c r="J352"/>
    </row>
    <row r="353" spans="1:10">
      <c r="A353" s="10"/>
      <c r="B353" s="10"/>
      <c r="C353" s="10"/>
      <c r="D353" s="10"/>
      <c r="E353" s="10"/>
      <c r="F353" s="10"/>
      <c r="G353" s="8" t="s">
        <v>40</v>
      </c>
      <c r="H353" s="8">
        <v>0.25</v>
      </c>
      <c r="I353" s="15">
        <v>0.56000000000000005</v>
      </c>
      <c r="J353"/>
    </row>
    <row r="354" spans="1:10">
      <c r="A354" s="8" t="s">
        <v>817</v>
      </c>
      <c r="B354" s="8" t="s">
        <v>818</v>
      </c>
      <c r="C354" s="8" t="s">
        <v>819</v>
      </c>
      <c r="D354" s="8">
        <v>9999</v>
      </c>
      <c r="E354" s="8" t="s">
        <v>37</v>
      </c>
      <c r="F354" s="8" t="s">
        <v>820</v>
      </c>
      <c r="G354" s="8" t="s">
        <v>39</v>
      </c>
      <c r="H354" s="8">
        <v>0.2</v>
      </c>
      <c r="I354" s="15">
        <v>2.94</v>
      </c>
      <c r="J354"/>
    </row>
    <row r="355" spans="1:10">
      <c r="A355" s="8" t="s">
        <v>821</v>
      </c>
      <c r="B355" s="8" t="s">
        <v>821</v>
      </c>
      <c r="C355" s="8" t="s">
        <v>822</v>
      </c>
      <c r="D355" s="8">
        <v>9999</v>
      </c>
      <c r="E355" s="8" t="s">
        <v>37</v>
      </c>
      <c r="F355" s="8" t="s">
        <v>823</v>
      </c>
      <c r="G355" s="8" t="s">
        <v>39</v>
      </c>
      <c r="H355" s="8">
        <v>0.2</v>
      </c>
      <c r="I355" s="15">
        <v>5.01</v>
      </c>
      <c r="J355"/>
    </row>
    <row r="356" spans="1:10">
      <c r="A356" s="8" t="s">
        <v>824</v>
      </c>
      <c r="B356" s="8" t="s">
        <v>824</v>
      </c>
      <c r="C356" s="8" t="s">
        <v>825</v>
      </c>
      <c r="D356" s="8">
        <v>9999</v>
      </c>
      <c r="E356" s="8" t="s">
        <v>37</v>
      </c>
      <c r="F356" s="8" t="s">
        <v>826</v>
      </c>
      <c r="G356" s="8" t="s">
        <v>39</v>
      </c>
      <c r="H356" s="8">
        <v>0.2</v>
      </c>
      <c r="I356" s="15">
        <v>2.02</v>
      </c>
      <c r="J356"/>
    </row>
    <row r="357" spans="1:10">
      <c r="A357" s="8" t="s">
        <v>827</v>
      </c>
      <c r="B357" s="8" t="s">
        <v>827</v>
      </c>
      <c r="C357" s="8" t="s">
        <v>828</v>
      </c>
      <c r="D357" s="8">
        <v>9999</v>
      </c>
      <c r="E357" s="8" t="s">
        <v>37</v>
      </c>
      <c r="F357" s="8" t="s">
        <v>344</v>
      </c>
      <c r="G357" s="8" t="s">
        <v>39</v>
      </c>
      <c r="H357" s="8">
        <v>0.2</v>
      </c>
      <c r="I357" s="15">
        <v>1.96</v>
      </c>
      <c r="J357"/>
    </row>
    <row r="358" spans="1:10">
      <c r="A358" s="8" t="s">
        <v>829</v>
      </c>
      <c r="B358" s="8" t="s">
        <v>829</v>
      </c>
      <c r="C358" s="8" t="s">
        <v>830</v>
      </c>
      <c r="D358" s="8">
        <v>9999</v>
      </c>
      <c r="E358" s="8" t="s">
        <v>37</v>
      </c>
      <c r="F358" s="8" t="s">
        <v>831</v>
      </c>
      <c r="G358" s="8" t="s">
        <v>39</v>
      </c>
      <c r="H358" s="8">
        <v>0.2</v>
      </c>
      <c r="I358" s="15">
        <v>1.92</v>
      </c>
      <c r="J358"/>
    </row>
    <row r="359" spans="1:10">
      <c r="A359" s="8" t="s">
        <v>832</v>
      </c>
      <c r="B359" s="8" t="s">
        <v>832</v>
      </c>
      <c r="C359" s="8" t="s">
        <v>833</v>
      </c>
      <c r="D359" s="8">
        <v>9999</v>
      </c>
      <c r="E359" s="8" t="s">
        <v>37</v>
      </c>
      <c r="F359" s="8" t="s">
        <v>834</v>
      </c>
      <c r="G359" s="8" t="s">
        <v>39</v>
      </c>
      <c r="H359" s="8">
        <v>0.2</v>
      </c>
      <c r="I359" s="15">
        <v>9.06</v>
      </c>
      <c r="J359"/>
    </row>
    <row r="360" spans="1:10">
      <c r="A360" s="8" t="s">
        <v>835</v>
      </c>
      <c r="B360" s="8" t="s">
        <v>835</v>
      </c>
      <c r="C360" s="8" t="s">
        <v>836</v>
      </c>
      <c r="D360" s="8">
        <v>9999</v>
      </c>
      <c r="E360" s="8" t="s">
        <v>37</v>
      </c>
      <c r="F360" s="8" t="s">
        <v>837</v>
      </c>
      <c r="G360" s="8" t="s">
        <v>39</v>
      </c>
      <c r="H360" s="8">
        <v>0.2</v>
      </c>
      <c r="I360" s="15">
        <v>2.3199999999999998</v>
      </c>
      <c r="J360"/>
    </row>
    <row r="361" spans="1:10">
      <c r="A361" s="8" t="s">
        <v>838</v>
      </c>
      <c r="B361" s="8" t="s">
        <v>838</v>
      </c>
      <c r="C361" s="8" t="s">
        <v>839</v>
      </c>
      <c r="D361" s="8">
        <v>9999</v>
      </c>
      <c r="E361" s="8" t="s">
        <v>37</v>
      </c>
      <c r="F361" s="8" t="s">
        <v>840</v>
      </c>
      <c r="G361" s="8" t="s">
        <v>39</v>
      </c>
      <c r="H361" s="8">
        <v>0.2</v>
      </c>
      <c r="I361" s="15">
        <v>1.92</v>
      </c>
      <c r="J361"/>
    </row>
    <row r="362" spans="1:10">
      <c r="A362" s="8" t="s">
        <v>841</v>
      </c>
      <c r="B362" s="8" t="s">
        <v>841</v>
      </c>
      <c r="C362" s="8" t="s">
        <v>842</v>
      </c>
      <c r="D362" s="8">
        <v>9999</v>
      </c>
      <c r="E362" s="8" t="s">
        <v>37</v>
      </c>
      <c r="F362" s="8" t="s">
        <v>843</v>
      </c>
      <c r="G362" s="8" t="s">
        <v>39</v>
      </c>
      <c r="H362" s="8">
        <v>0.2</v>
      </c>
      <c r="I362" s="15">
        <v>4.0199999999999996</v>
      </c>
      <c r="J362"/>
    </row>
    <row r="363" spans="1:10">
      <c r="A363" s="8" t="s">
        <v>844</v>
      </c>
      <c r="B363" s="8" t="s">
        <v>844</v>
      </c>
      <c r="C363" s="8" t="s">
        <v>845</v>
      </c>
      <c r="D363" s="8">
        <v>9999</v>
      </c>
      <c r="E363" s="8" t="s">
        <v>37</v>
      </c>
      <c r="F363" s="8" t="s">
        <v>846</v>
      </c>
      <c r="G363" s="8" t="s">
        <v>39</v>
      </c>
      <c r="H363" s="8">
        <v>0.2</v>
      </c>
      <c r="I363" s="15">
        <v>25.04</v>
      </c>
      <c r="J363"/>
    </row>
    <row r="364" spans="1:10">
      <c r="A364" s="8" t="s">
        <v>847</v>
      </c>
      <c r="B364" s="8" t="s">
        <v>847</v>
      </c>
      <c r="C364" s="8" t="s">
        <v>848</v>
      </c>
      <c r="D364" s="8">
        <v>9999</v>
      </c>
      <c r="E364" s="8" t="s">
        <v>37</v>
      </c>
      <c r="F364" s="8" t="s">
        <v>846</v>
      </c>
      <c r="G364" s="8" t="s">
        <v>39</v>
      </c>
      <c r="H364" s="8">
        <v>0.2</v>
      </c>
      <c r="I364" s="15">
        <v>1.92</v>
      </c>
      <c r="J364"/>
    </row>
    <row r="365" spans="1:10">
      <c r="A365" s="8" t="s">
        <v>849</v>
      </c>
      <c r="B365" s="8" t="s">
        <v>849</v>
      </c>
      <c r="C365" s="8" t="s">
        <v>850</v>
      </c>
      <c r="D365" s="8">
        <v>9999</v>
      </c>
      <c r="E365" s="8" t="s">
        <v>37</v>
      </c>
      <c r="F365" s="8" t="s">
        <v>851</v>
      </c>
      <c r="G365" s="8" t="s">
        <v>39</v>
      </c>
      <c r="H365" s="8">
        <v>0.2</v>
      </c>
      <c r="I365" s="15">
        <v>5.66</v>
      </c>
      <c r="J365"/>
    </row>
    <row r="366" spans="1:10">
      <c r="A366" s="8" t="s">
        <v>852</v>
      </c>
      <c r="B366" s="8" t="s">
        <v>852</v>
      </c>
      <c r="C366" s="8" t="s">
        <v>853</v>
      </c>
      <c r="D366" s="8">
        <v>9999</v>
      </c>
      <c r="E366" s="8" t="s">
        <v>37</v>
      </c>
      <c r="F366" s="8" t="s">
        <v>854</v>
      </c>
      <c r="G366" s="8" t="s">
        <v>39</v>
      </c>
      <c r="H366" s="8">
        <v>0.2</v>
      </c>
      <c r="I366" s="15">
        <v>7.27</v>
      </c>
      <c r="J366"/>
    </row>
    <row r="367" spans="1:10">
      <c r="A367" s="10"/>
      <c r="B367" s="10"/>
      <c r="C367" s="10"/>
      <c r="D367" s="10"/>
      <c r="E367" s="10"/>
      <c r="F367" s="10"/>
      <c r="G367" s="8" t="s">
        <v>40</v>
      </c>
      <c r="H367" s="8">
        <v>0.25</v>
      </c>
      <c r="I367" s="15">
        <v>0.12</v>
      </c>
      <c r="J367"/>
    </row>
    <row r="368" spans="1:10">
      <c r="A368" s="8" t="s">
        <v>855</v>
      </c>
      <c r="B368" s="8" t="s">
        <v>855</v>
      </c>
      <c r="C368" s="8" t="s">
        <v>856</v>
      </c>
      <c r="D368" s="8">
        <v>9999</v>
      </c>
      <c r="E368" s="8" t="s">
        <v>37</v>
      </c>
      <c r="F368" s="8" t="s">
        <v>857</v>
      </c>
      <c r="G368" s="8" t="s">
        <v>39</v>
      </c>
      <c r="H368" s="8">
        <v>0.2</v>
      </c>
      <c r="I368" s="15">
        <v>2.19</v>
      </c>
      <c r="J368"/>
    </row>
    <row r="369" spans="1:10">
      <c r="A369" s="8" t="s">
        <v>858</v>
      </c>
      <c r="B369" s="8" t="s">
        <v>858</v>
      </c>
      <c r="C369" s="8" t="s">
        <v>859</v>
      </c>
      <c r="D369" s="8">
        <v>9999</v>
      </c>
      <c r="E369" s="8" t="s">
        <v>37</v>
      </c>
      <c r="F369" s="8" t="s">
        <v>860</v>
      </c>
      <c r="G369" s="8" t="s">
        <v>39</v>
      </c>
      <c r="H369" s="8">
        <v>0.2</v>
      </c>
      <c r="I369" s="15">
        <v>8.49</v>
      </c>
      <c r="J369"/>
    </row>
    <row r="370" spans="1:10">
      <c r="A370" s="8" t="s">
        <v>861</v>
      </c>
      <c r="B370" s="8" t="s">
        <v>861</v>
      </c>
      <c r="C370" s="8" t="s">
        <v>862</v>
      </c>
      <c r="D370" s="8">
        <v>9999</v>
      </c>
      <c r="E370" s="8" t="s">
        <v>37</v>
      </c>
      <c r="F370" s="8" t="s">
        <v>863</v>
      </c>
      <c r="G370" s="8" t="s">
        <v>39</v>
      </c>
      <c r="H370" s="8">
        <v>0.2</v>
      </c>
      <c r="I370" s="15">
        <v>2.3199999999999998</v>
      </c>
      <c r="J370"/>
    </row>
    <row r="371" spans="1:10">
      <c r="A371" s="8" t="s">
        <v>864</v>
      </c>
      <c r="B371" s="8" t="s">
        <v>864</v>
      </c>
      <c r="C371" s="8" t="s">
        <v>865</v>
      </c>
      <c r="D371" s="8">
        <v>9999</v>
      </c>
      <c r="E371" s="8" t="s">
        <v>37</v>
      </c>
      <c r="F371" s="8" t="s">
        <v>866</v>
      </c>
      <c r="G371" s="8" t="s">
        <v>39</v>
      </c>
      <c r="H371" s="8">
        <v>0.2</v>
      </c>
      <c r="I371" s="15">
        <v>5.73</v>
      </c>
      <c r="J371"/>
    </row>
    <row r="372" spans="1:10">
      <c r="A372" s="10"/>
      <c r="B372" s="10"/>
      <c r="C372" s="10"/>
      <c r="D372" s="10"/>
      <c r="E372" s="10"/>
      <c r="F372" s="10"/>
      <c r="G372" s="8" t="s">
        <v>40</v>
      </c>
      <c r="H372" s="8">
        <v>0.25</v>
      </c>
      <c r="I372" s="15">
        <v>0.33</v>
      </c>
      <c r="J372"/>
    </row>
    <row r="373" spans="1:10">
      <c r="A373" s="8" t="s">
        <v>867</v>
      </c>
      <c r="B373" s="8" t="s">
        <v>867</v>
      </c>
      <c r="C373" s="8" t="s">
        <v>868</v>
      </c>
      <c r="D373" s="8">
        <v>9999</v>
      </c>
      <c r="E373" s="8" t="s">
        <v>37</v>
      </c>
      <c r="F373" s="8" t="s">
        <v>869</v>
      </c>
      <c r="G373" s="8" t="s">
        <v>39</v>
      </c>
      <c r="H373" s="8">
        <v>0.2</v>
      </c>
      <c r="I373" s="15">
        <v>4.01</v>
      </c>
      <c r="J373"/>
    </row>
    <row r="374" spans="1:10">
      <c r="A374" s="8" t="s">
        <v>870</v>
      </c>
      <c r="B374" s="8" t="s">
        <v>870</v>
      </c>
      <c r="C374" s="8" t="s">
        <v>871</v>
      </c>
      <c r="D374" s="8">
        <v>9999</v>
      </c>
      <c r="E374" s="8" t="s">
        <v>37</v>
      </c>
      <c r="F374" s="8" t="s">
        <v>872</v>
      </c>
      <c r="G374" s="8" t="s">
        <v>39</v>
      </c>
      <c r="H374" s="8">
        <v>0.2</v>
      </c>
      <c r="I374" s="15">
        <v>2.2400000000000002</v>
      </c>
      <c r="J374"/>
    </row>
    <row r="375" spans="1:10">
      <c r="A375" s="10"/>
      <c r="B375" s="10"/>
      <c r="C375" s="10"/>
      <c r="D375" s="10"/>
      <c r="E375" s="10"/>
      <c r="F375" s="10"/>
      <c r="G375" s="8" t="s">
        <v>40</v>
      </c>
      <c r="H375" s="8">
        <v>0.25</v>
      </c>
      <c r="I375" s="15">
        <v>0.02</v>
      </c>
      <c r="J375"/>
    </row>
    <row r="376" spans="1:10">
      <c r="A376" s="8" t="s">
        <v>873</v>
      </c>
      <c r="B376" s="8" t="s">
        <v>873</v>
      </c>
      <c r="C376" s="8" t="s">
        <v>874</v>
      </c>
      <c r="D376" s="8">
        <v>9999</v>
      </c>
      <c r="E376" s="8" t="s">
        <v>37</v>
      </c>
      <c r="F376" s="8" t="s">
        <v>215</v>
      </c>
      <c r="G376" s="8" t="s">
        <v>39</v>
      </c>
      <c r="H376" s="8">
        <v>0.2</v>
      </c>
      <c r="I376" s="15">
        <v>1.92</v>
      </c>
      <c r="J376"/>
    </row>
    <row r="377" spans="1:10">
      <c r="A377" s="10"/>
      <c r="B377" s="10"/>
      <c r="C377" s="10"/>
      <c r="D377" s="10"/>
      <c r="E377" s="10"/>
      <c r="F377" s="10"/>
      <c r="G377" s="8" t="s">
        <v>40</v>
      </c>
      <c r="H377" s="8">
        <v>0.25</v>
      </c>
      <c r="I377" s="15">
        <v>0.46</v>
      </c>
      <c r="J377"/>
    </row>
    <row r="378" spans="1:10">
      <c r="A378" s="8" t="s">
        <v>875</v>
      </c>
      <c r="B378" s="8" t="s">
        <v>875</v>
      </c>
      <c r="C378" s="8" t="s">
        <v>876</v>
      </c>
      <c r="D378" s="8">
        <v>9999</v>
      </c>
      <c r="E378" s="8" t="s">
        <v>37</v>
      </c>
      <c r="F378" s="8" t="s">
        <v>877</v>
      </c>
      <c r="G378" s="8" t="s">
        <v>39</v>
      </c>
      <c r="H378" s="8">
        <v>0.2</v>
      </c>
      <c r="I378" s="15">
        <v>15.71</v>
      </c>
      <c r="J378"/>
    </row>
    <row r="379" spans="1:10">
      <c r="A379" s="10"/>
      <c r="B379" s="10"/>
      <c r="C379" s="10"/>
      <c r="D379" s="10"/>
      <c r="E379" s="10"/>
      <c r="F379" s="10"/>
      <c r="G379" s="8" t="s">
        <v>40</v>
      </c>
      <c r="H379" s="8">
        <v>0.25</v>
      </c>
      <c r="I379" s="15">
        <v>2.89</v>
      </c>
      <c r="J379"/>
    </row>
    <row r="380" spans="1:10">
      <c r="A380" s="8" t="s">
        <v>878</v>
      </c>
      <c r="B380" s="8" t="s">
        <v>879</v>
      </c>
      <c r="C380" s="8" t="s">
        <v>880</v>
      </c>
      <c r="D380" s="8">
        <v>9999</v>
      </c>
      <c r="E380" s="8" t="s">
        <v>37</v>
      </c>
      <c r="F380" s="8" t="s">
        <v>881</v>
      </c>
      <c r="G380" s="8" t="s">
        <v>39</v>
      </c>
      <c r="H380" s="8">
        <v>0.2</v>
      </c>
      <c r="I380" s="15">
        <v>4.13</v>
      </c>
      <c r="J380"/>
    </row>
    <row r="381" spans="1:10">
      <c r="A381" s="10"/>
      <c r="B381" s="10"/>
      <c r="C381" s="10"/>
      <c r="D381" s="10"/>
      <c r="E381" s="10"/>
      <c r="F381" s="10"/>
      <c r="G381" s="8" t="s">
        <v>40</v>
      </c>
      <c r="H381" s="8">
        <v>0.25</v>
      </c>
      <c r="I381" s="15">
        <v>8.15</v>
      </c>
      <c r="J381"/>
    </row>
    <row r="382" spans="1:10">
      <c r="A382" s="8" t="s">
        <v>882</v>
      </c>
      <c r="B382" s="8" t="s">
        <v>882</v>
      </c>
      <c r="C382" s="8" t="s">
        <v>883</v>
      </c>
      <c r="D382" s="8">
        <v>9999</v>
      </c>
      <c r="E382" s="8" t="s">
        <v>37</v>
      </c>
      <c r="F382" s="8" t="s">
        <v>884</v>
      </c>
      <c r="G382" s="8" t="s">
        <v>39</v>
      </c>
      <c r="H382" s="8">
        <v>0.2</v>
      </c>
      <c r="I382" s="15">
        <v>5.85</v>
      </c>
      <c r="J382"/>
    </row>
    <row r="383" spans="1:10">
      <c r="A383" s="8" t="s">
        <v>885</v>
      </c>
      <c r="B383" s="8" t="s">
        <v>885</v>
      </c>
      <c r="C383" s="8" t="s">
        <v>886</v>
      </c>
      <c r="D383" s="8">
        <v>9999</v>
      </c>
      <c r="E383" s="8" t="s">
        <v>37</v>
      </c>
      <c r="F383" s="8" t="s">
        <v>887</v>
      </c>
      <c r="G383" s="8" t="s">
        <v>39</v>
      </c>
      <c r="H383" s="8">
        <v>0.2</v>
      </c>
      <c r="I383" s="15">
        <v>1.98</v>
      </c>
      <c r="J383"/>
    </row>
    <row r="384" spans="1:10">
      <c r="A384" s="8" t="s">
        <v>888</v>
      </c>
      <c r="B384" s="8" t="s">
        <v>888</v>
      </c>
      <c r="C384" s="8" t="s">
        <v>889</v>
      </c>
      <c r="D384" s="8">
        <v>9999</v>
      </c>
      <c r="E384" s="8" t="s">
        <v>37</v>
      </c>
      <c r="F384" s="8" t="s">
        <v>890</v>
      </c>
      <c r="G384" s="8" t="s">
        <v>39</v>
      </c>
      <c r="H384" s="8">
        <v>0.2</v>
      </c>
      <c r="I384" s="15">
        <v>7.3</v>
      </c>
      <c r="J384"/>
    </row>
    <row r="385" spans="1:10">
      <c r="A385" s="10"/>
      <c r="B385" s="10"/>
      <c r="C385" s="10"/>
      <c r="D385" s="10"/>
      <c r="E385" s="10"/>
      <c r="F385" s="10"/>
      <c r="G385" s="8" t="s">
        <v>40</v>
      </c>
      <c r="H385" s="8">
        <v>0.25</v>
      </c>
      <c r="I385" s="15">
        <v>2.52</v>
      </c>
      <c r="J385"/>
    </row>
    <row r="386" spans="1:10">
      <c r="A386" s="8" t="s">
        <v>891</v>
      </c>
      <c r="B386" s="8" t="s">
        <v>891</v>
      </c>
      <c r="C386" s="8" t="s">
        <v>892</v>
      </c>
      <c r="D386" s="8">
        <v>9999</v>
      </c>
      <c r="E386" s="8" t="s">
        <v>37</v>
      </c>
      <c r="F386" s="8" t="s">
        <v>893</v>
      </c>
      <c r="G386" s="8" t="s">
        <v>39</v>
      </c>
      <c r="H386" s="8">
        <v>0.2</v>
      </c>
      <c r="I386" s="15">
        <v>2.74</v>
      </c>
      <c r="J386"/>
    </row>
    <row r="387" spans="1:10">
      <c r="A387" s="8" t="s">
        <v>894</v>
      </c>
      <c r="B387" s="8" t="s">
        <v>894</v>
      </c>
      <c r="C387" s="8" t="s">
        <v>895</v>
      </c>
      <c r="D387" s="8">
        <v>9999</v>
      </c>
      <c r="E387" s="8" t="s">
        <v>37</v>
      </c>
      <c r="F387" s="8" t="s">
        <v>896</v>
      </c>
      <c r="G387" s="8" t="s">
        <v>39</v>
      </c>
      <c r="H387" s="8">
        <v>0.2</v>
      </c>
      <c r="I387" s="15">
        <v>2.58</v>
      </c>
      <c r="J387"/>
    </row>
    <row r="388" spans="1:10">
      <c r="A388" s="8" t="s">
        <v>897</v>
      </c>
      <c r="B388" s="8" t="s">
        <v>897</v>
      </c>
      <c r="C388" s="8" t="s">
        <v>898</v>
      </c>
      <c r="D388" s="8">
        <v>9999</v>
      </c>
      <c r="E388" s="8" t="s">
        <v>37</v>
      </c>
      <c r="F388" s="8" t="s">
        <v>899</v>
      </c>
      <c r="G388" s="8" t="s">
        <v>39</v>
      </c>
      <c r="H388" s="8">
        <v>0.2</v>
      </c>
      <c r="I388" s="15">
        <v>2.82</v>
      </c>
      <c r="J388"/>
    </row>
    <row r="389" spans="1:10">
      <c r="A389" s="8" t="s">
        <v>900</v>
      </c>
      <c r="B389" s="8" t="s">
        <v>900</v>
      </c>
      <c r="C389" s="8" t="s">
        <v>901</v>
      </c>
      <c r="D389" s="8">
        <v>9999</v>
      </c>
      <c r="E389" s="8" t="s">
        <v>37</v>
      </c>
      <c r="F389" s="8" t="s">
        <v>902</v>
      </c>
      <c r="G389" s="8" t="s">
        <v>39</v>
      </c>
      <c r="H389" s="8">
        <v>0.2</v>
      </c>
      <c r="I389" s="15">
        <v>14.25</v>
      </c>
      <c r="J389"/>
    </row>
    <row r="390" spans="1:10">
      <c r="A390" s="10"/>
      <c r="B390" s="10"/>
      <c r="C390" s="10"/>
      <c r="D390" s="10"/>
      <c r="E390" s="10"/>
      <c r="F390" s="10"/>
      <c r="G390" s="8" t="s">
        <v>40</v>
      </c>
      <c r="H390" s="8">
        <v>0.25</v>
      </c>
      <c r="I390" s="15">
        <v>22.06</v>
      </c>
      <c r="J390"/>
    </row>
    <row r="391" spans="1:10">
      <c r="A391" s="8" t="s">
        <v>903</v>
      </c>
      <c r="B391" s="8" t="s">
        <v>903</v>
      </c>
      <c r="C391" s="8" t="s">
        <v>904</v>
      </c>
      <c r="D391" s="8">
        <v>9999</v>
      </c>
      <c r="E391" s="8" t="s">
        <v>37</v>
      </c>
      <c r="F391" s="8" t="s">
        <v>905</v>
      </c>
      <c r="G391" s="8" t="s">
        <v>39</v>
      </c>
      <c r="H391" s="8">
        <v>0.2</v>
      </c>
      <c r="I391" s="15">
        <v>19.46</v>
      </c>
      <c r="J391"/>
    </row>
    <row r="392" spans="1:10">
      <c r="A392" s="8" t="s">
        <v>906</v>
      </c>
      <c r="B392" s="8" t="s">
        <v>906</v>
      </c>
      <c r="C392" s="8" t="s">
        <v>907</v>
      </c>
      <c r="D392" s="8">
        <v>9999</v>
      </c>
      <c r="E392" s="8" t="s">
        <v>37</v>
      </c>
      <c r="F392" s="8" t="s">
        <v>908</v>
      </c>
      <c r="G392" s="8" t="s">
        <v>39</v>
      </c>
      <c r="H392" s="8">
        <v>0.2</v>
      </c>
      <c r="I392" s="15">
        <v>2.0699999999999998</v>
      </c>
      <c r="J392"/>
    </row>
    <row r="393" spans="1:10">
      <c r="A393" s="8" t="s">
        <v>909</v>
      </c>
      <c r="B393" s="8" t="s">
        <v>909</v>
      </c>
      <c r="C393" s="8" t="s">
        <v>910</v>
      </c>
      <c r="D393" s="8">
        <v>9999</v>
      </c>
      <c r="E393" s="8" t="s">
        <v>37</v>
      </c>
      <c r="F393" s="8" t="s">
        <v>911</v>
      </c>
      <c r="G393" s="8" t="s">
        <v>39</v>
      </c>
      <c r="H393" s="8">
        <v>0.2</v>
      </c>
      <c r="I393" s="15">
        <v>6.28</v>
      </c>
      <c r="J393"/>
    </row>
    <row r="394" spans="1:10">
      <c r="A394" s="10"/>
      <c r="B394" s="10"/>
      <c r="C394" s="10"/>
      <c r="D394" s="10"/>
      <c r="E394" s="10"/>
      <c r="F394" s="10"/>
      <c r="G394" s="8" t="s">
        <v>40</v>
      </c>
      <c r="H394" s="8">
        <v>0.25</v>
      </c>
      <c r="I394" s="15">
        <v>4.1100000000000003</v>
      </c>
      <c r="J394"/>
    </row>
    <row r="395" spans="1:10">
      <c r="A395" s="8" t="s">
        <v>912</v>
      </c>
      <c r="B395" s="8" t="s">
        <v>912</v>
      </c>
      <c r="C395" s="8" t="s">
        <v>913</v>
      </c>
      <c r="D395" s="8">
        <v>9999</v>
      </c>
      <c r="E395" s="8" t="s">
        <v>37</v>
      </c>
      <c r="F395" s="8" t="s">
        <v>914</v>
      </c>
      <c r="G395" s="8" t="s">
        <v>39</v>
      </c>
      <c r="H395" s="8">
        <v>0.2</v>
      </c>
      <c r="I395" s="15">
        <v>4.7699999999999996</v>
      </c>
      <c r="J395"/>
    </row>
    <row r="396" spans="1:10">
      <c r="A396" s="10"/>
      <c r="B396" s="10"/>
      <c r="C396" s="10"/>
      <c r="D396" s="10"/>
      <c r="E396" s="10"/>
      <c r="F396" s="10"/>
      <c r="G396" s="8" t="s">
        <v>40</v>
      </c>
      <c r="H396" s="8">
        <v>0.25</v>
      </c>
      <c r="I396" s="15">
        <v>20.16</v>
      </c>
      <c r="J396"/>
    </row>
    <row r="397" spans="1:10">
      <c r="A397" s="8" t="s">
        <v>915</v>
      </c>
      <c r="B397" s="8" t="s">
        <v>915</v>
      </c>
      <c r="C397" s="8" t="s">
        <v>916</v>
      </c>
      <c r="D397" s="8">
        <v>9999</v>
      </c>
      <c r="E397" s="8" t="s">
        <v>37</v>
      </c>
      <c r="F397" s="8" t="s">
        <v>917</v>
      </c>
      <c r="G397" s="8" t="s">
        <v>39</v>
      </c>
      <c r="H397" s="8">
        <v>0.2</v>
      </c>
      <c r="I397" s="15">
        <v>2.74</v>
      </c>
      <c r="J397"/>
    </row>
    <row r="398" spans="1:10">
      <c r="A398" s="8" t="s">
        <v>918</v>
      </c>
      <c r="B398" s="8" t="s">
        <v>918</v>
      </c>
      <c r="C398" s="8" t="s">
        <v>919</v>
      </c>
      <c r="D398" s="8">
        <v>9999</v>
      </c>
      <c r="E398" s="8" t="s">
        <v>37</v>
      </c>
      <c r="F398" s="8" t="s">
        <v>920</v>
      </c>
      <c r="G398" s="8" t="s">
        <v>39</v>
      </c>
      <c r="H398" s="8">
        <v>0.2</v>
      </c>
      <c r="I398" s="15">
        <v>52.08</v>
      </c>
      <c r="J398"/>
    </row>
    <row r="399" spans="1:10">
      <c r="A399" s="8" t="s">
        <v>921</v>
      </c>
      <c r="B399" s="8" t="s">
        <v>921</v>
      </c>
      <c r="C399" s="8" t="s">
        <v>922</v>
      </c>
      <c r="D399" s="8">
        <v>9999</v>
      </c>
      <c r="E399" s="8" t="s">
        <v>37</v>
      </c>
      <c r="F399" s="8" t="s">
        <v>923</v>
      </c>
      <c r="G399" s="8" t="s">
        <v>39</v>
      </c>
      <c r="H399" s="8">
        <v>0.2</v>
      </c>
      <c r="I399" s="15">
        <v>6.89</v>
      </c>
      <c r="J399"/>
    </row>
    <row r="400" spans="1:10">
      <c r="A400" s="8" t="s">
        <v>924</v>
      </c>
      <c r="B400" s="8" t="s">
        <v>924</v>
      </c>
      <c r="C400" s="8" t="s">
        <v>925</v>
      </c>
      <c r="D400" s="8">
        <v>9999</v>
      </c>
      <c r="E400" s="8" t="s">
        <v>37</v>
      </c>
      <c r="F400" s="8" t="s">
        <v>926</v>
      </c>
      <c r="G400" s="8" t="s">
        <v>39</v>
      </c>
      <c r="H400" s="8">
        <v>0.2</v>
      </c>
      <c r="I400" s="15">
        <v>2.3199999999999998</v>
      </c>
      <c r="J400"/>
    </row>
    <row r="401" spans="1:10">
      <c r="A401" s="8" t="s">
        <v>927</v>
      </c>
      <c r="B401" s="8" t="s">
        <v>927</v>
      </c>
      <c r="C401" s="8" t="s">
        <v>928</v>
      </c>
      <c r="D401" s="8">
        <v>9999</v>
      </c>
      <c r="E401" s="8" t="s">
        <v>37</v>
      </c>
      <c r="F401" s="8" t="s">
        <v>929</v>
      </c>
      <c r="G401" s="8" t="s">
        <v>39</v>
      </c>
      <c r="H401" s="8">
        <v>0.2</v>
      </c>
      <c r="I401" s="15">
        <v>94.76</v>
      </c>
      <c r="J401"/>
    </row>
    <row r="402" spans="1:10">
      <c r="A402" s="10"/>
      <c r="B402" s="10"/>
      <c r="C402" s="10"/>
      <c r="D402" s="10"/>
      <c r="E402" s="10"/>
      <c r="F402" s="10"/>
      <c r="G402" s="8" t="s">
        <v>40</v>
      </c>
      <c r="H402" s="8">
        <v>0.25</v>
      </c>
      <c r="I402" s="15">
        <v>38.28</v>
      </c>
      <c r="J402"/>
    </row>
    <row r="403" spans="1:10">
      <c r="A403" s="8" t="s">
        <v>930</v>
      </c>
      <c r="B403" s="8" t="s">
        <v>930</v>
      </c>
      <c r="C403" s="8" t="s">
        <v>931</v>
      </c>
      <c r="D403" s="8">
        <v>9999</v>
      </c>
      <c r="E403" s="8" t="s">
        <v>37</v>
      </c>
      <c r="F403" s="8" t="s">
        <v>932</v>
      </c>
      <c r="G403" s="8" t="s">
        <v>39</v>
      </c>
      <c r="H403" s="8">
        <v>0.2</v>
      </c>
      <c r="I403" s="15">
        <v>2.3199999999999998</v>
      </c>
      <c r="J403"/>
    </row>
    <row r="404" spans="1:10">
      <c r="A404" s="8" t="s">
        <v>933</v>
      </c>
      <c r="B404" s="8" t="s">
        <v>934</v>
      </c>
      <c r="C404" s="8" t="s">
        <v>935</v>
      </c>
      <c r="D404" s="8">
        <v>9999</v>
      </c>
      <c r="E404" s="8" t="s">
        <v>37</v>
      </c>
      <c r="F404" s="8" t="s">
        <v>936</v>
      </c>
      <c r="G404" s="8" t="s">
        <v>39</v>
      </c>
      <c r="H404" s="8">
        <v>0.2</v>
      </c>
      <c r="I404" s="15">
        <v>26.99</v>
      </c>
      <c r="J404"/>
    </row>
    <row r="405" spans="1:10">
      <c r="A405" s="10"/>
      <c r="B405" s="10"/>
      <c r="C405" s="10"/>
      <c r="D405" s="10"/>
      <c r="E405" s="10"/>
      <c r="F405" s="10"/>
      <c r="G405" s="8" t="s">
        <v>40</v>
      </c>
      <c r="H405" s="8">
        <v>0.25</v>
      </c>
      <c r="I405" s="15">
        <v>3.91</v>
      </c>
      <c r="J405"/>
    </row>
    <row r="406" spans="1:10">
      <c r="A406" s="8" t="s">
        <v>937</v>
      </c>
      <c r="B406" s="8" t="s">
        <v>938</v>
      </c>
      <c r="C406" s="8" t="s">
        <v>939</v>
      </c>
      <c r="D406" s="8">
        <v>9999</v>
      </c>
      <c r="E406" s="8" t="s">
        <v>37</v>
      </c>
      <c r="F406" s="8" t="s">
        <v>940</v>
      </c>
      <c r="G406" s="8" t="s">
        <v>39</v>
      </c>
      <c r="H406" s="8">
        <v>0.2</v>
      </c>
      <c r="I406" s="15">
        <v>2.2799999999999998</v>
      </c>
      <c r="J406"/>
    </row>
    <row r="407" spans="1:10">
      <c r="A407" s="8" t="s">
        <v>941</v>
      </c>
      <c r="B407" s="8" t="s">
        <v>941</v>
      </c>
      <c r="C407" s="8" t="s">
        <v>942</v>
      </c>
      <c r="D407" s="8">
        <v>9999</v>
      </c>
      <c r="E407" s="8" t="s">
        <v>37</v>
      </c>
      <c r="F407" s="8" t="s">
        <v>943</v>
      </c>
      <c r="G407" s="8" t="s">
        <v>39</v>
      </c>
      <c r="H407" s="8">
        <v>0.2</v>
      </c>
      <c r="I407" s="15">
        <v>2.04</v>
      </c>
      <c r="J407"/>
    </row>
    <row r="408" spans="1:10">
      <c r="A408" s="10"/>
      <c r="B408" s="10"/>
      <c r="C408" s="10"/>
      <c r="D408" s="10"/>
      <c r="E408" s="10"/>
      <c r="F408" s="10"/>
      <c r="G408" s="8" t="s">
        <v>40</v>
      </c>
      <c r="H408" s="8">
        <v>0.25</v>
      </c>
      <c r="I408" s="15">
        <v>2.08</v>
      </c>
      <c r="J408"/>
    </row>
    <row r="409" spans="1:10">
      <c r="A409" s="8" t="s">
        <v>944</v>
      </c>
      <c r="B409" s="8" t="s">
        <v>945</v>
      </c>
      <c r="C409" s="8" t="s">
        <v>946</v>
      </c>
      <c r="D409" s="8">
        <v>9999</v>
      </c>
      <c r="E409" s="8" t="s">
        <v>37</v>
      </c>
      <c r="F409" s="8" t="s">
        <v>947</v>
      </c>
      <c r="G409" s="8" t="s">
        <v>39</v>
      </c>
      <c r="H409" s="8">
        <v>0.2</v>
      </c>
      <c r="I409" s="15">
        <v>3.29</v>
      </c>
      <c r="J409"/>
    </row>
    <row r="410" spans="1:10">
      <c r="A410" s="10"/>
      <c r="B410" s="10"/>
      <c r="C410" s="10"/>
      <c r="D410" s="10"/>
      <c r="E410" s="10"/>
      <c r="F410" s="10"/>
      <c r="G410" s="8" t="s">
        <v>40</v>
      </c>
      <c r="H410" s="8">
        <v>0.25</v>
      </c>
      <c r="I410" s="15">
        <v>0.41</v>
      </c>
      <c r="J410"/>
    </row>
    <row r="411" spans="1:10">
      <c r="A411" s="8" t="s">
        <v>948</v>
      </c>
      <c r="B411" s="8" t="s">
        <v>948</v>
      </c>
      <c r="C411" s="8" t="s">
        <v>949</v>
      </c>
      <c r="D411" s="8">
        <v>9999</v>
      </c>
      <c r="E411" s="8" t="s">
        <v>37</v>
      </c>
      <c r="F411" s="8" t="s">
        <v>950</v>
      </c>
      <c r="G411" s="8" t="s">
        <v>39</v>
      </c>
      <c r="H411" s="8">
        <v>0.2</v>
      </c>
      <c r="I411" s="15">
        <v>4.5599999999999996</v>
      </c>
      <c r="J411"/>
    </row>
    <row r="412" spans="1:10">
      <c r="A412" s="8" t="s">
        <v>951</v>
      </c>
      <c r="B412" s="8" t="s">
        <v>951</v>
      </c>
      <c r="C412" s="8" t="s">
        <v>952</v>
      </c>
      <c r="D412" s="8">
        <v>9999</v>
      </c>
      <c r="E412" s="8" t="s">
        <v>37</v>
      </c>
      <c r="F412" s="8" t="s">
        <v>953</v>
      </c>
      <c r="G412" s="8" t="s">
        <v>39</v>
      </c>
      <c r="H412" s="8">
        <v>0.2</v>
      </c>
      <c r="I412" s="15">
        <v>7.92</v>
      </c>
      <c r="J412"/>
    </row>
    <row r="413" spans="1:10">
      <c r="A413" s="8" t="s">
        <v>954</v>
      </c>
      <c r="B413" s="8" t="s">
        <v>954</v>
      </c>
      <c r="C413" s="8" t="s">
        <v>955</v>
      </c>
      <c r="D413" s="8">
        <v>9999</v>
      </c>
      <c r="E413" s="8" t="s">
        <v>37</v>
      </c>
      <c r="F413" s="8" t="s">
        <v>556</v>
      </c>
      <c r="G413" s="8" t="s">
        <v>39</v>
      </c>
      <c r="H413" s="8">
        <v>0.2</v>
      </c>
      <c r="I413" s="15">
        <v>2.74</v>
      </c>
      <c r="J413"/>
    </row>
    <row r="414" spans="1:10">
      <c r="A414" s="8" t="s">
        <v>956</v>
      </c>
      <c r="B414" s="8" t="s">
        <v>956</v>
      </c>
      <c r="C414" s="8" t="s">
        <v>957</v>
      </c>
      <c r="D414" s="8">
        <v>9999</v>
      </c>
      <c r="E414" s="8" t="s">
        <v>37</v>
      </c>
      <c r="F414" s="8" t="s">
        <v>958</v>
      </c>
      <c r="G414" s="8" t="s">
        <v>39</v>
      </c>
      <c r="H414" s="8">
        <v>0.2</v>
      </c>
      <c r="I414" s="15">
        <v>2</v>
      </c>
      <c r="J414"/>
    </row>
    <row r="415" spans="1:10">
      <c r="A415" s="10"/>
      <c r="B415" s="10"/>
      <c r="C415" s="10"/>
      <c r="D415" s="10"/>
      <c r="E415" s="10"/>
      <c r="F415" s="10"/>
      <c r="G415" s="8" t="s">
        <v>40</v>
      </c>
      <c r="H415" s="8">
        <v>0.25</v>
      </c>
      <c r="I415" s="15">
        <v>0.12</v>
      </c>
      <c r="J415"/>
    </row>
    <row r="416" spans="1:10">
      <c r="A416" s="8" t="s">
        <v>959</v>
      </c>
      <c r="B416" s="8" t="s">
        <v>960</v>
      </c>
      <c r="C416" s="8" t="s">
        <v>961</v>
      </c>
      <c r="D416" s="8">
        <v>9999</v>
      </c>
      <c r="E416" s="8" t="s">
        <v>37</v>
      </c>
      <c r="F416" s="8" t="s">
        <v>962</v>
      </c>
      <c r="G416" s="8" t="s">
        <v>39</v>
      </c>
      <c r="H416" s="8">
        <v>0.2</v>
      </c>
      <c r="I416" s="15">
        <v>30.81</v>
      </c>
      <c r="J416"/>
    </row>
    <row r="417" spans="1:10">
      <c r="A417" s="10"/>
      <c r="B417" s="10"/>
      <c r="C417" s="10"/>
      <c r="D417" s="10"/>
      <c r="E417" s="10"/>
      <c r="F417" s="10"/>
      <c r="G417" s="8" t="s">
        <v>40</v>
      </c>
      <c r="H417" s="8">
        <v>0.25</v>
      </c>
      <c r="I417" s="15">
        <v>2.19</v>
      </c>
      <c r="J417"/>
    </row>
    <row r="418" spans="1:10">
      <c r="A418" s="8" t="s">
        <v>963</v>
      </c>
      <c r="B418" s="8" t="s">
        <v>964</v>
      </c>
      <c r="C418" s="8" t="s">
        <v>965</v>
      </c>
      <c r="D418" s="8">
        <v>9999</v>
      </c>
      <c r="E418" s="8" t="s">
        <v>37</v>
      </c>
      <c r="F418" s="8" t="s">
        <v>966</v>
      </c>
      <c r="G418" s="8" t="s">
        <v>39</v>
      </c>
      <c r="H418" s="8">
        <v>0.2</v>
      </c>
      <c r="I418" s="15">
        <v>2.58</v>
      </c>
      <c r="J418"/>
    </row>
    <row r="419" spans="1:10">
      <c r="A419" s="10"/>
      <c r="B419" s="10"/>
      <c r="C419" s="10"/>
      <c r="D419" s="10"/>
      <c r="E419" s="10"/>
      <c r="F419" s="10"/>
      <c r="G419" s="8" t="s">
        <v>40</v>
      </c>
      <c r="H419" s="8">
        <v>0.25</v>
      </c>
      <c r="I419" s="15">
        <v>0.54</v>
      </c>
      <c r="J419"/>
    </row>
    <row r="420" spans="1:10">
      <c r="A420" s="8" t="s">
        <v>967</v>
      </c>
      <c r="B420" s="8" t="s">
        <v>968</v>
      </c>
      <c r="C420" s="8" t="s">
        <v>969</v>
      </c>
      <c r="D420" s="8">
        <v>9999</v>
      </c>
      <c r="E420" s="8" t="s">
        <v>37</v>
      </c>
      <c r="F420" s="8" t="s">
        <v>970</v>
      </c>
      <c r="G420" s="8" t="s">
        <v>39</v>
      </c>
      <c r="H420" s="8">
        <v>0.2</v>
      </c>
      <c r="I420" s="15">
        <v>7.75</v>
      </c>
      <c r="J420"/>
    </row>
    <row r="421" spans="1:10">
      <c r="A421" s="10"/>
      <c r="B421" s="10"/>
      <c r="C421" s="10"/>
      <c r="D421" s="10"/>
      <c r="E421" s="10"/>
      <c r="F421" s="10"/>
      <c r="G421" s="8" t="s">
        <v>40</v>
      </c>
      <c r="H421" s="8">
        <v>0.25</v>
      </c>
      <c r="I421" s="15">
        <v>1.23</v>
      </c>
      <c r="J421"/>
    </row>
    <row r="422" spans="1:10">
      <c r="A422" s="8" t="s">
        <v>971</v>
      </c>
      <c r="B422" s="8" t="s">
        <v>972</v>
      </c>
      <c r="C422" s="8" t="s">
        <v>973</v>
      </c>
      <c r="D422" s="8">
        <v>9999</v>
      </c>
      <c r="E422" s="8" t="s">
        <v>37</v>
      </c>
      <c r="F422" s="8" t="s">
        <v>974</v>
      </c>
      <c r="G422" s="8" t="s">
        <v>39</v>
      </c>
      <c r="H422" s="8">
        <v>0.2</v>
      </c>
      <c r="I422" s="15">
        <v>3.8</v>
      </c>
      <c r="J422"/>
    </row>
    <row r="423" spans="1:10">
      <c r="A423" s="8" t="s">
        <v>975</v>
      </c>
      <c r="B423" s="8" t="s">
        <v>976</v>
      </c>
      <c r="C423" s="8" t="s">
        <v>977</v>
      </c>
      <c r="D423" s="8">
        <v>9999</v>
      </c>
      <c r="E423" s="8" t="s">
        <v>37</v>
      </c>
      <c r="F423" s="8" t="s">
        <v>679</v>
      </c>
      <c r="G423" s="8" t="s">
        <v>39</v>
      </c>
      <c r="H423" s="8">
        <v>0.2</v>
      </c>
      <c r="I423" s="15">
        <v>12.8</v>
      </c>
      <c r="J423"/>
    </row>
    <row r="424" spans="1:10">
      <c r="A424" s="8" t="s">
        <v>978</v>
      </c>
      <c r="B424" s="8" t="s">
        <v>978</v>
      </c>
      <c r="C424" s="8" t="s">
        <v>979</v>
      </c>
      <c r="D424" s="8">
        <v>9999</v>
      </c>
      <c r="E424" s="8" t="s">
        <v>37</v>
      </c>
      <c r="F424" s="8" t="s">
        <v>980</v>
      </c>
      <c r="G424" s="8" t="s">
        <v>39</v>
      </c>
      <c r="H424" s="8">
        <v>0.2</v>
      </c>
      <c r="I424" s="15">
        <v>2.08</v>
      </c>
      <c r="J424"/>
    </row>
    <row r="425" spans="1:10">
      <c r="A425" s="8" t="s">
        <v>981</v>
      </c>
      <c r="B425" s="8" t="s">
        <v>981</v>
      </c>
      <c r="C425" s="8" t="s">
        <v>982</v>
      </c>
      <c r="D425" s="8">
        <v>9999</v>
      </c>
      <c r="E425" s="8" t="s">
        <v>37</v>
      </c>
      <c r="F425" s="8" t="s">
        <v>983</v>
      </c>
      <c r="G425" s="8" t="s">
        <v>39</v>
      </c>
      <c r="H425" s="8">
        <v>0.2</v>
      </c>
      <c r="I425" s="15">
        <v>2.2599999999999998</v>
      </c>
      <c r="J425"/>
    </row>
    <row r="426" spans="1:10">
      <c r="A426" s="8" t="s">
        <v>984</v>
      </c>
      <c r="B426" s="8" t="s">
        <v>984</v>
      </c>
      <c r="C426" s="8" t="s">
        <v>985</v>
      </c>
      <c r="D426" s="8">
        <v>9999</v>
      </c>
      <c r="E426" s="8" t="s">
        <v>37</v>
      </c>
      <c r="F426" s="8" t="s">
        <v>986</v>
      </c>
      <c r="G426" s="8" t="s">
        <v>39</v>
      </c>
      <c r="H426" s="8">
        <v>0.2</v>
      </c>
      <c r="I426" s="15">
        <v>1.92</v>
      </c>
      <c r="J426"/>
    </row>
    <row r="427" spans="1:10">
      <c r="A427" s="8" t="s">
        <v>987</v>
      </c>
      <c r="B427" s="8" t="s">
        <v>987</v>
      </c>
      <c r="C427" s="8" t="s">
        <v>988</v>
      </c>
      <c r="D427" s="8">
        <v>9999</v>
      </c>
      <c r="E427" s="8" t="s">
        <v>37</v>
      </c>
      <c r="F427" s="8" t="s">
        <v>989</v>
      </c>
      <c r="G427" s="8" t="s">
        <v>39</v>
      </c>
      <c r="H427" s="8">
        <v>0.2</v>
      </c>
      <c r="I427" s="15">
        <v>2.0699999999999998</v>
      </c>
      <c r="J427"/>
    </row>
    <row r="428" spans="1:10">
      <c r="A428" s="8" t="s">
        <v>990</v>
      </c>
      <c r="B428" s="8" t="s">
        <v>991</v>
      </c>
      <c r="C428" s="8" t="s">
        <v>992</v>
      </c>
      <c r="D428" s="8">
        <v>9999</v>
      </c>
      <c r="E428" s="8" t="s">
        <v>37</v>
      </c>
      <c r="F428" s="8" t="s">
        <v>450</v>
      </c>
      <c r="G428" s="8" t="s">
        <v>39</v>
      </c>
      <c r="H428" s="8">
        <v>0.2</v>
      </c>
      <c r="I428" s="15">
        <v>4.08</v>
      </c>
      <c r="J428"/>
    </row>
    <row r="429" spans="1:10">
      <c r="A429" s="8" t="s">
        <v>993</v>
      </c>
      <c r="B429" s="8" t="s">
        <v>994</v>
      </c>
      <c r="C429" s="8" t="s">
        <v>995</v>
      </c>
      <c r="D429" s="8">
        <v>9999</v>
      </c>
      <c r="E429" s="8" t="s">
        <v>37</v>
      </c>
      <c r="F429" s="8" t="s">
        <v>996</v>
      </c>
      <c r="G429" s="8" t="s">
        <v>39</v>
      </c>
      <c r="H429" s="8">
        <v>0.2</v>
      </c>
      <c r="I429" s="15">
        <v>1.93</v>
      </c>
      <c r="J429"/>
    </row>
    <row r="430" spans="1:10">
      <c r="A430" s="10"/>
      <c r="B430" s="10"/>
      <c r="C430" s="10"/>
      <c r="D430" s="10"/>
      <c r="E430" s="10"/>
      <c r="F430" s="10"/>
      <c r="G430" s="8" t="s">
        <v>40</v>
      </c>
      <c r="H430" s="8">
        <v>0.25</v>
      </c>
      <c r="I430" s="15">
        <v>0.03</v>
      </c>
      <c r="J430"/>
    </row>
    <row r="431" spans="1:10">
      <c r="A431" s="8" t="s">
        <v>997</v>
      </c>
      <c r="B431" s="8" t="s">
        <v>998</v>
      </c>
      <c r="C431" s="8" t="s">
        <v>999</v>
      </c>
      <c r="D431" s="8">
        <v>9999</v>
      </c>
      <c r="E431" s="8" t="s">
        <v>37</v>
      </c>
      <c r="F431" s="8" t="s">
        <v>1000</v>
      </c>
      <c r="G431" s="8" t="s">
        <v>39</v>
      </c>
      <c r="H431" s="8">
        <v>0.2</v>
      </c>
      <c r="I431" s="15">
        <v>2.34</v>
      </c>
      <c r="J431"/>
    </row>
    <row r="432" spans="1:10">
      <c r="A432" s="8" t="s">
        <v>1001</v>
      </c>
      <c r="B432" s="8" t="s">
        <v>1002</v>
      </c>
      <c r="C432" s="8" t="s">
        <v>1003</v>
      </c>
      <c r="D432" s="8">
        <v>9999</v>
      </c>
      <c r="E432" s="8" t="s">
        <v>37</v>
      </c>
      <c r="F432" s="8" t="s">
        <v>1004</v>
      </c>
      <c r="G432" s="8" t="s">
        <v>39</v>
      </c>
      <c r="H432" s="8">
        <v>0.2</v>
      </c>
      <c r="I432" s="15">
        <v>1.97</v>
      </c>
      <c r="J432"/>
    </row>
    <row r="433" spans="1:10">
      <c r="A433" s="8" t="s">
        <v>1005</v>
      </c>
      <c r="B433" s="8" t="s">
        <v>1006</v>
      </c>
      <c r="C433" s="8" t="s">
        <v>1007</v>
      </c>
      <c r="D433" s="8">
        <v>9999</v>
      </c>
      <c r="E433" s="8" t="s">
        <v>37</v>
      </c>
      <c r="F433" s="8" t="s">
        <v>1008</v>
      </c>
      <c r="G433" s="8" t="s">
        <v>39</v>
      </c>
      <c r="H433" s="8">
        <v>0.2</v>
      </c>
      <c r="I433" s="15">
        <v>18.43</v>
      </c>
      <c r="J433"/>
    </row>
    <row r="434" spans="1:10">
      <c r="A434" s="8" t="s">
        <v>1009</v>
      </c>
      <c r="B434" s="8" t="s">
        <v>1010</v>
      </c>
      <c r="C434" s="8" t="s">
        <v>1011</v>
      </c>
      <c r="D434" s="8">
        <v>9999</v>
      </c>
      <c r="E434" s="8" t="s">
        <v>37</v>
      </c>
      <c r="F434" s="8" t="s">
        <v>986</v>
      </c>
      <c r="G434" s="8" t="s">
        <v>39</v>
      </c>
      <c r="H434" s="8">
        <v>0.2</v>
      </c>
      <c r="I434" s="15">
        <v>1.93</v>
      </c>
      <c r="J434"/>
    </row>
    <row r="435" spans="1:10">
      <c r="A435" s="8" t="s">
        <v>1012</v>
      </c>
      <c r="B435" s="8" t="s">
        <v>1013</v>
      </c>
      <c r="C435" s="8" t="s">
        <v>1014</v>
      </c>
      <c r="D435" s="8">
        <v>9999</v>
      </c>
      <c r="E435" s="8" t="s">
        <v>37</v>
      </c>
      <c r="F435" s="8" t="s">
        <v>1015</v>
      </c>
      <c r="G435" s="8" t="s">
        <v>39</v>
      </c>
      <c r="H435" s="8">
        <v>0.2</v>
      </c>
      <c r="I435" s="15">
        <v>2.5299999999999998</v>
      </c>
      <c r="J435"/>
    </row>
    <row r="436" spans="1:10">
      <c r="A436" s="10"/>
      <c r="B436" s="10"/>
      <c r="C436" s="10"/>
      <c r="D436" s="10"/>
      <c r="E436" s="10"/>
      <c r="F436" s="10"/>
      <c r="G436" s="8" t="s">
        <v>40</v>
      </c>
      <c r="H436" s="8">
        <v>0.25</v>
      </c>
      <c r="I436" s="15">
        <v>0.02</v>
      </c>
      <c r="J436"/>
    </row>
    <row r="437" spans="1:10">
      <c r="A437" s="8" t="s">
        <v>1016</v>
      </c>
      <c r="B437" s="8" t="s">
        <v>1017</v>
      </c>
      <c r="C437" s="8" t="s">
        <v>1018</v>
      </c>
      <c r="D437" s="8">
        <v>9999</v>
      </c>
      <c r="E437" s="8" t="s">
        <v>37</v>
      </c>
      <c r="F437" s="8" t="s">
        <v>1019</v>
      </c>
      <c r="G437" s="8" t="s">
        <v>39</v>
      </c>
      <c r="H437" s="8">
        <v>0.2</v>
      </c>
      <c r="I437" s="15">
        <v>5.0199999999999996</v>
      </c>
      <c r="J437"/>
    </row>
    <row r="438" spans="1:10">
      <c r="A438" s="10"/>
      <c r="B438" s="10"/>
      <c r="C438" s="10"/>
      <c r="D438" s="10"/>
      <c r="E438" s="10"/>
      <c r="F438" s="10"/>
      <c r="G438" s="8" t="s">
        <v>40</v>
      </c>
      <c r="H438" s="8">
        <v>0.25</v>
      </c>
      <c r="I438" s="15">
        <v>1.89</v>
      </c>
      <c r="J438"/>
    </row>
    <row r="439" spans="1:10">
      <c r="A439" s="8" t="s">
        <v>1020</v>
      </c>
      <c r="B439" s="8" t="s">
        <v>1021</v>
      </c>
      <c r="C439" s="8" t="s">
        <v>1022</v>
      </c>
      <c r="D439" s="8">
        <v>9999</v>
      </c>
      <c r="E439" s="8" t="s">
        <v>37</v>
      </c>
      <c r="F439" s="8" t="s">
        <v>434</v>
      </c>
      <c r="G439" s="8" t="s">
        <v>39</v>
      </c>
      <c r="H439" s="8">
        <v>0.2</v>
      </c>
      <c r="I439" s="15">
        <v>3.23</v>
      </c>
      <c r="J439"/>
    </row>
    <row r="440" spans="1:10">
      <c r="A440" s="10"/>
      <c r="B440" s="10"/>
      <c r="C440" s="10"/>
      <c r="D440" s="10"/>
      <c r="E440" s="10"/>
      <c r="F440" s="10"/>
      <c r="G440" s="8" t="s">
        <v>40</v>
      </c>
      <c r="H440" s="8">
        <v>0.25</v>
      </c>
      <c r="I440" s="15">
        <v>0.01</v>
      </c>
      <c r="J440"/>
    </row>
    <row r="441" spans="1:10">
      <c r="A441" s="8" t="s">
        <v>1023</v>
      </c>
      <c r="B441" s="8" t="s">
        <v>1024</v>
      </c>
      <c r="C441" s="8" t="s">
        <v>1025</v>
      </c>
      <c r="D441" s="8">
        <v>9999</v>
      </c>
      <c r="E441" s="8" t="s">
        <v>37</v>
      </c>
      <c r="F441" s="8" t="s">
        <v>851</v>
      </c>
      <c r="G441" s="8" t="s">
        <v>39</v>
      </c>
      <c r="H441" s="8">
        <v>0.2</v>
      </c>
      <c r="I441" s="15">
        <v>3.18</v>
      </c>
      <c r="J441"/>
    </row>
    <row r="442" spans="1:10">
      <c r="A442" s="10"/>
      <c r="B442" s="10"/>
      <c r="C442" s="10"/>
      <c r="D442" s="10"/>
      <c r="E442" s="10"/>
      <c r="F442" s="10"/>
      <c r="G442" s="8" t="s">
        <v>40</v>
      </c>
      <c r="H442" s="8">
        <v>0.25</v>
      </c>
      <c r="I442" s="15">
        <v>7.75</v>
      </c>
      <c r="J442"/>
    </row>
    <row r="443" spans="1:10">
      <c r="A443" s="8" t="s">
        <v>1026</v>
      </c>
      <c r="B443" s="8" t="s">
        <v>1027</v>
      </c>
      <c r="C443" s="8" t="s">
        <v>1028</v>
      </c>
      <c r="D443" s="8">
        <v>9999</v>
      </c>
      <c r="E443" s="8" t="s">
        <v>37</v>
      </c>
      <c r="F443" s="8" t="s">
        <v>1029</v>
      </c>
      <c r="G443" s="8" t="s">
        <v>39</v>
      </c>
      <c r="H443" s="8">
        <v>0.2</v>
      </c>
      <c r="I443" s="15">
        <v>132.88999999999999</v>
      </c>
      <c r="J443"/>
    </row>
    <row r="444" spans="1:10">
      <c r="A444" s="10"/>
      <c r="B444" s="10"/>
      <c r="C444" s="10"/>
      <c r="D444" s="10"/>
      <c r="E444" s="10"/>
      <c r="F444" s="10"/>
      <c r="G444" s="8" t="s">
        <v>40</v>
      </c>
      <c r="H444" s="8">
        <v>0.25</v>
      </c>
      <c r="I444" s="15">
        <v>15.7</v>
      </c>
      <c r="J444"/>
    </row>
    <row r="445" spans="1:10">
      <c r="A445" s="8" t="s">
        <v>1030</v>
      </c>
      <c r="B445" s="8" t="s">
        <v>1031</v>
      </c>
      <c r="C445" s="8" t="s">
        <v>1032</v>
      </c>
      <c r="D445" s="8">
        <v>9999</v>
      </c>
      <c r="E445" s="8" t="s">
        <v>37</v>
      </c>
      <c r="F445" s="8" t="s">
        <v>1033</v>
      </c>
      <c r="G445" s="8" t="s">
        <v>39</v>
      </c>
      <c r="H445" s="8">
        <v>0.2</v>
      </c>
      <c r="I445" s="15">
        <v>4.03</v>
      </c>
      <c r="J445"/>
    </row>
    <row r="446" spans="1:10">
      <c r="A446" s="8" t="s">
        <v>1034</v>
      </c>
      <c r="B446" s="8" t="s">
        <v>1035</v>
      </c>
      <c r="C446" s="8" t="s">
        <v>1036</v>
      </c>
      <c r="D446" s="8">
        <v>9999</v>
      </c>
      <c r="E446" s="8" t="s">
        <v>37</v>
      </c>
      <c r="F446" s="8" t="s">
        <v>1037</v>
      </c>
      <c r="G446" s="8" t="s">
        <v>39</v>
      </c>
      <c r="H446" s="8">
        <v>0.2</v>
      </c>
      <c r="I446" s="15">
        <v>12.44</v>
      </c>
      <c r="J446"/>
    </row>
    <row r="447" spans="1:10">
      <c r="A447" s="10"/>
      <c r="B447" s="10"/>
      <c r="C447" s="10"/>
      <c r="D447" s="10"/>
      <c r="E447" s="10"/>
      <c r="F447" s="10"/>
      <c r="G447" s="8" t="s">
        <v>40</v>
      </c>
      <c r="H447" s="8">
        <v>0.25</v>
      </c>
      <c r="I447" s="15">
        <v>1.42</v>
      </c>
      <c r="J447"/>
    </row>
    <row r="448" spans="1:10">
      <c r="A448" s="8" t="s">
        <v>1038</v>
      </c>
      <c r="B448" s="8" t="s">
        <v>1039</v>
      </c>
      <c r="C448" s="8" t="s">
        <v>1040</v>
      </c>
      <c r="D448" s="8">
        <v>9999</v>
      </c>
      <c r="E448" s="8" t="s">
        <v>37</v>
      </c>
      <c r="F448" s="8" t="s">
        <v>1041</v>
      </c>
      <c r="G448" s="8" t="s">
        <v>39</v>
      </c>
      <c r="H448" s="8">
        <v>0.2</v>
      </c>
      <c r="I448" s="15">
        <v>28.65</v>
      </c>
      <c r="J448"/>
    </row>
    <row r="449" spans="1:10">
      <c r="A449" s="10"/>
      <c r="B449" s="10"/>
      <c r="C449" s="10"/>
      <c r="D449" s="10"/>
      <c r="E449" s="10"/>
      <c r="F449" s="10"/>
      <c r="G449" s="8" t="s">
        <v>40</v>
      </c>
      <c r="H449" s="8">
        <v>0.25</v>
      </c>
      <c r="I449" s="15">
        <v>51.66</v>
      </c>
      <c r="J449"/>
    </row>
    <row r="450" spans="1:10">
      <c r="A450" s="8" t="s">
        <v>1042</v>
      </c>
      <c r="B450" s="8" t="s">
        <v>1043</v>
      </c>
      <c r="C450" s="8" t="s">
        <v>1044</v>
      </c>
      <c r="D450" s="8">
        <v>9999</v>
      </c>
      <c r="E450" s="8" t="s">
        <v>37</v>
      </c>
      <c r="F450" s="8" t="s">
        <v>401</v>
      </c>
      <c r="G450" s="8" t="s">
        <v>39</v>
      </c>
      <c r="H450" s="8">
        <v>0.2</v>
      </c>
      <c r="I450" s="15">
        <v>6.93</v>
      </c>
      <c r="J450"/>
    </row>
    <row r="451" spans="1:10">
      <c r="A451" s="10"/>
      <c r="B451" s="10"/>
      <c r="C451" s="10"/>
      <c r="D451" s="10"/>
      <c r="E451" s="10"/>
      <c r="F451" s="10"/>
      <c r="G451" s="8" t="s">
        <v>40</v>
      </c>
      <c r="H451" s="8">
        <v>0.25</v>
      </c>
      <c r="I451" s="15">
        <v>4.8499999999999996</v>
      </c>
      <c r="J451"/>
    </row>
    <row r="452" spans="1:10">
      <c r="A452" s="8" t="s">
        <v>1045</v>
      </c>
      <c r="B452" s="8" t="s">
        <v>1046</v>
      </c>
      <c r="C452" s="8" t="s">
        <v>1047</v>
      </c>
      <c r="D452" s="8">
        <v>9999</v>
      </c>
      <c r="E452" s="8" t="s">
        <v>37</v>
      </c>
      <c r="F452" s="8" t="s">
        <v>1048</v>
      </c>
      <c r="G452" s="8" t="s">
        <v>39</v>
      </c>
      <c r="H452" s="8">
        <v>0.2</v>
      </c>
      <c r="I452" s="15">
        <v>5.27</v>
      </c>
      <c r="J452"/>
    </row>
    <row r="453" spans="1:10">
      <c r="A453" s="10"/>
      <c r="B453" s="10"/>
      <c r="C453" s="10"/>
      <c r="D453" s="10"/>
      <c r="E453" s="10"/>
      <c r="F453" s="10"/>
      <c r="G453" s="8" t="s">
        <v>40</v>
      </c>
      <c r="H453" s="8">
        <v>0.25</v>
      </c>
      <c r="I453" s="15">
        <v>0.6</v>
      </c>
      <c r="J453"/>
    </row>
    <row r="454" spans="1:10">
      <c r="A454" s="8" t="s">
        <v>1049</v>
      </c>
      <c r="B454" s="8" t="s">
        <v>1050</v>
      </c>
      <c r="C454" s="8" t="s">
        <v>1051</v>
      </c>
      <c r="D454" s="8">
        <v>9999</v>
      </c>
      <c r="E454" s="8" t="s">
        <v>37</v>
      </c>
      <c r="F454" s="8" t="s">
        <v>705</v>
      </c>
      <c r="G454" s="8" t="s">
        <v>39</v>
      </c>
      <c r="H454" s="8">
        <v>0.2</v>
      </c>
      <c r="I454" s="15">
        <v>130.77000000000001</v>
      </c>
      <c r="J454"/>
    </row>
    <row r="455" spans="1:10">
      <c r="A455" s="10"/>
      <c r="B455" s="10"/>
      <c r="C455" s="10"/>
      <c r="D455" s="10"/>
      <c r="E455" s="10"/>
      <c r="F455" s="10"/>
      <c r="G455" s="8" t="s">
        <v>40</v>
      </c>
      <c r="H455" s="8">
        <v>0.25</v>
      </c>
      <c r="I455" s="15">
        <v>25.85</v>
      </c>
      <c r="J455"/>
    </row>
    <row r="456" spans="1:10">
      <c r="A456" s="8" t="s">
        <v>1052</v>
      </c>
      <c r="B456" s="8" t="s">
        <v>1053</v>
      </c>
      <c r="C456" s="8" t="s">
        <v>1054</v>
      </c>
      <c r="D456" s="8">
        <v>9999</v>
      </c>
      <c r="E456" s="8" t="s">
        <v>37</v>
      </c>
      <c r="F456" s="8" t="s">
        <v>1055</v>
      </c>
      <c r="G456" s="8" t="s">
        <v>39</v>
      </c>
      <c r="H456" s="8">
        <v>0.2</v>
      </c>
      <c r="I456" s="15">
        <v>3.08</v>
      </c>
      <c r="J456"/>
    </row>
    <row r="457" spans="1:10">
      <c r="A457" s="10"/>
      <c r="B457" s="10"/>
      <c r="C457" s="10"/>
      <c r="D457" s="10"/>
      <c r="E457" s="10"/>
      <c r="F457" s="10"/>
      <c r="G457" s="8" t="s">
        <v>40</v>
      </c>
      <c r="H457" s="8">
        <v>0.25</v>
      </c>
      <c r="I457" s="15">
        <v>0.01</v>
      </c>
      <c r="J457"/>
    </row>
    <row r="458" spans="1:10">
      <c r="A458" s="8" t="s">
        <v>1056</v>
      </c>
      <c r="B458" s="8" t="s">
        <v>1056</v>
      </c>
      <c r="C458" s="8" t="s">
        <v>1057</v>
      </c>
      <c r="D458" s="8">
        <v>9999</v>
      </c>
      <c r="E458" s="8" t="s">
        <v>37</v>
      </c>
      <c r="F458" s="8" t="s">
        <v>1058</v>
      </c>
      <c r="G458" s="8" t="s">
        <v>39</v>
      </c>
      <c r="H458" s="8">
        <v>0.2</v>
      </c>
      <c r="I458" s="15">
        <v>12.13</v>
      </c>
      <c r="J458"/>
    </row>
    <row r="459" spans="1:10">
      <c r="A459" s="8" t="s">
        <v>1059</v>
      </c>
      <c r="B459" s="8" t="s">
        <v>1060</v>
      </c>
      <c r="C459" s="8" t="s">
        <v>1061</v>
      </c>
      <c r="D459" s="8">
        <v>9999</v>
      </c>
      <c r="E459" s="8" t="s">
        <v>37</v>
      </c>
      <c r="F459" s="8" t="s">
        <v>1062</v>
      </c>
      <c r="G459" s="8" t="s">
        <v>39</v>
      </c>
      <c r="H459" s="8">
        <v>0.2</v>
      </c>
      <c r="I459" s="15">
        <v>4.05</v>
      </c>
      <c r="J459"/>
    </row>
    <row r="460" spans="1:10">
      <c r="A460" s="8" t="s">
        <v>1063</v>
      </c>
      <c r="B460" s="8" t="s">
        <v>1064</v>
      </c>
      <c r="C460" s="8" t="s">
        <v>1065</v>
      </c>
      <c r="D460" s="8">
        <v>9999</v>
      </c>
      <c r="E460" s="8" t="s">
        <v>37</v>
      </c>
      <c r="F460" s="8" t="s">
        <v>1066</v>
      </c>
      <c r="G460" s="8" t="s">
        <v>39</v>
      </c>
      <c r="H460" s="8">
        <v>0.2</v>
      </c>
      <c r="I460" s="15">
        <v>8.7899999999999991</v>
      </c>
      <c r="J460"/>
    </row>
    <row r="461" spans="1:10">
      <c r="A461" s="10"/>
      <c r="B461" s="10"/>
      <c r="C461" s="10"/>
      <c r="D461" s="10"/>
      <c r="E461" s="10"/>
      <c r="F461" s="10"/>
      <c r="G461" s="8" t="s">
        <v>40</v>
      </c>
      <c r="H461" s="8">
        <v>0.25</v>
      </c>
      <c r="I461" s="15">
        <v>5.08</v>
      </c>
      <c r="J461"/>
    </row>
    <row r="462" spans="1:10">
      <c r="A462" s="8" t="s">
        <v>1067</v>
      </c>
      <c r="B462" s="8" t="s">
        <v>1068</v>
      </c>
      <c r="C462" s="8" t="s">
        <v>1069</v>
      </c>
      <c r="D462" s="8">
        <v>9999</v>
      </c>
      <c r="E462" s="8" t="s">
        <v>37</v>
      </c>
      <c r="F462" s="8" t="s">
        <v>1070</v>
      </c>
      <c r="G462" s="8" t="s">
        <v>39</v>
      </c>
      <c r="H462" s="8">
        <v>0.2</v>
      </c>
      <c r="I462" s="15">
        <v>4.2300000000000004</v>
      </c>
      <c r="J462"/>
    </row>
    <row r="463" spans="1:10">
      <c r="A463" s="10"/>
      <c r="B463" s="10"/>
      <c r="C463" s="10"/>
      <c r="D463" s="10"/>
      <c r="E463" s="10"/>
      <c r="F463" s="10"/>
      <c r="G463" s="8" t="s">
        <v>40</v>
      </c>
      <c r="H463" s="8">
        <v>0.25</v>
      </c>
      <c r="I463" s="15">
        <v>17.190000000000001</v>
      </c>
      <c r="J463"/>
    </row>
    <row r="464" spans="1:10">
      <c r="A464" s="8" t="s">
        <v>1071</v>
      </c>
      <c r="B464" s="8" t="s">
        <v>1072</v>
      </c>
      <c r="C464" s="8" t="s">
        <v>1073</v>
      </c>
      <c r="D464" s="8">
        <v>9999</v>
      </c>
      <c r="E464" s="8" t="s">
        <v>37</v>
      </c>
      <c r="F464" s="8" t="s">
        <v>1074</v>
      </c>
      <c r="G464" s="8" t="s">
        <v>39</v>
      </c>
      <c r="H464" s="8">
        <v>0.2</v>
      </c>
      <c r="I464" s="15">
        <v>2.33</v>
      </c>
      <c r="J464"/>
    </row>
    <row r="465" spans="1:10">
      <c r="A465" s="8" t="s">
        <v>1075</v>
      </c>
      <c r="B465" s="8" t="s">
        <v>1076</v>
      </c>
      <c r="C465" s="8" t="s">
        <v>1077</v>
      </c>
      <c r="D465" s="8">
        <v>9999</v>
      </c>
      <c r="E465" s="8" t="s">
        <v>37</v>
      </c>
      <c r="F465" s="8" t="s">
        <v>1078</v>
      </c>
      <c r="G465" s="8" t="s">
        <v>39</v>
      </c>
      <c r="H465" s="8">
        <v>0.2</v>
      </c>
      <c r="I465" s="15">
        <v>7.53</v>
      </c>
      <c r="J465"/>
    </row>
    <row r="466" spans="1:10">
      <c r="A466" s="8" t="s">
        <v>1079</v>
      </c>
      <c r="B466" s="8" t="s">
        <v>1080</v>
      </c>
      <c r="C466" s="8" t="s">
        <v>1081</v>
      </c>
      <c r="D466" s="8">
        <v>9999</v>
      </c>
      <c r="E466" s="8" t="s">
        <v>37</v>
      </c>
      <c r="F466" s="8" t="s">
        <v>1082</v>
      </c>
      <c r="G466" s="8" t="s">
        <v>39</v>
      </c>
      <c r="H466" s="8">
        <v>0.2</v>
      </c>
      <c r="I466" s="15">
        <v>24.62</v>
      </c>
      <c r="J466"/>
    </row>
    <row r="467" spans="1:10">
      <c r="A467" s="8" t="s">
        <v>1083</v>
      </c>
      <c r="B467" s="8" t="s">
        <v>1084</v>
      </c>
      <c r="C467" s="8" t="s">
        <v>1085</v>
      </c>
      <c r="D467" s="8">
        <v>9999</v>
      </c>
      <c r="E467" s="8" t="s">
        <v>37</v>
      </c>
      <c r="F467" s="8" t="s">
        <v>1086</v>
      </c>
      <c r="G467" s="8" t="s">
        <v>39</v>
      </c>
      <c r="H467" s="8">
        <v>0.2</v>
      </c>
      <c r="I467" s="15">
        <v>7.92</v>
      </c>
      <c r="J467"/>
    </row>
    <row r="468" spans="1:10">
      <c r="A468" s="10"/>
      <c r="B468" s="10"/>
      <c r="C468" s="10"/>
      <c r="D468" s="10"/>
      <c r="E468" s="10"/>
      <c r="F468" s="10"/>
      <c r="G468" s="8" t="s">
        <v>40</v>
      </c>
      <c r="H468" s="8">
        <v>0.25</v>
      </c>
      <c r="I468" s="15">
        <v>2.79</v>
      </c>
      <c r="J468"/>
    </row>
    <row r="469" spans="1:10">
      <c r="A469" s="8" t="s">
        <v>1087</v>
      </c>
      <c r="B469" s="8" t="s">
        <v>1088</v>
      </c>
      <c r="C469" s="8" t="s">
        <v>1089</v>
      </c>
      <c r="D469" s="8">
        <v>9999</v>
      </c>
      <c r="E469" s="8" t="s">
        <v>37</v>
      </c>
      <c r="F469" s="8" t="s">
        <v>1090</v>
      </c>
      <c r="G469" s="8" t="s">
        <v>39</v>
      </c>
      <c r="H469" s="8">
        <v>0.2</v>
      </c>
      <c r="I469" s="15">
        <v>7.67</v>
      </c>
      <c r="J469"/>
    </row>
    <row r="470" spans="1:10">
      <c r="A470" s="8" t="s">
        <v>1091</v>
      </c>
      <c r="B470" s="8" t="s">
        <v>1092</v>
      </c>
      <c r="C470" s="8" t="s">
        <v>1093</v>
      </c>
      <c r="D470" s="8">
        <v>9999</v>
      </c>
      <c r="E470" s="8" t="s">
        <v>37</v>
      </c>
      <c r="F470" s="8" t="s">
        <v>1094</v>
      </c>
      <c r="G470" s="8" t="s">
        <v>39</v>
      </c>
      <c r="H470" s="8">
        <v>0.2</v>
      </c>
      <c r="I470" s="15">
        <v>2.21</v>
      </c>
      <c r="J470"/>
    </row>
    <row r="471" spans="1:10">
      <c r="A471" s="10"/>
      <c r="B471" s="10"/>
      <c r="C471" s="10"/>
      <c r="D471" s="10"/>
      <c r="E471" s="10"/>
      <c r="F471" s="10"/>
      <c r="G471" s="8" t="s">
        <v>40</v>
      </c>
      <c r="H471" s="8">
        <v>0.25</v>
      </c>
      <c r="I471" s="15">
        <v>0.39</v>
      </c>
      <c r="J471"/>
    </row>
    <row r="472" spans="1:10">
      <c r="A472" s="8" t="s">
        <v>1095</v>
      </c>
      <c r="B472" s="8" t="s">
        <v>1096</v>
      </c>
      <c r="C472" s="8" t="s">
        <v>1097</v>
      </c>
      <c r="D472" s="8">
        <v>9999</v>
      </c>
      <c r="E472" s="8" t="s">
        <v>37</v>
      </c>
      <c r="F472" s="8" t="s">
        <v>1098</v>
      </c>
      <c r="G472" s="8" t="s">
        <v>39</v>
      </c>
      <c r="H472" s="8">
        <v>0.2</v>
      </c>
      <c r="I472" s="15">
        <v>6.28</v>
      </c>
      <c r="J472"/>
    </row>
    <row r="473" spans="1:10">
      <c r="A473" s="10"/>
      <c r="B473" s="10"/>
      <c r="C473" s="10"/>
      <c r="D473" s="10"/>
      <c r="E473" s="10"/>
      <c r="F473" s="10"/>
      <c r="G473" s="8" t="s">
        <v>40</v>
      </c>
      <c r="H473" s="8">
        <v>0.25</v>
      </c>
      <c r="I473" s="15">
        <v>0.04</v>
      </c>
      <c r="J473"/>
    </row>
    <row r="474" spans="1:10">
      <c r="A474" s="8" t="s">
        <v>1099</v>
      </c>
      <c r="B474" s="8" t="s">
        <v>1100</v>
      </c>
      <c r="C474" s="8" t="s">
        <v>1101</v>
      </c>
      <c r="D474" s="8">
        <v>9999</v>
      </c>
      <c r="E474" s="8" t="s">
        <v>37</v>
      </c>
      <c r="F474" s="8" t="s">
        <v>1102</v>
      </c>
      <c r="G474" s="8" t="s">
        <v>39</v>
      </c>
      <c r="H474" s="8">
        <v>0.2</v>
      </c>
      <c r="I474" s="15">
        <v>3.75</v>
      </c>
      <c r="J474"/>
    </row>
    <row r="475" spans="1:10">
      <c r="A475" s="10"/>
      <c r="B475" s="10"/>
      <c r="C475" s="10"/>
      <c r="D475" s="10"/>
      <c r="E475" s="10"/>
      <c r="F475" s="10"/>
      <c r="G475" s="8" t="s">
        <v>40</v>
      </c>
      <c r="H475" s="8">
        <v>0.25</v>
      </c>
      <c r="I475" s="15">
        <v>0.14000000000000001</v>
      </c>
      <c r="J475"/>
    </row>
    <row r="476" spans="1:10">
      <c r="A476" s="8" t="s">
        <v>1103</v>
      </c>
      <c r="B476" s="8" t="s">
        <v>1104</v>
      </c>
      <c r="C476" s="8" t="s">
        <v>1105</v>
      </c>
      <c r="D476" s="8">
        <v>9999</v>
      </c>
      <c r="E476" s="8" t="s">
        <v>37</v>
      </c>
      <c r="F476" s="8" t="s">
        <v>1106</v>
      </c>
      <c r="G476" s="8" t="s">
        <v>39</v>
      </c>
      <c r="H476" s="8">
        <v>0.2</v>
      </c>
      <c r="I476" s="15">
        <v>11.36</v>
      </c>
      <c r="J476"/>
    </row>
    <row r="477" spans="1:10">
      <c r="A477" s="8" t="s">
        <v>1107</v>
      </c>
      <c r="B477" s="8" t="s">
        <v>1108</v>
      </c>
      <c r="C477" s="8" t="s">
        <v>1109</v>
      </c>
      <c r="D477" s="8">
        <v>9999</v>
      </c>
      <c r="E477" s="8" t="s">
        <v>37</v>
      </c>
      <c r="F477" s="8" t="s">
        <v>1110</v>
      </c>
      <c r="G477" s="8" t="s">
        <v>39</v>
      </c>
      <c r="H477" s="8">
        <v>0.2</v>
      </c>
      <c r="I477" s="15">
        <v>4.22</v>
      </c>
      <c r="J477"/>
    </row>
    <row r="478" spans="1:10">
      <c r="A478" s="8" t="s">
        <v>1111</v>
      </c>
      <c r="B478" s="8" t="s">
        <v>1112</v>
      </c>
      <c r="C478" s="8" t="s">
        <v>1113</v>
      </c>
      <c r="D478" s="8">
        <v>9999</v>
      </c>
      <c r="E478" s="8" t="s">
        <v>37</v>
      </c>
      <c r="F478" s="8" t="s">
        <v>1114</v>
      </c>
      <c r="G478" s="8" t="s">
        <v>39</v>
      </c>
      <c r="H478" s="8">
        <v>0.2</v>
      </c>
      <c r="I478" s="15">
        <v>8.33</v>
      </c>
      <c r="J478"/>
    </row>
    <row r="479" spans="1:10">
      <c r="A479" s="10"/>
      <c r="B479" s="10"/>
      <c r="C479" s="10"/>
      <c r="D479" s="10"/>
      <c r="E479" s="10"/>
      <c r="F479" s="10"/>
      <c r="G479" s="8" t="s">
        <v>40</v>
      </c>
      <c r="H479" s="8">
        <v>0.25</v>
      </c>
      <c r="I479" s="15">
        <v>0.94</v>
      </c>
      <c r="J479"/>
    </row>
    <row r="480" spans="1:10">
      <c r="A480" s="8" t="s">
        <v>1115</v>
      </c>
      <c r="B480" s="8" t="s">
        <v>1116</v>
      </c>
      <c r="C480" s="8" t="s">
        <v>1117</v>
      </c>
      <c r="D480" s="8">
        <v>9999</v>
      </c>
      <c r="E480" s="8" t="s">
        <v>37</v>
      </c>
      <c r="F480" s="8" t="s">
        <v>1118</v>
      </c>
      <c r="G480" s="8" t="s">
        <v>39</v>
      </c>
      <c r="H480" s="8">
        <v>0.2</v>
      </c>
      <c r="I480" s="15">
        <v>9.68</v>
      </c>
      <c r="J480"/>
    </row>
    <row r="481" spans="1:10">
      <c r="A481" s="10"/>
      <c r="B481" s="10"/>
      <c r="C481" s="10"/>
      <c r="D481" s="10"/>
      <c r="E481" s="10"/>
      <c r="F481" s="10"/>
      <c r="G481" s="8" t="s">
        <v>40</v>
      </c>
      <c r="H481" s="8">
        <v>0.25</v>
      </c>
      <c r="I481" s="15">
        <v>41.15</v>
      </c>
      <c r="J481"/>
    </row>
    <row r="482" spans="1:10">
      <c r="A482" s="8" t="s">
        <v>1119</v>
      </c>
      <c r="B482" s="8" t="s">
        <v>1120</v>
      </c>
      <c r="C482" s="8" t="s">
        <v>1121</v>
      </c>
      <c r="D482" s="8">
        <v>9999</v>
      </c>
      <c r="E482" s="8" t="s">
        <v>37</v>
      </c>
      <c r="F482" s="8" t="s">
        <v>1122</v>
      </c>
      <c r="G482" s="8" t="s">
        <v>39</v>
      </c>
      <c r="H482" s="8">
        <v>0.2</v>
      </c>
      <c r="I482" s="15">
        <v>13.04</v>
      </c>
      <c r="J482"/>
    </row>
    <row r="483" spans="1:10">
      <c r="A483" s="8" t="s">
        <v>1123</v>
      </c>
      <c r="B483" s="8" t="s">
        <v>1124</v>
      </c>
      <c r="C483" s="8" t="s">
        <v>1125</v>
      </c>
      <c r="D483" s="8">
        <v>9999</v>
      </c>
      <c r="E483" s="8" t="s">
        <v>37</v>
      </c>
      <c r="F483" s="8" t="s">
        <v>1126</v>
      </c>
      <c r="G483" s="8" t="s">
        <v>39</v>
      </c>
      <c r="H483" s="8">
        <v>0.2</v>
      </c>
      <c r="I483" s="15">
        <v>4.05</v>
      </c>
      <c r="J483"/>
    </row>
    <row r="484" spans="1:10">
      <c r="A484" s="10"/>
      <c r="B484" s="10"/>
      <c r="C484" s="10"/>
      <c r="D484" s="10"/>
      <c r="E484" s="10"/>
      <c r="F484" s="10"/>
      <c r="G484" s="8" t="s">
        <v>40</v>
      </c>
      <c r="H484" s="8">
        <v>0.25</v>
      </c>
      <c r="I484" s="15">
        <v>0.01</v>
      </c>
      <c r="J484"/>
    </row>
    <row r="485" spans="1:10">
      <c r="A485" s="8" t="s">
        <v>1127</v>
      </c>
      <c r="B485" s="8" t="s">
        <v>1128</v>
      </c>
      <c r="C485" s="8" t="s">
        <v>1129</v>
      </c>
      <c r="D485" s="8">
        <v>9999</v>
      </c>
      <c r="E485" s="8" t="s">
        <v>37</v>
      </c>
      <c r="F485" s="8" t="s">
        <v>277</v>
      </c>
      <c r="G485" s="8" t="s">
        <v>39</v>
      </c>
      <c r="H485" s="8">
        <v>0.2</v>
      </c>
      <c r="I485" s="15">
        <v>8.74</v>
      </c>
      <c r="J485"/>
    </row>
    <row r="486" spans="1:10">
      <c r="A486" s="8" t="s">
        <v>1130</v>
      </c>
      <c r="B486" s="8" t="s">
        <v>1131</v>
      </c>
      <c r="C486" s="8" t="s">
        <v>1132</v>
      </c>
      <c r="D486" s="8">
        <v>9999</v>
      </c>
      <c r="E486" s="8" t="s">
        <v>37</v>
      </c>
      <c r="F486" s="8" t="s">
        <v>1133</v>
      </c>
      <c r="G486" s="8" t="s">
        <v>39</v>
      </c>
      <c r="H486" s="8">
        <v>0.2</v>
      </c>
      <c r="I486" s="15">
        <v>5.84</v>
      </c>
      <c r="J486"/>
    </row>
    <row r="487" spans="1:10">
      <c r="A487" s="10"/>
      <c r="B487" s="10"/>
      <c r="C487" s="10"/>
      <c r="D487" s="10"/>
      <c r="E487" s="10"/>
      <c r="F487" s="10"/>
      <c r="G487" s="8" t="s">
        <v>40</v>
      </c>
      <c r="H487" s="8">
        <v>0.25</v>
      </c>
      <c r="I487" s="15">
        <v>0.05</v>
      </c>
      <c r="J487"/>
    </row>
    <row r="488" spans="1:10">
      <c r="A488" s="8" t="s">
        <v>1134</v>
      </c>
      <c r="B488" s="8" t="s">
        <v>1135</v>
      </c>
      <c r="C488" s="8" t="s">
        <v>1136</v>
      </c>
      <c r="D488" s="8">
        <v>9999</v>
      </c>
      <c r="E488" s="8" t="s">
        <v>37</v>
      </c>
      <c r="F488" s="8" t="s">
        <v>1137</v>
      </c>
      <c r="G488" s="8" t="s">
        <v>39</v>
      </c>
      <c r="H488" s="8">
        <v>0.2</v>
      </c>
      <c r="I488" s="15">
        <v>13.21</v>
      </c>
      <c r="J488"/>
    </row>
    <row r="489" spans="1:10">
      <c r="A489" s="10"/>
      <c r="B489" s="10"/>
      <c r="C489" s="10"/>
      <c r="D489" s="10"/>
      <c r="E489" s="10"/>
      <c r="F489" s="10"/>
      <c r="G489" s="8" t="s">
        <v>40</v>
      </c>
      <c r="H489" s="8">
        <v>0.25</v>
      </c>
      <c r="I489" s="15">
        <v>33.880000000000003</v>
      </c>
      <c r="J489"/>
    </row>
    <row r="490" spans="1:10">
      <c r="A490" s="8" t="s">
        <v>1138</v>
      </c>
      <c r="B490" s="8" t="s">
        <v>1139</v>
      </c>
      <c r="C490" s="8" t="s">
        <v>1140</v>
      </c>
      <c r="D490" s="8">
        <v>9999</v>
      </c>
      <c r="E490" s="8" t="s">
        <v>37</v>
      </c>
      <c r="F490" s="8" t="s">
        <v>1141</v>
      </c>
      <c r="G490" s="8" t="s">
        <v>39</v>
      </c>
      <c r="H490" s="8">
        <v>0.2</v>
      </c>
      <c r="I490" s="15">
        <v>4.66</v>
      </c>
      <c r="J490"/>
    </row>
    <row r="491" spans="1:10">
      <c r="A491" s="8" t="s">
        <v>1142</v>
      </c>
      <c r="B491" s="8" t="s">
        <v>1143</v>
      </c>
      <c r="C491" s="8" t="s">
        <v>1144</v>
      </c>
      <c r="D491" s="8">
        <v>9999</v>
      </c>
      <c r="E491" s="8" t="s">
        <v>37</v>
      </c>
      <c r="F491" s="8" t="s">
        <v>1145</v>
      </c>
      <c r="G491" s="8" t="s">
        <v>39</v>
      </c>
      <c r="H491" s="8">
        <v>0.2</v>
      </c>
      <c r="I491" s="15">
        <v>15.46</v>
      </c>
      <c r="J491"/>
    </row>
    <row r="492" spans="1:10">
      <c r="A492" s="8" t="s">
        <v>1146</v>
      </c>
      <c r="B492" s="8" t="s">
        <v>1147</v>
      </c>
      <c r="C492" s="8" t="s">
        <v>1148</v>
      </c>
      <c r="D492" s="8">
        <v>9999</v>
      </c>
      <c r="E492" s="8" t="s">
        <v>37</v>
      </c>
      <c r="F492" s="8" t="s">
        <v>133</v>
      </c>
      <c r="G492" s="8" t="s">
        <v>39</v>
      </c>
      <c r="H492" s="8">
        <v>0.2</v>
      </c>
      <c r="I492" s="15">
        <v>5.35</v>
      </c>
      <c r="J492"/>
    </row>
    <row r="493" spans="1:10">
      <c r="A493" s="8" t="s">
        <v>1149</v>
      </c>
      <c r="B493" s="8" t="s">
        <v>1150</v>
      </c>
      <c r="C493" s="8" t="s">
        <v>1151</v>
      </c>
      <c r="D493" s="8">
        <v>9999</v>
      </c>
      <c r="E493" s="8" t="s">
        <v>37</v>
      </c>
      <c r="F493" s="8" t="s">
        <v>197</v>
      </c>
      <c r="G493" s="8" t="s">
        <v>39</v>
      </c>
      <c r="H493" s="8">
        <v>0.2</v>
      </c>
      <c r="I493" s="15">
        <v>3.93</v>
      </c>
      <c r="J493"/>
    </row>
    <row r="494" spans="1:10">
      <c r="A494" s="8" t="s">
        <v>1152</v>
      </c>
      <c r="B494" s="8" t="s">
        <v>1153</v>
      </c>
      <c r="C494" s="8" t="s">
        <v>1154</v>
      </c>
      <c r="D494" s="8">
        <v>9999</v>
      </c>
      <c r="E494" s="8" t="s">
        <v>37</v>
      </c>
      <c r="F494" s="8" t="s">
        <v>1155</v>
      </c>
      <c r="G494" s="8" t="s">
        <v>39</v>
      </c>
      <c r="H494" s="8">
        <v>0.2</v>
      </c>
      <c r="I494" s="15">
        <v>5.9</v>
      </c>
      <c r="J494"/>
    </row>
    <row r="495" spans="1:10">
      <c r="A495" s="10"/>
      <c r="B495" s="10"/>
      <c r="C495" s="10"/>
      <c r="D495" s="10"/>
      <c r="E495" s="10"/>
      <c r="F495" s="10"/>
      <c r="G495" s="8" t="s">
        <v>40</v>
      </c>
      <c r="H495" s="8">
        <v>0.25</v>
      </c>
      <c r="I495" s="15">
        <v>1.71</v>
      </c>
      <c r="J495"/>
    </row>
    <row r="496" spans="1:10">
      <c r="A496" s="8" t="s">
        <v>1156</v>
      </c>
      <c r="B496" s="8" t="s">
        <v>1157</v>
      </c>
      <c r="C496" s="8" t="s">
        <v>1158</v>
      </c>
      <c r="D496" s="8">
        <v>9999</v>
      </c>
      <c r="E496" s="8" t="s">
        <v>37</v>
      </c>
      <c r="F496" s="8" t="s">
        <v>1159</v>
      </c>
      <c r="G496" s="8" t="s">
        <v>39</v>
      </c>
      <c r="H496" s="8">
        <v>0.2</v>
      </c>
      <c r="I496" s="15">
        <v>3.63</v>
      </c>
      <c r="J496"/>
    </row>
    <row r="497" spans="1:10">
      <c r="A497" s="10"/>
      <c r="B497" s="10"/>
      <c r="C497" s="10"/>
      <c r="D497" s="10"/>
      <c r="E497" s="10"/>
      <c r="F497" s="10"/>
      <c r="G497" s="8" t="s">
        <v>40</v>
      </c>
      <c r="H497" s="8">
        <v>0.25</v>
      </c>
      <c r="I497" s="15">
        <v>0.06</v>
      </c>
      <c r="J497"/>
    </row>
    <row r="498" spans="1:10">
      <c r="A498" s="8" t="s">
        <v>1160</v>
      </c>
      <c r="B498" s="8" t="s">
        <v>1161</v>
      </c>
      <c r="C498" s="8" t="s">
        <v>1162</v>
      </c>
      <c r="D498" s="8">
        <v>9999</v>
      </c>
      <c r="E498" s="8" t="s">
        <v>37</v>
      </c>
      <c r="F498" s="8" t="s">
        <v>1163</v>
      </c>
      <c r="G498" s="8" t="s">
        <v>39</v>
      </c>
      <c r="H498" s="8">
        <v>0.2</v>
      </c>
      <c r="I498" s="15">
        <v>11.31</v>
      </c>
      <c r="J498"/>
    </row>
    <row r="499" spans="1:10">
      <c r="A499" s="10"/>
      <c r="B499" s="10"/>
      <c r="C499" s="10"/>
      <c r="D499" s="10"/>
      <c r="E499" s="10"/>
      <c r="F499" s="10"/>
      <c r="G499" s="8" t="s">
        <v>40</v>
      </c>
      <c r="H499" s="8">
        <v>0.25</v>
      </c>
      <c r="I499" s="15">
        <v>0.6</v>
      </c>
      <c r="J499"/>
    </row>
    <row r="500" spans="1:10">
      <c r="A500" s="8" t="s">
        <v>1164</v>
      </c>
      <c r="B500" s="8" t="s">
        <v>1165</v>
      </c>
      <c r="C500" s="8" t="s">
        <v>1166</v>
      </c>
      <c r="D500" s="8">
        <v>9999</v>
      </c>
      <c r="E500" s="8" t="s">
        <v>37</v>
      </c>
      <c r="F500" s="8" t="s">
        <v>1167</v>
      </c>
      <c r="G500" s="8" t="s">
        <v>39</v>
      </c>
      <c r="H500" s="8">
        <v>0.2</v>
      </c>
      <c r="I500" s="15">
        <v>2.82</v>
      </c>
      <c r="J500"/>
    </row>
    <row r="501" spans="1:10">
      <c r="A501" s="10"/>
      <c r="B501" s="10"/>
      <c r="C501" s="10"/>
      <c r="D501" s="10"/>
      <c r="E501" s="10"/>
      <c r="F501" s="10"/>
      <c r="G501" s="8" t="s">
        <v>40</v>
      </c>
      <c r="H501" s="8">
        <v>0.25</v>
      </c>
      <c r="I501" s="15">
        <v>0.26</v>
      </c>
      <c r="J501"/>
    </row>
    <row r="502" spans="1:10">
      <c r="A502" s="8" t="s">
        <v>1168</v>
      </c>
      <c r="B502" s="8" t="s">
        <v>1169</v>
      </c>
      <c r="C502" s="8" t="s">
        <v>1170</v>
      </c>
      <c r="D502" s="8">
        <v>9999</v>
      </c>
      <c r="E502" s="8" t="s">
        <v>37</v>
      </c>
      <c r="F502" s="8" t="s">
        <v>1171</v>
      </c>
      <c r="G502" s="8" t="s">
        <v>39</v>
      </c>
      <c r="H502" s="8">
        <v>0.2</v>
      </c>
      <c r="I502" s="15">
        <v>3.42</v>
      </c>
      <c r="J502"/>
    </row>
    <row r="503" spans="1:10">
      <c r="A503" s="8" t="s">
        <v>1172</v>
      </c>
      <c r="B503" s="8" t="s">
        <v>1173</v>
      </c>
      <c r="C503" s="8" t="s">
        <v>1174</v>
      </c>
      <c r="D503" s="8">
        <v>9999</v>
      </c>
      <c r="E503" s="8" t="s">
        <v>37</v>
      </c>
      <c r="F503" s="8" t="s">
        <v>1175</v>
      </c>
      <c r="G503" s="8" t="s">
        <v>39</v>
      </c>
      <c r="H503" s="8">
        <v>0.2</v>
      </c>
      <c r="I503" s="15">
        <v>3.76</v>
      </c>
      <c r="J503"/>
    </row>
    <row r="504" spans="1:10">
      <c r="A504" s="8" t="s">
        <v>1176</v>
      </c>
      <c r="B504" s="8" t="s">
        <v>1177</v>
      </c>
      <c r="C504" s="8" t="s">
        <v>1178</v>
      </c>
      <c r="D504" s="8">
        <v>9999</v>
      </c>
      <c r="E504" s="8" t="s">
        <v>37</v>
      </c>
      <c r="F504" s="8" t="s">
        <v>1179</v>
      </c>
      <c r="G504" s="8" t="s">
        <v>39</v>
      </c>
      <c r="H504" s="8">
        <v>0.2</v>
      </c>
      <c r="I504" s="15">
        <v>3.22</v>
      </c>
      <c r="J504"/>
    </row>
    <row r="505" spans="1:10">
      <c r="A505" s="10"/>
      <c r="B505" s="10"/>
      <c r="C505" s="10"/>
      <c r="D505" s="10"/>
      <c r="E505" s="10"/>
      <c r="F505" s="10"/>
      <c r="G505" s="8" t="s">
        <v>40</v>
      </c>
      <c r="H505" s="8">
        <v>0.25</v>
      </c>
      <c r="I505" s="15">
        <v>0.02</v>
      </c>
      <c r="J505"/>
    </row>
    <row r="506" spans="1:10">
      <c r="A506" s="8" t="s">
        <v>1180</v>
      </c>
      <c r="B506" s="8" t="s">
        <v>1181</v>
      </c>
      <c r="C506" s="8" t="s">
        <v>1182</v>
      </c>
      <c r="D506" s="8">
        <v>9999</v>
      </c>
      <c r="E506" s="8" t="s">
        <v>37</v>
      </c>
      <c r="F506" s="8" t="s">
        <v>172</v>
      </c>
      <c r="G506" s="8" t="s">
        <v>39</v>
      </c>
      <c r="H506" s="8">
        <v>0.2</v>
      </c>
      <c r="I506" s="15">
        <v>8.16</v>
      </c>
      <c r="J506"/>
    </row>
    <row r="507" spans="1:10">
      <c r="A507" s="10"/>
      <c r="B507" s="10"/>
      <c r="C507" s="10"/>
      <c r="D507" s="10"/>
      <c r="E507" s="10"/>
      <c r="F507" s="10"/>
      <c r="G507" s="8" t="s">
        <v>40</v>
      </c>
      <c r="H507" s="8">
        <v>0.25</v>
      </c>
      <c r="I507" s="15">
        <v>0.63</v>
      </c>
      <c r="J507"/>
    </row>
    <row r="508" spans="1:10">
      <c r="A508" s="8" t="s">
        <v>1183</v>
      </c>
      <c r="B508" s="8" t="s">
        <v>1184</v>
      </c>
      <c r="C508" s="8" t="s">
        <v>1185</v>
      </c>
      <c r="D508" s="8">
        <v>9999</v>
      </c>
      <c r="E508" s="8" t="s">
        <v>37</v>
      </c>
      <c r="F508" s="8" t="s">
        <v>1186</v>
      </c>
      <c r="G508" s="8" t="s">
        <v>39</v>
      </c>
      <c r="H508" s="8">
        <v>0.2</v>
      </c>
      <c r="I508" s="15">
        <v>26.55</v>
      </c>
      <c r="J508"/>
    </row>
    <row r="509" spans="1:10">
      <c r="A509" s="10"/>
      <c r="B509" s="10"/>
      <c r="C509" s="10"/>
      <c r="D509" s="10"/>
      <c r="E509" s="10"/>
      <c r="F509" s="10"/>
      <c r="G509" s="8" t="s">
        <v>40</v>
      </c>
      <c r="H509" s="8">
        <v>0.25</v>
      </c>
      <c r="I509" s="15">
        <v>0.16</v>
      </c>
      <c r="J509"/>
    </row>
    <row r="510" spans="1:10">
      <c r="A510" s="8" t="s">
        <v>1187</v>
      </c>
      <c r="B510" s="8" t="s">
        <v>1188</v>
      </c>
      <c r="C510" s="8" t="s">
        <v>1189</v>
      </c>
      <c r="D510" s="8">
        <v>9999</v>
      </c>
      <c r="E510" s="8" t="s">
        <v>37</v>
      </c>
      <c r="F510" s="8" t="s">
        <v>1190</v>
      </c>
      <c r="G510" s="8" t="s">
        <v>39</v>
      </c>
      <c r="H510" s="8">
        <v>0.2</v>
      </c>
      <c r="I510" s="15">
        <v>4.3600000000000003</v>
      </c>
      <c r="J510"/>
    </row>
    <row r="511" spans="1:10">
      <c r="A511" s="10"/>
      <c r="B511" s="10"/>
      <c r="C511" s="10"/>
      <c r="D511" s="10"/>
      <c r="E511" s="10"/>
      <c r="F511" s="10"/>
      <c r="G511" s="8" t="s">
        <v>40</v>
      </c>
      <c r="H511" s="8">
        <v>0.25</v>
      </c>
      <c r="I511" s="15">
        <v>1.78</v>
      </c>
      <c r="J511"/>
    </row>
    <row r="512" spans="1:10">
      <c r="A512" s="8" t="s">
        <v>1191</v>
      </c>
      <c r="B512" s="8" t="s">
        <v>0</v>
      </c>
      <c r="C512" s="8" t="s">
        <v>1192</v>
      </c>
      <c r="D512" s="8">
        <v>9999</v>
      </c>
      <c r="E512" s="8" t="s">
        <v>37</v>
      </c>
      <c r="F512" s="8" t="s">
        <v>1193</v>
      </c>
      <c r="G512" s="8" t="s">
        <v>39</v>
      </c>
      <c r="H512" s="8">
        <v>0.2</v>
      </c>
      <c r="I512" s="15">
        <v>5.59</v>
      </c>
      <c r="J512"/>
    </row>
    <row r="513" spans="1:10">
      <c r="A513" s="8" t="s">
        <v>1194</v>
      </c>
      <c r="B513" s="8" t="s">
        <v>1195</v>
      </c>
      <c r="C513" s="8" t="s">
        <v>1196</v>
      </c>
      <c r="D513" s="8">
        <v>9999</v>
      </c>
      <c r="E513" s="8" t="s">
        <v>37</v>
      </c>
      <c r="F513" s="8" t="s">
        <v>943</v>
      </c>
      <c r="G513" s="8" t="s">
        <v>39</v>
      </c>
      <c r="H513" s="8">
        <v>0.2</v>
      </c>
      <c r="I513" s="15">
        <v>10.52</v>
      </c>
      <c r="J513"/>
    </row>
    <row r="514" spans="1:10">
      <c r="A514" s="8" t="s">
        <v>1197</v>
      </c>
      <c r="B514" s="8" t="s">
        <v>1198</v>
      </c>
      <c r="C514" s="8" t="s">
        <v>1199</v>
      </c>
      <c r="D514" s="8">
        <v>9999</v>
      </c>
      <c r="E514" s="8" t="s">
        <v>37</v>
      </c>
      <c r="F514" s="8" t="s">
        <v>1200</v>
      </c>
      <c r="G514" s="8" t="s">
        <v>39</v>
      </c>
      <c r="H514" s="8">
        <v>0.2</v>
      </c>
      <c r="I514" s="15">
        <v>9.11</v>
      </c>
      <c r="J514"/>
    </row>
    <row r="515" spans="1:10">
      <c r="A515" s="10"/>
      <c r="B515" s="10"/>
      <c r="C515" s="10"/>
      <c r="D515" s="10"/>
      <c r="E515" s="10"/>
      <c r="F515" s="10"/>
      <c r="G515" s="8" t="s">
        <v>40</v>
      </c>
      <c r="H515" s="8">
        <v>0.25</v>
      </c>
      <c r="I515" s="15">
        <v>0.16</v>
      </c>
      <c r="J515"/>
    </row>
    <row r="516" spans="1:10">
      <c r="A516" s="8" t="s">
        <v>1201</v>
      </c>
      <c r="B516" s="8" t="s">
        <v>1202</v>
      </c>
      <c r="C516" s="8" t="s">
        <v>1203</v>
      </c>
      <c r="D516" s="8">
        <v>9999</v>
      </c>
      <c r="E516" s="8" t="s">
        <v>37</v>
      </c>
      <c r="F516" s="8" t="s">
        <v>1029</v>
      </c>
      <c r="G516" s="8" t="s">
        <v>39</v>
      </c>
      <c r="H516" s="8">
        <v>0.2</v>
      </c>
      <c r="I516" s="15">
        <v>13.97</v>
      </c>
      <c r="J516"/>
    </row>
    <row r="517" spans="1:10">
      <c r="A517" s="10"/>
      <c r="B517" s="10"/>
      <c r="C517" s="10"/>
      <c r="D517" s="10"/>
      <c r="E517" s="10"/>
      <c r="F517" s="10"/>
      <c r="G517" s="8" t="s">
        <v>40</v>
      </c>
      <c r="H517" s="8">
        <v>0.25</v>
      </c>
      <c r="I517" s="15">
        <v>0.75</v>
      </c>
      <c r="J517"/>
    </row>
    <row r="518" spans="1:10">
      <c r="A518" s="8" t="s">
        <v>1204</v>
      </c>
      <c r="B518" s="8" t="s">
        <v>1205</v>
      </c>
      <c r="C518" s="8" t="s">
        <v>1206</v>
      </c>
      <c r="D518" s="8">
        <v>9999</v>
      </c>
      <c r="E518" s="8" t="s">
        <v>37</v>
      </c>
      <c r="F518" s="8" t="s">
        <v>401</v>
      </c>
      <c r="G518" s="8" t="s">
        <v>39</v>
      </c>
      <c r="H518" s="8">
        <v>0.2</v>
      </c>
      <c r="I518" s="15">
        <v>2.86</v>
      </c>
      <c r="J518"/>
    </row>
    <row r="519" spans="1:10">
      <c r="A519" s="10"/>
      <c r="B519" s="10"/>
      <c r="C519" s="10"/>
      <c r="D519" s="10"/>
      <c r="E519" s="10"/>
      <c r="F519" s="10"/>
      <c r="G519" s="8" t="s">
        <v>40</v>
      </c>
      <c r="H519" s="8">
        <v>0.25</v>
      </c>
      <c r="I519" s="15">
        <v>4.84</v>
      </c>
      <c r="J519"/>
    </row>
    <row r="520" spans="1:10">
      <c r="A520" s="8" t="s">
        <v>1207</v>
      </c>
      <c r="B520" s="8" t="s">
        <v>1208</v>
      </c>
      <c r="C520" s="8" t="s">
        <v>1209</v>
      </c>
      <c r="D520" s="8">
        <v>9999</v>
      </c>
      <c r="E520" s="8" t="s">
        <v>37</v>
      </c>
      <c r="F520" s="8" t="s">
        <v>1210</v>
      </c>
      <c r="G520" s="8" t="s">
        <v>39</v>
      </c>
      <c r="H520" s="8">
        <v>0.2</v>
      </c>
      <c r="I520" s="15">
        <v>26.06</v>
      </c>
      <c r="J520"/>
    </row>
    <row r="521" spans="1:10">
      <c r="A521" s="10"/>
      <c r="B521" s="10"/>
      <c r="C521" s="10"/>
      <c r="D521" s="10"/>
      <c r="E521" s="10"/>
      <c r="F521" s="10"/>
      <c r="G521" s="8" t="s">
        <v>40</v>
      </c>
      <c r="H521" s="8">
        <v>0.25</v>
      </c>
      <c r="I521" s="15">
        <v>0.05</v>
      </c>
      <c r="J521"/>
    </row>
    <row r="522" spans="1:10">
      <c r="A522" s="8" t="s">
        <v>1211</v>
      </c>
      <c r="B522" s="8" t="s">
        <v>1212</v>
      </c>
      <c r="C522" s="8" t="s">
        <v>1213</v>
      </c>
      <c r="D522" s="8">
        <v>9999</v>
      </c>
      <c r="E522" s="8" t="s">
        <v>37</v>
      </c>
      <c r="F522" s="8" t="s">
        <v>1214</v>
      </c>
      <c r="G522" s="8" t="s">
        <v>39</v>
      </c>
      <c r="H522" s="8">
        <v>0.2</v>
      </c>
      <c r="I522" s="15">
        <v>122.47</v>
      </c>
      <c r="J522"/>
    </row>
    <row r="523" spans="1:10">
      <c r="A523" s="10"/>
      <c r="B523" s="10"/>
      <c r="C523" s="10"/>
      <c r="D523" s="10"/>
      <c r="E523" s="10"/>
      <c r="F523" s="10"/>
      <c r="G523" s="8" t="s">
        <v>40</v>
      </c>
      <c r="H523" s="8">
        <v>0.25</v>
      </c>
      <c r="I523" s="15">
        <v>10.25</v>
      </c>
      <c r="J523"/>
    </row>
    <row r="524" spans="1:10">
      <c r="A524" s="8" t="s">
        <v>1215</v>
      </c>
      <c r="B524" s="8" t="s">
        <v>1216</v>
      </c>
      <c r="C524" s="8" t="s">
        <v>1217</v>
      </c>
      <c r="D524" s="8">
        <v>9999</v>
      </c>
      <c r="E524" s="8" t="s">
        <v>37</v>
      </c>
      <c r="F524" s="8" t="s">
        <v>1218</v>
      </c>
      <c r="G524" s="8" t="s">
        <v>39</v>
      </c>
      <c r="H524" s="8">
        <v>0.2</v>
      </c>
      <c r="I524" s="15">
        <v>5.94</v>
      </c>
      <c r="J524"/>
    </row>
    <row r="525" spans="1:10">
      <c r="A525" s="10"/>
      <c r="B525" s="10"/>
      <c r="C525" s="10"/>
      <c r="D525" s="10"/>
      <c r="E525" s="10"/>
      <c r="F525" s="10"/>
      <c r="G525" s="8" t="s">
        <v>40</v>
      </c>
      <c r="H525" s="8">
        <v>0.25</v>
      </c>
      <c r="I525" s="15">
        <v>32.25</v>
      </c>
      <c r="J525"/>
    </row>
    <row r="526" spans="1:10">
      <c r="A526" s="8" t="s">
        <v>1219</v>
      </c>
      <c r="B526" s="8" t="s">
        <v>1220</v>
      </c>
      <c r="C526" s="8" t="s">
        <v>1221</v>
      </c>
      <c r="D526" s="8">
        <v>9999</v>
      </c>
      <c r="E526" s="8" t="s">
        <v>37</v>
      </c>
      <c r="F526" s="8" t="s">
        <v>1222</v>
      </c>
      <c r="G526" s="8" t="s">
        <v>39</v>
      </c>
      <c r="H526" s="8">
        <v>0.2</v>
      </c>
      <c r="I526" s="15">
        <v>23.52</v>
      </c>
      <c r="J526"/>
    </row>
    <row r="527" spans="1:10">
      <c r="A527" s="10"/>
      <c r="B527" s="10"/>
      <c r="C527" s="10"/>
      <c r="D527" s="10"/>
      <c r="E527" s="10"/>
      <c r="F527" s="10"/>
      <c r="G527" s="8" t="s">
        <v>40</v>
      </c>
      <c r="H527" s="8">
        <v>0.25</v>
      </c>
      <c r="I527" s="15">
        <v>12.04</v>
      </c>
      <c r="J527"/>
    </row>
    <row r="528" spans="1:10">
      <c r="A528" s="8" t="s">
        <v>1223</v>
      </c>
      <c r="B528" s="8" t="s">
        <v>1224</v>
      </c>
      <c r="C528" s="8" t="s">
        <v>1225</v>
      </c>
      <c r="D528" s="8">
        <v>9999</v>
      </c>
      <c r="E528" s="8" t="s">
        <v>37</v>
      </c>
      <c r="F528" s="8" t="s">
        <v>1226</v>
      </c>
      <c r="G528" s="8" t="s">
        <v>39</v>
      </c>
      <c r="H528" s="8">
        <v>0.2</v>
      </c>
      <c r="I528" s="15">
        <v>24.39</v>
      </c>
      <c r="J528"/>
    </row>
    <row r="529" spans="1:10">
      <c r="A529" s="10"/>
      <c r="B529" s="10"/>
      <c r="C529" s="10"/>
      <c r="D529" s="10"/>
      <c r="E529" s="10"/>
      <c r="F529" s="10"/>
      <c r="G529" s="8" t="s">
        <v>40</v>
      </c>
      <c r="H529" s="8">
        <v>0.25</v>
      </c>
      <c r="I529" s="15">
        <v>2.06</v>
      </c>
      <c r="J529"/>
    </row>
    <row r="530" spans="1:10">
      <c r="A530" s="8" t="s">
        <v>1227</v>
      </c>
      <c r="B530" s="8" t="s">
        <v>1228</v>
      </c>
      <c r="C530" s="8" t="s">
        <v>1229</v>
      </c>
      <c r="D530" s="8">
        <v>9999</v>
      </c>
      <c r="E530" s="8" t="s">
        <v>37</v>
      </c>
      <c r="F530" s="8" t="s">
        <v>1230</v>
      </c>
      <c r="G530" s="8" t="s">
        <v>39</v>
      </c>
      <c r="H530" s="8">
        <v>0.2</v>
      </c>
      <c r="I530" s="15">
        <v>7.88</v>
      </c>
      <c r="J530"/>
    </row>
    <row r="531" spans="1:10">
      <c r="A531" s="10"/>
      <c r="B531" s="10"/>
      <c r="C531" s="10"/>
      <c r="D531" s="10"/>
      <c r="E531" s="10"/>
      <c r="F531" s="10"/>
      <c r="G531" s="8" t="s">
        <v>40</v>
      </c>
      <c r="H531" s="8">
        <v>0.25</v>
      </c>
      <c r="I531" s="15">
        <v>0.05</v>
      </c>
      <c r="J531"/>
    </row>
    <row r="532" spans="1:10">
      <c r="A532" s="8" t="s">
        <v>1231</v>
      </c>
      <c r="B532" s="8" t="s">
        <v>1232</v>
      </c>
      <c r="C532" s="8" t="s">
        <v>1233</v>
      </c>
      <c r="D532" s="8">
        <v>9999</v>
      </c>
      <c r="E532" s="8" t="s">
        <v>37</v>
      </c>
      <c r="F532" s="8" t="s">
        <v>1234</v>
      </c>
      <c r="G532" s="8" t="s">
        <v>39</v>
      </c>
      <c r="H532" s="8">
        <v>0.2</v>
      </c>
      <c r="I532" s="15">
        <v>5.1100000000000003</v>
      </c>
      <c r="J532"/>
    </row>
    <row r="533" spans="1:10">
      <c r="A533" s="8" t="s">
        <v>1235</v>
      </c>
      <c r="B533" s="8" t="s">
        <v>1236</v>
      </c>
      <c r="C533" s="8" t="s">
        <v>1237</v>
      </c>
      <c r="D533" s="8">
        <v>9999</v>
      </c>
      <c r="E533" s="8" t="s">
        <v>37</v>
      </c>
      <c r="F533" s="8" t="s">
        <v>1238</v>
      </c>
      <c r="G533" s="8" t="s">
        <v>39</v>
      </c>
      <c r="H533" s="8">
        <v>0.2</v>
      </c>
      <c r="I533" s="15">
        <v>3.45</v>
      </c>
      <c r="J533"/>
    </row>
    <row r="534" spans="1:10">
      <c r="A534" s="8" t="s">
        <v>1239</v>
      </c>
      <c r="B534" s="8" t="s">
        <v>1240</v>
      </c>
      <c r="C534" s="8" t="s">
        <v>1241</v>
      </c>
      <c r="D534" s="8">
        <v>9999</v>
      </c>
      <c r="E534" s="8" t="s">
        <v>37</v>
      </c>
      <c r="F534" s="8" t="s">
        <v>1242</v>
      </c>
      <c r="G534" s="8" t="s">
        <v>39</v>
      </c>
      <c r="H534" s="8">
        <v>0.2</v>
      </c>
      <c r="I534" s="15">
        <v>3.72</v>
      </c>
      <c r="J534"/>
    </row>
    <row r="535" spans="1:10">
      <c r="A535" s="10"/>
      <c r="B535" s="10"/>
      <c r="C535" s="10"/>
      <c r="D535" s="10"/>
      <c r="E535" s="10"/>
      <c r="F535" s="10"/>
      <c r="G535" s="8" t="s">
        <v>40</v>
      </c>
      <c r="H535" s="8">
        <v>0.25</v>
      </c>
      <c r="I535" s="15">
        <v>0.46</v>
      </c>
      <c r="J535"/>
    </row>
    <row r="536" spans="1:10">
      <c r="A536" s="8" t="s">
        <v>1243</v>
      </c>
      <c r="B536" s="8" t="s">
        <v>1244</v>
      </c>
      <c r="C536" s="8" t="s">
        <v>1245</v>
      </c>
      <c r="D536" s="8">
        <v>9999</v>
      </c>
      <c r="E536" s="8" t="s">
        <v>37</v>
      </c>
      <c r="F536" s="8" t="s">
        <v>762</v>
      </c>
      <c r="G536" s="8" t="s">
        <v>39</v>
      </c>
      <c r="H536" s="8">
        <v>0.2</v>
      </c>
      <c r="I536" s="15">
        <v>25.39</v>
      </c>
      <c r="J536"/>
    </row>
    <row r="537" spans="1:10">
      <c r="A537" s="10"/>
      <c r="B537" s="10"/>
      <c r="C537" s="10"/>
      <c r="D537" s="10"/>
      <c r="E537" s="10"/>
      <c r="F537" s="10"/>
      <c r="G537" s="8" t="s">
        <v>40</v>
      </c>
      <c r="H537" s="8">
        <v>0.25</v>
      </c>
      <c r="I537" s="15">
        <v>1.1599999999999999</v>
      </c>
      <c r="J537"/>
    </row>
    <row r="538" spans="1:10">
      <c r="A538" s="8" t="s">
        <v>1246</v>
      </c>
      <c r="B538" s="8" t="s">
        <v>0</v>
      </c>
      <c r="C538" s="8" t="s">
        <v>1247</v>
      </c>
      <c r="D538" s="8">
        <v>9999</v>
      </c>
      <c r="E538" s="8" t="s">
        <v>37</v>
      </c>
      <c r="F538" s="8" t="s">
        <v>1248</v>
      </c>
      <c r="G538" s="8" t="s">
        <v>39</v>
      </c>
      <c r="H538" s="8">
        <v>0.2</v>
      </c>
      <c r="I538" s="15">
        <v>78.569999999999993</v>
      </c>
      <c r="J538"/>
    </row>
    <row r="539" spans="1:10">
      <c r="A539" s="10"/>
      <c r="B539" s="10"/>
      <c r="C539" s="10"/>
      <c r="D539" s="10"/>
      <c r="E539" s="10"/>
      <c r="F539" s="10"/>
      <c r="G539" s="8" t="s">
        <v>40</v>
      </c>
      <c r="H539" s="8">
        <v>0.25</v>
      </c>
      <c r="I539" s="15">
        <v>1.91</v>
      </c>
      <c r="J539"/>
    </row>
    <row r="540" spans="1:10">
      <c r="A540" s="8" t="s">
        <v>1249</v>
      </c>
      <c r="B540" s="8" t="s">
        <v>1250</v>
      </c>
      <c r="C540" s="8" t="s">
        <v>1251</v>
      </c>
      <c r="D540" s="8">
        <v>9999</v>
      </c>
      <c r="E540" s="8" t="s">
        <v>37</v>
      </c>
      <c r="F540" s="8" t="s">
        <v>1252</v>
      </c>
      <c r="G540" s="8" t="s">
        <v>39</v>
      </c>
      <c r="H540" s="8">
        <v>0.2</v>
      </c>
      <c r="I540" s="15">
        <v>6.73</v>
      </c>
      <c r="J540"/>
    </row>
    <row r="541" spans="1:10">
      <c r="A541" s="10"/>
      <c r="B541" s="10"/>
      <c r="C541" s="10"/>
      <c r="D541" s="10"/>
      <c r="E541" s="10"/>
      <c r="F541" s="10"/>
      <c r="G541" s="8" t="s">
        <v>40</v>
      </c>
      <c r="H541" s="8">
        <v>0.25</v>
      </c>
      <c r="I541" s="15">
        <v>0.72</v>
      </c>
      <c r="J541"/>
    </row>
    <row r="542" spans="1:10">
      <c r="A542" s="8" t="s">
        <v>1253</v>
      </c>
      <c r="B542" s="8" t="s">
        <v>1254</v>
      </c>
      <c r="C542" s="8" t="s">
        <v>1255</v>
      </c>
      <c r="D542" s="8">
        <v>9999</v>
      </c>
      <c r="E542" s="8" t="s">
        <v>37</v>
      </c>
      <c r="F542" s="8" t="s">
        <v>586</v>
      </c>
      <c r="G542" s="8" t="s">
        <v>39</v>
      </c>
      <c r="H542" s="8">
        <v>0.2</v>
      </c>
      <c r="I542" s="15">
        <v>3.11</v>
      </c>
      <c r="J542"/>
    </row>
    <row r="543" spans="1:10">
      <c r="A543" s="10"/>
      <c r="B543" s="10"/>
      <c r="C543" s="10"/>
      <c r="D543" s="10"/>
      <c r="E543" s="10"/>
      <c r="F543" s="10"/>
      <c r="G543" s="8" t="s">
        <v>40</v>
      </c>
      <c r="H543" s="8">
        <v>0.25</v>
      </c>
      <c r="I543" s="15">
        <v>0.01</v>
      </c>
      <c r="J543"/>
    </row>
    <row r="544" spans="1:10">
      <c r="A544" s="8" t="s">
        <v>1256</v>
      </c>
      <c r="B544" s="8" t="s">
        <v>1257</v>
      </c>
      <c r="C544" s="8" t="s">
        <v>1258</v>
      </c>
      <c r="D544" s="8">
        <v>9999</v>
      </c>
      <c r="E544" s="8" t="s">
        <v>37</v>
      </c>
      <c r="F544" s="8" t="s">
        <v>1259</v>
      </c>
      <c r="G544" s="8" t="s">
        <v>39</v>
      </c>
      <c r="H544" s="8">
        <v>0.2</v>
      </c>
      <c r="I544" s="15">
        <v>2.9</v>
      </c>
      <c r="J544"/>
    </row>
    <row r="545" spans="1:10">
      <c r="A545" s="10"/>
      <c r="B545" s="10"/>
      <c r="C545" s="10"/>
      <c r="D545" s="10"/>
      <c r="E545" s="10"/>
      <c r="F545" s="10"/>
      <c r="G545" s="8" t="s">
        <v>40</v>
      </c>
      <c r="H545" s="8">
        <v>0.25</v>
      </c>
      <c r="I545" s="15">
        <v>-0.03</v>
      </c>
      <c r="J545"/>
    </row>
    <row r="546" spans="1:10">
      <c r="A546" s="8" t="s">
        <v>1260</v>
      </c>
      <c r="B546" s="8" t="s">
        <v>1261</v>
      </c>
      <c r="C546" s="8" t="s">
        <v>1262</v>
      </c>
      <c r="D546" s="8">
        <v>9999</v>
      </c>
      <c r="E546" s="8" t="s">
        <v>37</v>
      </c>
      <c r="F546" s="8" t="s">
        <v>580</v>
      </c>
      <c r="G546" s="8" t="s">
        <v>39</v>
      </c>
      <c r="H546" s="8">
        <v>0.2</v>
      </c>
      <c r="I546" s="15">
        <v>13.77</v>
      </c>
      <c r="J546"/>
    </row>
    <row r="547" spans="1:10">
      <c r="A547" s="8" t="s">
        <v>1263</v>
      </c>
      <c r="B547" s="8" t="s">
        <v>1264</v>
      </c>
      <c r="C547" s="8" t="s">
        <v>1265</v>
      </c>
      <c r="D547" s="8">
        <v>9999</v>
      </c>
      <c r="E547" s="8" t="s">
        <v>37</v>
      </c>
      <c r="F547" s="8" t="s">
        <v>1266</v>
      </c>
      <c r="G547" s="8" t="s">
        <v>39</v>
      </c>
      <c r="H547" s="8">
        <v>0.2</v>
      </c>
      <c r="I547" s="15">
        <v>47.55</v>
      </c>
      <c r="J547"/>
    </row>
    <row r="548" spans="1:10">
      <c r="A548" s="10"/>
      <c r="B548" s="10"/>
      <c r="C548" s="10"/>
      <c r="D548" s="10"/>
      <c r="E548" s="10"/>
      <c r="F548" s="10"/>
      <c r="G548" s="8" t="s">
        <v>40</v>
      </c>
      <c r="H548" s="8">
        <v>0.25</v>
      </c>
      <c r="I548" s="15">
        <v>52.62</v>
      </c>
      <c r="J548"/>
    </row>
    <row r="549" spans="1:10">
      <c r="A549" s="8" t="s">
        <v>1267</v>
      </c>
      <c r="B549" s="8" t="s">
        <v>1268</v>
      </c>
      <c r="C549" s="8" t="s">
        <v>1269</v>
      </c>
      <c r="D549" s="8">
        <v>9999</v>
      </c>
      <c r="E549" s="8" t="s">
        <v>37</v>
      </c>
      <c r="F549" s="8" t="s">
        <v>1270</v>
      </c>
      <c r="G549" s="8" t="s">
        <v>39</v>
      </c>
      <c r="H549" s="8">
        <v>0.2</v>
      </c>
      <c r="I549" s="15">
        <v>9.6199999999999992</v>
      </c>
      <c r="J549"/>
    </row>
    <row r="550" spans="1:10">
      <c r="A550" s="10"/>
      <c r="B550" s="10"/>
      <c r="C550" s="10"/>
      <c r="D550" s="10"/>
      <c r="E550" s="10"/>
      <c r="F550" s="10"/>
      <c r="G550" s="8" t="s">
        <v>40</v>
      </c>
      <c r="H550" s="8">
        <v>0.25</v>
      </c>
      <c r="I550" s="15">
        <v>0.16</v>
      </c>
      <c r="J550"/>
    </row>
    <row r="551" spans="1:10">
      <c r="A551" s="8" t="s">
        <v>1271</v>
      </c>
      <c r="B551" s="8" t="s">
        <v>1272</v>
      </c>
      <c r="C551" s="8" t="s">
        <v>1273</v>
      </c>
      <c r="D551" s="8">
        <v>9999</v>
      </c>
      <c r="E551" s="8" t="s">
        <v>37</v>
      </c>
      <c r="F551" s="8" t="s">
        <v>1274</v>
      </c>
      <c r="G551" s="8" t="s">
        <v>39</v>
      </c>
      <c r="H551" s="8">
        <v>0.2</v>
      </c>
      <c r="I551" s="15">
        <v>79.31</v>
      </c>
      <c r="J551"/>
    </row>
    <row r="552" spans="1:10">
      <c r="A552" s="8" t="s">
        <v>1275</v>
      </c>
      <c r="B552" s="8" t="s">
        <v>1275</v>
      </c>
      <c r="C552" s="8" t="s">
        <v>1276</v>
      </c>
      <c r="D552" s="8">
        <v>9999</v>
      </c>
      <c r="E552" s="8" t="s">
        <v>37</v>
      </c>
      <c r="F552" s="8" t="s">
        <v>1277</v>
      </c>
      <c r="G552" s="8" t="s">
        <v>39</v>
      </c>
      <c r="H552" s="8">
        <v>0.2</v>
      </c>
      <c r="I552" s="15">
        <v>6.95</v>
      </c>
      <c r="J552"/>
    </row>
    <row r="553" spans="1:10">
      <c r="A553" s="8" t="s">
        <v>1278</v>
      </c>
      <c r="B553" s="8" t="s">
        <v>1279</v>
      </c>
      <c r="C553" s="8" t="s">
        <v>1280</v>
      </c>
      <c r="D553" s="8">
        <v>9999</v>
      </c>
      <c r="E553" s="8" t="s">
        <v>37</v>
      </c>
      <c r="F553" s="8" t="s">
        <v>1281</v>
      </c>
      <c r="G553" s="8" t="s">
        <v>39</v>
      </c>
      <c r="H553" s="8">
        <v>0.2</v>
      </c>
      <c r="I553" s="15">
        <v>10.47</v>
      </c>
      <c r="J553"/>
    </row>
    <row r="554" spans="1:10">
      <c r="A554" s="10"/>
      <c r="B554" s="10"/>
      <c r="C554" s="10"/>
      <c r="D554" s="10"/>
      <c r="E554" s="10"/>
      <c r="F554" s="10"/>
      <c r="G554" s="8" t="s">
        <v>40</v>
      </c>
      <c r="H554" s="8">
        <v>0.25</v>
      </c>
      <c r="I554" s="15">
        <v>2.79</v>
      </c>
      <c r="J554"/>
    </row>
    <row r="555" spans="1:10">
      <c r="A555" s="8" t="s">
        <v>1282</v>
      </c>
      <c r="B555" s="8" t="s">
        <v>0</v>
      </c>
      <c r="C555" s="8" t="s">
        <v>1283</v>
      </c>
      <c r="D555" s="8">
        <v>9999</v>
      </c>
      <c r="E555" s="8" t="s">
        <v>37</v>
      </c>
      <c r="F555" s="8" t="s">
        <v>1284</v>
      </c>
      <c r="G555" s="8" t="s">
        <v>39</v>
      </c>
      <c r="H555" s="8">
        <v>0.2</v>
      </c>
      <c r="I555" s="15">
        <v>17.010000000000002</v>
      </c>
      <c r="J555"/>
    </row>
    <row r="556" spans="1:10">
      <c r="A556" s="8" t="s">
        <v>1285</v>
      </c>
      <c r="B556" s="8" t="s">
        <v>1286</v>
      </c>
      <c r="C556" s="8" t="s">
        <v>1287</v>
      </c>
      <c r="D556" s="8">
        <v>9999</v>
      </c>
      <c r="E556" s="8" t="s">
        <v>37</v>
      </c>
      <c r="F556" s="8" t="s">
        <v>1248</v>
      </c>
      <c r="G556" s="8" t="s">
        <v>39</v>
      </c>
      <c r="H556" s="8">
        <v>0.2</v>
      </c>
      <c r="I556" s="15">
        <v>11.69</v>
      </c>
      <c r="J556"/>
    </row>
    <row r="557" spans="1:10">
      <c r="A557" s="8" t="s">
        <v>1288</v>
      </c>
      <c r="B557" s="8" t="s">
        <v>1289</v>
      </c>
      <c r="C557" s="8" t="s">
        <v>1290</v>
      </c>
      <c r="D557" s="8">
        <v>9999</v>
      </c>
      <c r="E557" s="8" t="s">
        <v>37</v>
      </c>
      <c r="F557" s="8" t="s">
        <v>1291</v>
      </c>
      <c r="G557" s="8" t="s">
        <v>39</v>
      </c>
      <c r="H557" s="8">
        <v>0.2</v>
      </c>
      <c r="I557" s="15">
        <v>154.07</v>
      </c>
      <c r="J557"/>
    </row>
    <row r="558" spans="1:10">
      <c r="A558" s="10"/>
      <c r="B558" s="10"/>
      <c r="C558" s="10"/>
      <c r="D558" s="10"/>
      <c r="E558" s="10"/>
      <c r="F558" s="10"/>
      <c r="G558" s="8" t="s">
        <v>40</v>
      </c>
      <c r="H558" s="8">
        <v>0.25</v>
      </c>
      <c r="I558" s="15">
        <v>0.03</v>
      </c>
      <c r="J558"/>
    </row>
    <row r="559" spans="1:10">
      <c r="A559" s="8" t="s">
        <v>1292</v>
      </c>
      <c r="B559" s="8" t="s">
        <v>1293</v>
      </c>
      <c r="C559" s="8" t="s">
        <v>1294</v>
      </c>
      <c r="D559" s="8">
        <v>9999</v>
      </c>
      <c r="E559" s="8" t="s">
        <v>37</v>
      </c>
      <c r="F559" s="8" t="s">
        <v>1295</v>
      </c>
      <c r="G559" s="8" t="s">
        <v>39</v>
      </c>
      <c r="H559" s="8">
        <v>0.2</v>
      </c>
      <c r="I559" s="15">
        <v>15.99</v>
      </c>
      <c r="J559"/>
    </row>
    <row r="560" spans="1:10">
      <c r="A560" s="8" t="s">
        <v>1296</v>
      </c>
      <c r="B560" s="8" t="s">
        <v>1296</v>
      </c>
      <c r="C560" s="8" t="s">
        <v>1297</v>
      </c>
      <c r="D560" s="8">
        <v>9999</v>
      </c>
      <c r="E560" s="8" t="s">
        <v>37</v>
      </c>
      <c r="F560" s="8" t="s">
        <v>1298</v>
      </c>
      <c r="G560" s="8" t="s">
        <v>39</v>
      </c>
      <c r="H560" s="8">
        <v>0.2</v>
      </c>
      <c r="I560" s="15">
        <v>54.85</v>
      </c>
      <c r="J560"/>
    </row>
    <row r="561" spans="1:10">
      <c r="A561" s="10"/>
      <c r="B561" s="10"/>
      <c r="C561" s="10"/>
      <c r="D561" s="10"/>
      <c r="E561" s="10"/>
      <c r="F561" s="10"/>
      <c r="G561" s="8" t="s">
        <v>40</v>
      </c>
      <c r="H561" s="8">
        <v>0.25</v>
      </c>
      <c r="I561" s="15">
        <v>0.49</v>
      </c>
      <c r="J561"/>
    </row>
    <row r="562" spans="1:10">
      <c r="A562" s="8" t="s">
        <v>1299</v>
      </c>
      <c r="B562" s="8" t="s">
        <v>1300</v>
      </c>
      <c r="C562" s="8" t="s">
        <v>1301</v>
      </c>
      <c r="D562" s="8">
        <v>9999</v>
      </c>
      <c r="E562" s="8" t="s">
        <v>37</v>
      </c>
      <c r="F562" s="8" t="s">
        <v>1302</v>
      </c>
      <c r="G562" s="8" t="s">
        <v>39</v>
      </c>
      <c r="H562" s="8">
        <v>0.2</v>
      </c>
      <c r="I562" s="15">
        <v>4.66</v>
      </c>
      <c r="J562"/>
    </row>
    <row r="563" spans="1:10">
      <c r="A563" s="8" t="s">
        <v>1303</v>
      </c>
      <c r="B563" s="8" t="s">
        <v>1304</v>
      </c>
      <c r="C563" s="8" t="s">
        <v>1305</v>
      </c>
      <c r="D563" s="8">
        <v>9999</v>
      </c>
      <c r="E563" s="8" t="s">
        <v>37</v>
      </c>
      <c r="F563" s="8" t="s">
        <v>1306</v>
      </c>
      <c r="G563" s="8" t="s">
        <v>39</v>
      </c>
      <c r="H563" s="8">
        <v>0.2</v>
      </c>
      <c r="I563" s="15">
        <v>9.08</v>
      </c>
      <c r="J563"/>
    </row>
    <row r="564" spans="1:10">
      <c r="A564" s="10"/>
      <c r="B564" s="10"/>
      <c r="C564" s="10"/>
      <c r="D564" s="10"/>
      <c r="E564" s="10"/>
      <c r="F564" s="10"/>
      <c r="G564" s="8" t="s">
        <v>40</v>
      </c>
      <c r="H564" s="8">
        <v>0.25</v>
      </c>
      <c r="I564" s="15">
        <v>11.04</v>
      </c>
      <c r="J564"/>
    </row>
    <row r="565" spans="1:10">
      <c r="A565" s="8" t="s">
        <v>1307</v>
      </c>
      <c r="B565" s="8" t="s">
        <v>1307</v>
      </c>
      <c r="C565" s="8" t="s">
        <v>1308</v>
      </c>
      <c r="D565" s="8">
        <v>9999</v>
      </c>
      <c r="E565" s="8" t="s">
        <v>37</v>
      </c>
      <c r="F565" s="8" t="s">
        <v>1309</v>
      </c>
      <c r="G565" s="8" t="s">
        <v>39</v>
      </c>
      <c r="H565" s="8">
        <v>0.2</v>
      </c>
      <c r="I565" s="15">
        <v>28.97</v>
      </c>
      <c r="J565"/>
    </row>
    <row r="566" spans="1:10">
      <c r="A566" s="8" t="s">
        <v>1310</v>
      </c>
      <c r="B566" s="8" t="s">
        <v>1311</v>
      </c>
      <c r="C566" s="8" t="s">
        <v>1312</v>
      </c>
      <c r="D566" s="8">
        <v>9999</v>
      </c>
      <c r="E566" s="8" t="s">
        <v>37</v>
      </c>
      <c r="F566" s="8" t="s">
        <v>1313</v>
      </c>
      <c r="G566" s="8" t="s">
        <v>39</v>
      </c>
      <c r="H566" s="8">
        <v>0.2</v>
      </c>
      <c r="I566" s="15">
        <v>3.51</v>
      </c>
      <c r="J566"/>
    </row>
    <row r="567" spans="1:10">
      <c r="A567" s="8" t="s">
        <v>1314</v>
      </c>
      <c r="B567" s="8" t="s">
        <v>1315</v>
      </c>
      <c r="C567" s="8" t="s">
        <v>1316</v>
      </c>
      <c r="D567" s="8">
        <v>9999</v>
      </c>
      <c r="E567" s="8" t="s">
        <v>37</v>
      </c>
      <c r="F567" s="8" t="s">
        <v>1317</v>
      </c>
      <c r="G567" s="8" t="s">
        <v>39</v>
      </c>
      <c r="H567" s="8">
        <v>0.2</v>
      </c>
      <c r="I567" s="15">
        <v>28.73</v>
      </c>
      <c r="J567"/>
    </row>
    <row r="568" spans="1:10">
      <c r="A568" s="10"/>
      <c r="B568" s="10"/>
      <c r="C568" s="10"/>
      <c r="D568" s="10"/>
      <c r="E568" s="10"/>
      <c r="F568" s="10"/>
      <c r="G568" s="8" t="s">
        <v>40</v>
      </c>
      <c r="H568" s="8">
        <v>0.25</v>
      </c>
      <c r="I568" s="15">
        <v>16.25</v>
      </c>
      <c r="J568"/>
    </row>
    <row r="569" spans="1:10">
      <c r="A569" s="8" t="s">
        <v>1318</v>
      </c>
      <c r="B569" s="8" t="s">
        <v>1319</v>
      </c>
      <c r="C569" s="8" t="s">
        <v>1320</v>
      </c>
      <c r="D569" s="8">
        <v>9999</v>
      </c>
      <c r="E569" s="8" t="s">
        <v>37</v>
      </c>
      <c r="F569" s="8" t="s">
        <v>1321</v>
      </c>
      <c r="G569" s="8" t="s">
        <v>39</v>
      </c>
      <c r="H569" s="8">
        <v>0.2</v>
      </c>
      <c r="I569" s="15">
        <v>7.22</v>
      </c>
      <c r="J569"/>
    </row>
    <row r="570" spans="1:10">
      <c r="A570" s="10"/>
      <c r="B570" s="10"/>
      <c r="C570" s="10"/>
      <c r="D570" s="10"/>
      <c r="E570" s="10"/>
      <c r="F570" s="10"/>
      <c r="G570" s="8" t="s">
        <v>40</v>
      </c>
      <c r="H570" s="8">
        <v>0.25</v>
      </c>
      <c r="I570" s="15">
        <v>12.08</v>
      </c>
      <c r="J570"/>
    </row>
    <row r="571" spans="1:10">
      <c r="A571" s="8" t="s">
        <v>1322</v>
      </c>
      <c r="B571" s="8" t="s">
        <v>1323</v>
      </c>
      <c r="C571" s="8" t="s">
        <v>1324</v>
      </c>
      <c r="D571" s="8">
        <v>9999</v>
      </c>
      <c r="E571" s="8" t="s">
        <v>37</v>
      </c>
      <c r="F571" s="8" t="s">
        <v>1325</v>
      </c>
      <c r="G571" s="8" t="s">
        <v>39</v>
      </c>
      <c r="H571" s="8">
        <v>0.2</v>
      </c>
      <c r="I571" s="15">
        <v>2.41</v>
      </c>
      <c r="J571"/>
    </row>
    <row r="572" spans="1:10">
      <c r="A572" s="8" t="s">
        <v>1326</v>
      </c>
      <c r="B572" s="8" t="s">
        <v>1327</v>
      </c>
      <c r="C572" s="8" t="s">
        <v>1328</v>
      </c>
      <c r="D572" s="8">
        <v>9999</v>
      </c>
      <c r="E572" s="8" t="s">
        <v>37</v>
      </c>
      <c r="F572" s="8" t="s">
        <v>1329</v>
      </c>
      <c r="G572" s="8" t="s">
        <v>39</v>
      </c>
      <c r="H572" s="8">
        <v>0.2</v>
      </c>
      <c r="I572" s="15">
        <v>29.56</v>
      </c>
      <c r="J572"/>
    </row>
    <row r="573" spans="1:10">
      <c r="A573" s="10"/>
      <c r="B573" s="10"/>
      <c r="C573" s="10"/>
      <c r="D573" s="10"/>
      <c r="E573" s="10"/>
      <c r="F573" s="10"/>
      <c r="G573" s="8" t="s">
        <v>40</v>
      </c>
      <c r="H573" s="8">
        <v>0.25</v>
      </c>
      <c r="I573" s="15">
        <v>10</v>
      </c>
      <c r="J573"/>
    </row>
    <row r="574" spans="1:10">
      <c r="A574" s="8" t="s">
        <v>1330</v>
      </c>
      <c r="B574" s="8" t="s">
        <v>0</v>
      </c>
      <c r="C574" s="8" t="s">
        <v>1331</v>
      </c>
      <c r="D574" s="8">
        <v>9999</v>
      </c>
      <c r="E574" s="8" t="s">
        <v>37</v>
      </c>
      <c r="F574" s="8" t="s">
        <v>1332</v>
      </c>
      <c r="G574" s="8" t="s">
        <v>39</v>
      </c>
      <c r="H574" s="8">
        <v>0.2</v>
      </c>
      <c r="I574" s="15">
        <v>4.12</v>
      </c>
      <c r="J574"/>
    </row>
    <row r="575" spans="1:10">
      <c r="A575" s="10"/>
      <c r="B575" s="10"/>
      <c r="C575" s="10"/>
      <c r="D575" s="10"/>
      <c r="E575" s="10"/>
      <c r="F575" s="10"/>
      <c r="G575" s="8" t="s">
        <v>40</v>
      </c>
      <c r="H575" s="8">
        <v>0.25</v>
      </c>
      <c r="I575" s="15">
        <v>6.17</v>
      </c>
      <c r="J575"/>
    </row>
    <row r="576" spans="1:10">
      <c r="A576" s="8" t="s">
        <v>1333</v>
      </c>
      <c r="B576" s="8" t="s">
        <v>1334</v>
      </c>
      <c r="C576" s="8" t="s">
        <v>1335</v>
      </c>
      <c r="D576" s="8">
        <v>9999</v>
      </c>
      <c r="E576" s="8" t="s">
        <v>37</v>
      </c>
      <c r="F576" s="8" t="s">
        <v>150</v>
      </c>
      <c r="G576" s="8" t="s">
        <v>39</v>
      </c>
      <c r="H576" s="8">
        <v>0.2</v>
      </c>
      <c r="I576" s="15">
        <v>3.25</v>
      </c>
      <c r="J576"/>
    </row>
    <row r="577" spans="1:10">
      <c r="A577" s="10"/>
      <c r="B577" s="10"/>
      <c r="C577" s="10"/>
      <c r="D577" s="10"/>
      <c r="E577" s="10"/>
      <c r="F577" s="10"/>
      <c r="G577" s="8" t="s">
        <v>40</v>
      </c>
      <c r="H577" s="8">
        <v>0.25</v>
      </c>
      <c r="I577" s="15">
        <v>2.19</v>
      </c>
      <c r="J577"/>
    </row>
    <row r="578" spans="1:10">
      <c r="A578" s="8" t="s">
        <v>1336</v>
      </c>
      <c r="B578" s="8" t="s">
        <v>1337</v>
      </c>
      <c r="C578" s="8" t="s">
        <v>1338</v>
      </c>
      <c r="D578" s="8">
        <v>9999</v>
      </c>
      <c r="E578" s="8" t="s">
        <v>37</v>
      </c>
      <c r="F578" s="8" t="s">
        <v>1339</v>
      </c>
      <c r="G578" s="8" t="s">
        <v>39</v>
      </c>
      <c r="H578" s="8">
        <v>0.2</v>
      </c>
      <c r="I578" s="15">
        <v>8.94</v>
      </c>
      <c r="J578"/>
    </row>
    <row r="579" spans="1:10">
      <c r="A579" s="8" t="s">
        <v>1340</v>
      </c>
      <c r="B579" s="8" t="s">
        <v>0</v>
      </c>
      <c r="C579" s="8" t="s">
        <v>1341</v>
      </c>
      <c r="D579" s="8">
        <v>9999</v>
      </c>
      <c r="E579" s="8" t="s">
        <v>37</v>
      </c>
      <c r="F579" s="8" t="s">
        <v>1342</v>
      </c>
      <c r="G579" s="8" t="s">
        <v>39</v>
      </c>
      <c r="H579" s="8">
        <v>0.2</v>
      </c>
      <c r="I579" s="15">
        <v>14.24</v>
      </c>
      <c r="J579"/>
    </row>
    <row r="580" spans="1:10">
      <c r="A580" s="10"/>
      <c r="B580" s="10"/>
      <c r="C580" s="10"/>
      <c r="D580" s="10"/>
      <c r="E580" s="10"/>
      <c r="F580" s="10"/>
      <c r="G580" s="8" t="s">
        <v>40</v>
      </c>
      <c r="H580" s="8">
        <v>0.25</v>
      </c>
      <c r="I580" s="15">
        <v>1.42</v>
      </c>
      <c r="J580"/>
    </row>
    <row r="581" spans="1:10">
      <c r="A581" s="8" t="s">
        <v>1343</v>
      </c>
      <c r="B581" s="8" t="s">
        <v>1344</v>
      </c>
      <c r="C581" s="8" t="s">
        <v>1345</v>
      </c>
      <c r="D581" s="8">
        <v>9999</v>
      </c>
      <c r="E581" s="8" t="s">
        <v>37</v>
      </c>
      <c r="F581" s="8" t="s">
        <v>1346</v>
      </c>
      <c r="G581" s="8" t="s">
        <v>39</v>
      </c>
      <c r="H581" s="8">
        <v>0.2</v>
      </c>
      <c r="I581" s="15">
        <v>8.27</v>
      </c>
      <c r="J581"/>
    </row>
    <row r="582" spans="1:10">
      <c r="A582" s="10"/>
      <c r="B582" s="10"/>
      <c r="C582" s="10"/>
      <c r="D582" s="10"/>
      <c r="E582" s="10"/>
      <c r="F582" s="10"/>
      <c r="G582" s="8" t="s">
        <v>40</v>
      </c>
      <c r="H582" s="8">
        <v>0.25</v>
      </c>
      <c r="I582" s="15">
        <v>3.88</v>
      </c>
      <c r="J582"/>
    </row>
    <row r="583" spans="1:10">
      <c r="A583" s="8" t="s">
        <v>1347</v>
      </c>
      <c r="B583" s="8" t="s">
        <v>1348</v>
      </c>
      <c r="C583" s="8" t="s">
        <v>110</v>
      </c>
      <c r="D583" s="8">
        <v>9999</v>
      </c>
      <c r="E583" s="8" t="s">
        <v>37</v>
      </c>
      <c r="F583" s="8" t="s">
        <v>1349</v>
      </c>
      <c r="G583" s="8" t="s">
        <v>39</v>
      </c>
      <c r="H583" s="8">
        <v>0.2</v>
      </c>
      <c r="I583" s="15">
        <v>18.09</v>
      </c>
      <c r="J583"/>
    </row>
    <row r="584" spans="1:10">
      <c r="A584" s="10"/>
      <c r="B584" s="10"/>
      <c r="C584" s="10"/>
      <c r="D584" s="10"/>
      <c r="E584" s="10"/>
      <c r="F584" s="10"/>
      <c r="G584" s="8" t="s">
        <v>40</v>
      </c>
      <c r="H584" s="8">
        <v>0.25</v>
      </c>
      <c r="I584" s="15">
        <v>3.27</v>
      </c>
      <c r="J584"/>
    </row>
    <row r="585" spans="1:10">
      <c r="A585" s="8" t="s">
        <v>1350</v>
      </c>
      <c r="B585" s="8" t="s">
        <v>1351</v>
      </c>
      <c r="C585" s="8" t="s">
        <v>1352</v>
      </c>
      <c r="D585" s="8">
        <v>9999</v>
      </c>
      <c r="E585" s="8" t="s">
        <v>37</v>
      </c>
      <c r="F585" s="8" t="s">
        <v>1353</v>
      </c>
      <c r="G585" s="8" t="s">
        <v>39</v>
      </c>
      <c r="H585" s="8">
        <v>0.2</v>
      </c>
      <c r="I585" s="15">
        <v>3.84</v>
      </c>
      <c r="J585"/>
    </row>
    <row r="586" spans="1:10">
      <c r="A586" s="8" t="s">
        <v>1354</v>
      </c>
      <c r="B586" s="8" t="s">
        <v>1355</v>
      </c>
      <c r="C586" s="8" t="s">
        <v>1356</v>
      </c>
      <c r="D586" s="8">
        <v>9999</v>
      </c>
      <c r="E586" s="8" t="s">
        <v>37</v>
      </c>
      <c r="F586" s="8" t="s">
        <v>1357</v>
      </c>
      <c r="G586" s="8" t="s">
        <v>39</v>
      </c>
      <c r="H586" s="8">
        <v>0.2</v>
      </c>
      <c r="I586" s="15">
        <v>5.16</v>
      </c>
      <c r="J586"/>
    </row>
    <row r="587" spans="1:10">
      <c r="A587" s="10"/>
      <c r="B587" s="10"/>
      <c r="C587" s="10"/>
      <c r="D587" s="10"/>
      <c r="E587" s="10"/>
      <c r="F587" s="10"/>
      <c r="G587" s="8" t="s">
        <v>40</v>
      </c>
      <c r="H587" s="8">
        <v>0.25</v>
      </c>
      <c r="I587" s="15">
        <v>4.99</v>
      </c>
      <c r="J587"/>
    </row>
    <row r="588" spans="1:10">
      <c r="A588" s="8" t="s">
        <v>1358</v>
      </c>
      <c r="B588" s="8" t="s">
        <v>1359</v>
      </c>
      <c r="C588" s="8" t="s">
        <v>385</v>
      </c>
      <c r="D588" s="8">
        <v>9999</v>
      </c>
      <c r="E588" s="8" t="s">
        <v>37</v>
      </c>
      <c r="F588" s="8" t="s">
        <v>1360</v>
      </c>
      <c r="G588" s="8" t="s">
        <v>39</v>
      </c>
      <c r="H588" s="8">
        <v>0.2</v>
      </c>
      <c r="I588" s="15">
        <v>73.459999999999994</v>
      </c>
      <c r="J588"/>
    </row>
    <row r="589" spans="1:10">
      <c r="A589" s="10"/>
      <c r="B589" s="10"/>
      <c r="C589" s="10"/>
      <c r="D589" s="10"/>
      <c r="E589" s="10"/>
      <c r="F589" s="10"/>
      <c r="G589" s="8" t="s">
        <v>40</v>
      </c>
      <c r="H589" s="8">
        <v>0.25</v>
      </c>
      <c r="I589" s="15">
        <v>2.52</v>
      </c>
      <c r="J589"/>
    </row>
    <row r="590" spans="1:10">
      <c r="A590" s="8" t="s">
        <v>1361</v>
      </c>
      <c r="B590" s="8" t="s">
        <v>0</v>
      </c>
      <c r="C590" s="8" t="s">
        <v>1362</v>
      </c>
      <c r="D590" s="8">
        <v>9999</v>
      </c>
      <c r="E590" s="8" t="s">
        <v>37</v>
      </c>
      <c r="F590" s="8" t="s">
        <v>705</v>
      </c>
      <c r="G590" s="8" t="s">
        <v>39</v>
      </c>
      <c r="H590" s="8">
        <v>0.2</v>
      </c>
      <c r="I590" s="15">
        <v>19.5</v>
      </c>
      <c r="J590"/>
    </row>
    <row r="591" spans="1:10">
      <c r="A591" s="10"/>
      <c r="B591" s="10"/>
      <c r="C591" s="10"/>
      <c r="D591" s="10"/>
      <c r="E591" s="10"/>
      <c r="F591" s="10"/>
      <c r="G591" s="8" t="s">
        <v>40</v>
      </c>
      <c r="H591" s="8">
        <v>0.25</v>
      </c>
      <c r="I591" s="15">
        <v>4.75</v>
      </c>
      <c r="J591"/>
    </row>
    <row r="592" spans="1:10">
      <c r="A592" s="8" t="s">
        <v>1363</v>
      </c>
      <c r="B592" s="8" t="s">
        <v>1364</v>
      </c>
      <c r="C592" s="8" t="s">
        <v>1365</v>
      </c>
      <c r="D592" s="8">
        <v>9999</v>
      </c>
      <c r="E592" s="8" t="s">
        <v>37</v>
      </c>
      <c r="F592" s="8" t="s">
        <v>723</v>
      </c>
      <c r="G592" s="8" t="s">
        <v>39</v>
      </c>
      <c r="H592" s="8">
        <v>0.2</v>
      </c>
      <c r="I592" s="15">
        <v>3.92</v>
      </c>
      <c r="J592"/>
    </row>
    <row r="593" spans="1:10">
      <c r="A593" s="8" t="s">
        <v>1366</v>
      </c>
      <c r="B593" s="8" t="s">
        <v>1367</v>
      </c>
      <c r="C593" s="8" t="s">
        <v>1368</v>
      </c>
      <c r="D593" s="8">
        <v>9999</v>
      </c>
      <c r="E593" s="8" t="s">
        <v>37</v>
      </c>
      <c r="F593" s="8" t="s">
        <v>1369</v>
      </c>
      <c r="G593" s="8" t="s">
        <v>39</v>
      </c>
      <c r="H593" s="8">
        <v>0.2</v>
      </c>
      <c r="I593" s="15">
        <v>3.05</v>
      </c>
      <c r="J593"/>
    </row>
    <row r="594" spans="1:10">
      <c r="A594" s="8" t="s">
        <v>1370</v>
      </c>
      <c r="B594" s="8" t="s">
        <v>1371</v>
      </c>
      <c r="C594" s="8" t="s">
        <v>1372</v>
      </c>
      <c r="D594" s="8">
        <v>9999</v>
      </c>
      <c r="E594" s="8" t="s">
        <v>37</v>
      </c>
      <c r="F594" s="8" t="s">
        <v>1373</v>
      </c>
      <c r="G594" s="8" t="s">
        <v>39</v>
      </c>
      <c r="H594" s="8">
        <v>0.2</v>
      </c>
      <c r="I594" s="15">
        <v>3</v>
      </c>
      <c r="J594"/>
    </row>
    <row r="595" spans="1:10">
      <c r="A595" s="8" t="s">
        <v>1374</v>
      </c>
      <c r="B595" s="8" t="s">
        <v>1374</v>
      </c>
      <c r="C595" s="8" t="s">
        <v>1375</v>
      </c>
      <c r="D595" s="8">
        <v>9999</v>
      </c>
      <c r="E595" s="8" t="s">
        <v>37</v>
      </c>
      <c r="F595" s="8" t="s">
        <v>1376</v>
      </c>
      <c r="G595" s="8" t="s">
        <v>39</v>
      </c>
      <c r="H595" s="8">
        <v>0.2</v>
      </c>
      <c r="I595" s="15">
        <v>18.059999999999999</v>
      </c>
      <c r="J595"/>
    </row>
    <row r="596" spans="1:10">
      <c r="A596" s="8" t="s">
        <v>1377</v>
      </c>
      <c r="B596" s="8" t="s">
        <v>0</v>
      </c>
      <c r="C596" s="8" t="s">
        <v>1378</v>
      </c>
      <c r="D596" s="8">
        <v>9999</v>
      </c>
      <c r="E596" s="8" t="s">
        <v>37</v>
      </c>
      <c r="F596" s="8" t="s">
        <v>1379</v>
      </c>
      <c r="G596" s="8" t="s">
        <v>39</v>
      </c>
      <c r="H596" s="8">
        <v>0.2</v>
      </c>
      <c r="I596" s="15">
        <v>12.47</v>
      </c>
      <c r="J596"/>
    </row>
    <row r="597" spans="1:10">
      <c r="A597" s="10"/>
      <c r="B597" s="10"/>
      <c r="C597" s="10"/>
      <c r="D597" s="10"/>
      <c r="E597" s="10"/>
      <c r="F597" s="10"/>
      <c r="G597" s="8" t="s">
        <v>40</v>
      </c>
      <c r="H597" s="8">
        <v>0.25</v>
      </c>
      <c r="I597" s="15">
        <v>0.31</v>
      </c>
      <c r="J597"/>
    </row>
    <row r="598" spans="1:10">
      <c r="A598" s="8" t="s">
        <v>1380</v>
      </c>
      <c r="B598" s="8" t="s">
        <v>0</v>
      </c>
      <c r="C598" s="8" t="s">
        <v>1381</v>
      </c>
      <c r="D598" s="8">
        <v>9999</v>
      </c>
      <c r="E598" s="8" t="s">
        <v>37</v>
      </c>
      <c r="F598" s="8" t="s">
        <v>221</v>
      </c>
      <c r="G598" s="8" t="s">
        <v>39</v>
      </c>
      <c r="H598" s="8">
        <v>0.2</v>
      </c>
      <c r="I598" s="15">
        <v>5.58</v>
      </c>
      <c r="J598"/>
    </row>
    <row r="599" spans="1:10">
      <c r="A599" s="10"/>
      <c r="B599" s="10"/>
      <c r="C599" s="10"/>
      <c r="D599" s="10"/>
      <c r="E599" s="10"/>
      <c r="F599" s="10"/>
      <c r="G599" s="8" t="s">
        <v>40</v>
      </c>
      <c r="H599" s="8">
        <v>0.25</v>
      </c>
      <c r="I599" s="15">
        <v>0.14000000000000001</v>
      </c>
      <c r="J599"/>
    </row>
    <row r="600" spans="1:10">
      <c r="A600" s="8" t="s">
        <v>1382</v>
      </c>
      <c r="B600" s="8" t="s">
        <v>1383</v>
      </c>
      <c r="C600" s="8" t="s">
        <v>1384</v>
      </c>
      <c r="D600" s="8">
        <v>9999</v>
      </c>
      <c r="E600" s="8" t="s">
        <v>37</v>
      </c>
      <c r="F600" s="8" t="s">
        <v>221</v>
      </c>
      <c r="G600" s="8" t="s">
        <v>39</v>
      </c>
      <c r="H600" s="8">
        <v>0.2</v>
      </c>
      <c r="I600" s="15">
        <v>5.92</v>
      </c>
      <c r="J600"/>
    </row>
    <row r="601" spans="1:10">
      <c r="A601" s="8" t="s">
        <v>1385</v>
      </c>
      <c r="B601" s="8" t="s">
        <v>1386</v>
      </c>
      <c r="C601" s="8" t="s">
        <v>1387</v>
      </c>
      <c r="D601" s="8">
        <v>9999</v>
      </c>
      <c r="E601" s="8" t="s">
        <v>37</v>
      </c>
      <c r="F601" s="8" t="s">
        <v>1388</v>
      </c>
      <c r="G601" s="8" t="s">
        <v>39</v>
      </c>
      <c r="H601" s="8">
        <v>0.2</v>
      </c>
      <c r="I601" s="15">
        <v>13.29</v>
      </c>
      <c r="J601"/>
    </row>
    <row r="602" spans="1:10">
      <c r="A602" s="10"/>
      <c r="B602" s="10"/>
      <c r="C602" s="10"/>
      <c r="D602" s="10"/>
      <c r="E602" s="10"/>
      <c r="F602" s="10"/>
      <c r="G602" s="8" t="s">
        <v>40</v>
      </c>
      <c r="H602" s="8">
        <v>0.25</v>
      </c>
      <c r="I602" s="15">
        <v>5.1100000000000003</v>
      </c>
      <c r="J602"/>
    </row>
    <row r="603" spans="1:10">
      <c r="A603" s="8" t="s">
        <v>1389</v>
      </c>
      <c r="B603" s="8" t="s">
        <v>1390</v>
      </c>
      <c r="C603" s="8" t="s">
        <v>1391</v>
      </c>
      <c r="D603" s="8">
        <v>9999</v>
      </c>
      <c r="E603" s="8" t="s">
        <v>37</v>
      </c>
      <c r="F603" s="8" t="s">
        <v>1392</v>
      </c>
      <c r="G603" s="8" t="s">
        <v>39</v>
      </c>
      <c r="H603" s="8">
        <v>0.2</v>
      </c>
      <c r="I603" s="15">
        <v>4.54</v>
      </c>
      <c r="J603"/>
    </row>
    <row r="604" spans="1:10">
      <c r="A604" s="10"/>
      <c r="B604" s="10"/>
      <c r="C604" s="10"/>
      <c r="D604" s="10"/>
      <c r="E604" s="10"/>
      <c r="F604" s="10"/>
      <c r="G604" s="8" t="s">
        <v>40</v>
      </c>
      <c r="H604" s="8">
        <v>0.25</v>
      </c>
      <c r="I604" s="15">
        <v>7.0000000000000007E-2</v>
      </c>
      <c r="J604"/>
    </row>
    <row r="605" spans="1:10">
      <c r="A605" s="8" t="s">
        <v>1393</v>
      </c>
      <c r="B605" s="8" t="s">
        <v>0</v>
      </c>
      <c r="C605" s="8" t="s">
        <v>1394</v>
      </c>
      <c r="D605" s="8">
        <v>9999</v>
      </c>
      <c r="E605" s="8" t="s">
        <v>37</v>
      </c>
      <c r="F605" s="8" t="s">
        <v>1395</v>
      </c>
      <c r="G605" s="8" t="s">
        <v>39</v>
      </c>
      <c r="H605" s="8">
        <v>0.2</v>
      </c>
      <c r="I605" s="15">
        <v>11.47</v>
      </c>
      <c r="J605"/>
    </row>
    <row r="606" spans="1:10">
      <c r="A606" s="10"/>
      <c r="B606" s="10"/>
      <c r="C606" s="10"/>
      <c r="D606" s="10"/>
      <c r="E606" s="10"/>
      <c r="F606" s="10"/>
      <c r="G606" s="8" t="s">
        <v>40</v>
      </c>
      <c r="H606" s="8">
        <v>0.25</v>
      </c>
      <c r="I606" s="15">
        <v>2.33</v>
      </c>
      <c r="J606"/>
    </row>
    <row r="607" spans="1:10">
      <c r="A607" s="8" t="s">
        <v>1396</v>
      </c>
      <c r="B607" s="8" t="s">
        <v>1397</v>
      </c>
      <c r="C607" s="8" t="s">
        <v>1398</v>
      </c>
      <c r="D607" s="8">
        <v>9999</v>
      </c>
      <c r="E607" s="8" t="s">
        <v>37</v>
      </c>
      <c r="F607" s="8" t="s">
        <v>172</v>
      </c>
      <c r="G607" s="8" t="s">
        <v>39</v>
      </c>
      <c r="H607" s="8">
        <v>0.2</v>
      </c>
      <c r="I607" s="15">
        <v>7.28</v>
      </c>
      <c r="J607"/>
    </row>
    <row r="608" spans="1:10">
      <c r="A608" s="10"/>
      <c r="B608" s="10"/>
      <c r="C608" s="10"/>
      <c r="D608" s="10"/>
      <c r="E608" s="10"/>
      <c r="F608" s="10"/>
      <c r="G608" s="8" t="s">
        <v>40</v>
      </c>
      <c r="H608" s="8">
        <v>0.25</v>
      </c>
      <c r="I608" s="15">
        <v>0.02</v>
      </c>
      <c r="J608"/>
    </row>
    <row r="609" spans="1:10">
      <c r="A609" s="8" t="s">
        <v>1399</v>
      </c>
      <c r="B609" s="8" t="s">
        <v>1400</v>
      </c>
      <c r="C609" s="8" t="s">
        <v>1401</v>
      </c>
      <c r="D609" s="8">
        <v>9999</v>
      </c>
      <c r="E609" s="8" t="s">
        <v>37</v>
      </c>
      <c r="F609" s="8" t="s">
        <v>1402</v>
      </c>
      <c r="G609" s="8" t="s">
        <v>39</v>
      </c>
      <c r="H609" s="8">
        <v>0.2</v>
      </c>
      <c r="I609" s="15">
        <v>31.04</v>
      </c>
      <c r="J609"/>
    </row>
    <row r="610" spans="1:10">
      <c r="A610" s="10"/>
      <c r="B610" s="10"/>
      <c r="C610" s="10"/>
      <c r="D610" s="10"/>
      <c r="E610" s="10"/>
      <c r="F610" s="10"/>
      <c r="G610" s="8" t="s">
        <v>40</v>
      </c>
      <c r="H610" s="8">
        <v>0.25</v>
      </c>
      <c r="I610" s="15">
        <v>0.17</v>
      </c>
      <c r="J610"/>
    </row>
    <row r="611" spans="1:10">
      <c r="A611" s="8" t="s">
        <v>1403</v>
      </c>
      <c r="B611" s="8" t="s">
        <v>1404</v>
      </c>
      <c r="C611" s="8" t="s">
        <v>1405</v>
      </c>
      <c r="D611" s="8">
        <v>9999</v>
      </c>
      <c r="E611" s="8" t="s">
        <v>37</v>
      </c>
      <c r="F611" s="8" t="s">
        <v>1406</v>
      </c>
      <c r="G611" s="8" t="s">
        <v>39</v>
      </c>
      <c r="H611" s="8">
        <v>0.2</v>
      </c>
      <c r="I611" s="15">
        <v>11.64</v>
      </c>
      <c r="J611"/>
    </row>
    <row r="612" spans="1:10">
      <c r="A612" s="10"/>
      <c r="B612" s="10"/>
      <c r="C612" s="10"/>
      <c r="D612" s="10"/>
      <c r="E612" s="10"/>
      <c r="F612" s="10"/>
      <c r="G612" s="8" t="s">
        <v>40</v>
      </c>
      <c r="H612" s="8">
        <v>0.25</v>
      </c>
      <c r="I612" s="15">
        <v>3.49</v>
      </c>
      <c r="J612"/>
    </row>
    <row r="613" spans="1:10">
      <c r="A613" s="8" t="s">
        <v>1407</v>
      </c>
      <c r="B613" s="8" t="s">
        <v>1408</v>
      </c>
      <c r="C613" s="8" t="s">
        <v>1409</v>
      </c>
      <c r="D613" s="8">
        <v>9999</v>
      </c>
      <c r="E613" s="8" t="s">
        <v>37</v>
      </c>
      <c r="F613" s="8" t="s">
        <v>1410</v>
      </c>
      <c r="G613" s="8" t="s">
        <v>39</v>
      </c>
      <c r="H613" s="8">
        <v>0.2</v>
      </c>
      <c r="I613" s="15">
        <v>3.05</v>
      </c>
      <c r="J613"/>
    </row>
    <row r="614" spans="1:10">
      <c r="A614" s="10"/>
      <c r="B614" s="10"/>
      <c r="C614" s="10"/>
      <c r="D614" s="10"/>
      <c r="E614" s="10"/>
      <c r="F614" s="10"/>
      <c r="G614" s="8" t="s">
        <v>40</v>
      </c>
      <c r="H614" s="8">
        <v>0.25</v>
      </c>
      <c r="I614" s="15">
        <v>0.04</v>
      </c>
      <c r="J614"/>
    </row>
    <row r="615" spans="1:10">
      <c r="A615" s="8" t="s">
        <v>1411</v>
      </c>
      <c r="B615" s="8" t="s">
        <v>1412</v>
      </c>
      <c r="C615" s="8" t="s">
        <v>1413</v>
      </c>
      <c r="D615" s="8">
        <v>9999</v>
      </c>
      <c r="E615" s="8" t="s">
        <v>37</v>
      </c>
      <c r="F615" s="8" t="s">
        <v>1414</v>
      </c>
      <c r="G615" s="8" t="s">
        <v>39</v>
      </c>
      <c r="H615" s="8">
        <v>0.2</v>
      </c>
      <c r="I615" s="15">
        <v>1.4</v>
      </c>
      <c r="J615"/>
    </row>
    <row r="616" spans="1:10">
      <c r="A616" s="10"/>
      <c r="B616" s="10"/>
      <c r="C616" s="10"/>
      <c r="D616" s="10"/>
      <c r="E616" s="10"/>
      <c r="F616" s="10"/>
      <c r="G616" s="8" t="s">
        <v>40</v>
      </c>
      <c r="H616" s="8">
        <v>0.25</v>
      </c>
      <c r="I616" s="15">
        <v>4.32</v>
      </c>
      <c r="J616"/>
    </row>
    <row r="617" spans="1:10">
      <c r="A617" s="8" t="s">
        <v>1415</v>
      </c>
      <c r="B617" s="8" t="s">
        <v>0</v>
      </c>
      <c r="C617" s="8" t="s">
        <v>1416</v>
      </c>
      <c r="D617" s="8">
        <v>9999</v>
      </c>
      <c r="E617" s="8" t="s">
        <v>37</v>
      </c>
      <c r="F617" s="8" t="s">
        <v>1417</v>
      </c>
      <c r="G617" s="8" t="s">
        <v>39</v>
      </c>
      <c r="H617" s="8">
        <v>0.2</v>
      </c>
      <c r="I617" s="15">
        <v>4.1500000000000004</v>
      </c>
      <c r="J617"/>
    </row>
    <row r="618" spans="1:10">
      <c r="A618" s="10"/>
      <c r="B618" s="10"/>
      <c r="C618" s="10"/>
      <c r="D618" s="10"/>
      <c r="E618" s="10"/>
      <c r="F618" s="10"/>
      <c r="G618" s="8" t="s">
        <v>40</v>
      </c>
      <c r="H618" s="8">
        <v>0.25</v>
      </c>
      <c r="I618" s="15">
        <v>0.53</v>
      </c>
      <c r="J618"/>
    </row>
    <row r="619" spans="1:10">
      <c r="A619" s="8" t="s">
        <v>1418</v>
      </c>
      <c r="B619" s="8" t="s">
        <v>0</v>
      </c>
      <c r="C619" s="8" t="s">
        <v>1419</v>
      </c>
      <c r="D619" s="8">
        <v>9999</v>
      </c>
      <c r="E619" s="8" t="s">
        <v>37</v>
      </c>
      <c r="F619" s="8" t="s">
        <v>1420</v>
      </c>
      <c r="G619" s="8" t="s">
        <v>39</v>
      </c>
      <c r="H619" s="8">
        <v>0.2</v>
      </c>
      <c r="I619" s="15">
        <v>19.37</v>
      </c>
      <c r="J619"/>
    </row>
    <row r="620" spans="1:10">
      <c r="A620" s="10"/>
      <c r="B620" s="10"/>
      <c r="C620" s="10"/>
      <c r="D620" s="10"/>
      <c r="E620" s="10"/>
      <c r="F620" s="10"/>
      <c r="G620" s="8" t="s">
        <v>40</v>
      </c>
      <c r="H620" s="8">
        <v>0.25</v>
      </c>
      <c r="I620" s="15">
        <v>0.05</v>
      </c>
      <c r="J620"/>
    </row>
    <row r="621" spans="1:10">
      <c r="A621" s="8" t="s">
        <v>1421</v>
      </c>
      <c r="B621" s="8" t="s">
        <v>1422</v>
      </c>
      <c r="C621" s="8" t="s">
        <v>1423</v>
      </c>
      <c r="D621" s="8">
        <v>9999</v>
      </c>
      <c r="E621" s="8" t="s">
        <v>37</v>
      </c>
      <c r="F621" s="8" t="s">
        <v>943</v>
      </c>
      <c r="G621" s="8" t="s">
        <v>39</v>
      </c>
      <c r="H621" s="8">
        <v>0.2</v>
      </c>
      <c r="I621" s="15">
        <v>93.88</v>
      </c>
      <c r="J621"/>
    </row>
    <row r="622" spans="1:10">
      <c r="A622" s="10"/>
      <c r="B622" s="10"/>
      <c r="C622" s="10"/>
      <c r="D622" s="10"/>
      <c r="E622" s="10"/>
      <c r="F622" s="10"/>
      <c r="G622" s="8" t="s">
        <v>40</v>
      </c>
      <c r="H622" s="8">
        <v>0.25</v>
      </c>
      <c r="I622" s="15">
        <v>46.23</v>
      </c>
      <c r="J622"/>
    </row>
    <row r="623" spans="1:10">
      <c r="A623" s="8" t="s">
        <v>1424</v>
      </c>
      <c r="B623" s="8" t="s">
        <v>0</v>
      </c>
      <c r="C623" s="8" t="s">
        <v>1425</v>
      </c>
      <c r="D623" s="8">
        <v>9999</v>
      </c>
      <c r="E623" s="8" t="s">
        <v>37</v>
      </c>
      <c r="F623" s="8" t="s">
        <v>1426</v>
      </c>
      <c r="G623" s="8" t="s">
        <v>39</v>
      </c>
      <c r="H623" s="8">
        <v>0.2</v>
      </c>
      <c r="I623" s="15">
        <v>14.5</v>
      </c>
      <c r="J623"/>
    </row>
    <row r="624" spans="1:10">
      <c r="A624" s="10"/>
      <c r="B624" s="10"/>
      <c r="C624" s="10"/>
      <c r="D624" s="10"/>
      <c r="E624" s="10"/>
      <c r="F624" s="10"/>
      <c r="G624" s="8" t="s">
        <v>40</v>
      </c>
      <c r="H624" s="8">
        <v>0.25</v>
      </c>
      <c r="I624" s="15">
        <v>4.6500000000000004</v>
      </c>
      <c r="J624"/>
    </row>
    <row r="625" spans="1:10">
      <c r="A625" s="8" t="s">
        <v>1427</v>
      </c>
      <c r="B625" s="8" t="s">
        <v>0</v>
      </c>
      <c r="C625" s="8" t="s">
        <v>1428</v>
      </c>
      <c r="D625" s="8">
        <v>9999</v>
      </c>
      <c r="E625" s="8" t="s">
        <v>37</v>
      </c>
      <c r="F625" s="8" t="s">
        <v>1429</v>
      </c>
      <c r="G625" s="8" t="s">
        <v>39</v>
      </c>
      <c r="H625" s="8">
        <v>0.2</v>
      </c>
      <c r="I625" s="15">
        <v>19.13</v>
      </c>
      <c r="J625"/>
    </row>
    <row r="626" spans="1:10">
      <c r="A626" s="10"/>
      <c r="B626" s="10"/>
      <c r="C626" s="10"/>
      <c r="D626" s="10"/>
      <c r="E626" s="10"/>
      <c r="F626" s="10"/>
      <c r="G626" s="8" t="s">
        <v>40</v>
      </c>
      <c r="H626" s="8">
        <v>0.25</v>
      </c>
      <c r="I626" s="15">
        <v>0.16</v>
      </c>
      <c r="J626"/>
    </row>
    <row r="627" spans="1:10">
      <c r="A627" s="8" t="s">
        <v>1430</v>
      </c>
      <c r="B627" s="8" t="s">
        <v>0</v>
      </c>
      <c r="C627" s="8" t="s">
        <v>1431</v>
      </c>
      <c r="D627" s="8">
        <v>9999</v>
      </c>
      <c r="E627" s="8" t="s">
        <v>37</v>
      </c>
      <c r="F627" s="8" t="s">
        <v>1432</v>
      </c>
      <c r="G627" s="8" t="s">
        <v>39</v>
      </c>
      <c r="H627" s="8">
        <v>0.2</v>
      </c>
      <c r="I627" s="15">
        <v>100.72</v>
      </c>
      <c r="J627"/>
    </row>
    <row r="628" spans="1:10">
      <c r="A628" s="10"/>
      <c r="B628" s="10"/>
      <c r="C628" s="10"/>
      <c r="D628" s="10"/>
      <c r="E628" s="10"/>
      <c r="F628" s="10"/>
      <c r="G628" s="8" t="s">
        <v>40</v>
      </c>
      <c r="H628" s="8">
        <v>0.25</v>
      </c>
      <c r="I628" s="15">
        <v>22.52</v>
      </c>
      <c r="J628"/>
    </row>
    <row r="629" spans="1:10">
      <c r="A629" s="8" t="s">
        <v>1433</v>
      </c>
      <c r="B629" s="8" t="s">
        <v>1433</v>
      </c>
      <c r="C629" s="8" t="s">
        <v>1434</v>
      </c>
      <c r="D629" s="8">
        <v>9999</v>
      </c>
      <c r="E629" s="8" t="s">
        <v>37</v>
      </c>
      <c r="F629" s="8" t="s">
        <v>1435</v>
      </c>
      <c r="G629" s="8" t="s">
        <v>39</v>
      </c>
      <c r="H629" s="8">
        <v>0.2</v>
      </c>
      <c r="I629" s="15">
        <v>17.75</v>
      </c>
      <c r="J629"/>
    </row>
    <row r="630" spans="1:10">
      <c r="A630" s="10"/>
      <c r="B630" s="10"/>
      <c r="C630" s="10"/>
      <c r="D630" s="10"/>
      <c r="E630" s="10"/>
      <c r="F630" s="10"/>
      <c r="G630" s="8" t="s">
        <v>40</v>
      </c>
      <c r="H630" s="8">
        <v>0.25</v>
      </c>
      <c r="I630" s="15">
        <v>0.5</v>
      </c>
      <c r="J630"/>
    </row>
    <row r="631" spans="1:10">
      <c r="A631" s="8" t="s">
        <v>1436</v>
      </c>
      <c r="B631" s="8" t="s">
        <v>0</v>
      </c>
      <c r="C631" s="8" t="s">
        <v>1437</v>
      </c>
      <c r="D631" s="8">
        <v>9999</v>
      </c>
      <c r="E631" s="8" t="s">
        <v>37</v>
      </c>
      <c r="F631" s="8" t="s">
        <v>1438</v>
      </c>
      <c r="G631" s="8" t="s">
        <v>39</v>
      </c>
      <c r="H631" s="8">
        <v>0.2</v>
      </c>
      <c r="I631" s="15">
        <v>10.58</v>
      </c>
      <c r="J631"/>
    </row>
    <row r="632" spans="1:10">
      <c r="A632" s="8" t="s">
        <v>1439</v>
      </c>
      <c r="B632" s="8" t="s">
        <v>0</v>
      </c>
      <c r="C632" s="8" t="s">
        <v>1440</v>
      </c>
      <c r="D632" s="8">
        <v>9999</v>
      </c>
      <c r="E632" s="8" t="s">
        <v>37</v>
      </c>
      <c r="F632" s="8" t="s">
        <v>1441</v>
      </c>
      <c r="G632" s="8" t="s">
        <v>39</v>
      </c>
      <c r="H632" s="8">
        <v>0.2</v>
      </c>
      <c r="I632" s="15">
        <v>148.21</v>
      </c>
      <c r="J632"/>
    </row>
    <row r="633" spans="1:10">
      <c r="A633" s="8" t="s">
        <v>1442</v>
      </c>
      <c r="B633" s="8" t="s">
        <v>0</v>
      </c>
      <c r="C633" s="8" t="s">
        <v>1443</v>
      </c>
      <c r="D633" s="8">
        <v>9999</v>
      </c>
      <c r="E633" s="8" t="s">
        <v>37</v>
      </c>
      <c r="F633" s="8" t="s">
        <v>1444</v>
      </c>
      <c r="G633" s="8" t="s">
        <v>39</v>
      </c>
      <c r="H633" s="8">
        <v>0.2</v>
      </c>
      <c r="I633" s="15">
        <v>3.55</v>
      </c>
      <c r="J633"/>
    </row>
    <row r="634" spans="1:10">
      <c r="A634" s="10"/>
      <c r="B634" s="10"/>
      <c r="C634" s="10"/>
      <c r="D634" s="10"/>
      <c r="E634" s="10"/>
      <c r="F634" s="10"/>
      <c r="G634" s="8" t="s">
        <v>40</v>
      </c>
      <c r="H634" s="8">
        <v>0.25</v>
      </c>
      <c r="I634" s="15">
        <v>0.04</v>
      </c>
      <c r="J634"/>
    </row>
    <row r="635" spans="1:10">
      <c r="A635" s="8" t="s">
        <v>1445</v>
      </c>
      <c r="B635" s="8" t="s">
        <v>1445</v>
      </c>
      <c r="C635" s="8" t="s">
        <v>1446</v>
      </c>
      <c r="D635" s="8">
        <v>9999</v>
      </c>
      <c r="E635" s="8" t="s">
        <v>37</v>
      </c>
      <c r="F635" s="8" t="s">
        <v>1447</v>
      </c>
      <c r="G635" s="8" t="s">
        <v>39</v>
      </c>
      <c r="H635" s="8">
        <v>0.2</v>
      </c>
      <c r="I635" s="15">
        <v>64.75</v>
      </c>
      <c r="J635"/>
    </row>
    <row r="636" spans="1:10">
      <c r="A636" s="10"/>
      <c r="B636" s="10"/>
      <c r="C636" s="10"/>
      <c r="D636" s="10"/>
      <c r="E636" s="10"/>
      <c r="F636" s="10"/>
      <c r="G636" s="8" t="s">
        <v>40</v>
      </c>
      <c r="H636" s="8">
        <v>0.25</v>
      </c>
      <c r="I636" s="15">
        <v>39.130000000000003</v>
      </c>
      <c r="J636"/>
    </row>
    <row r="637" spans="1:10">
      <c r="A637" s="8" t="s">
        <v>1448</v>
      </c>
      <c r="B637" s="8" t="s">
        <v>1448</v>
      </c>
      <c r="C637" s="8" t="s">
        <v>1449</v>
      </c>
      <c r="D637" s="8">
        <v>9999</v>
      </c>
      <c r="E637" s="8" t="s">
        <v>37</v>
      </c>
      <c r="F637" s="8" t="s">
        <v>1450</v>
      </c>
      <c r="G637" s="8" t="s">
        <v>39</v>
      </c>
      <c r="H637" s="8">
        <v>0.2</v>
      </c>
      <c r="I637" s="15">
        <v>7.15</v>
      </c>
      <c r="J637"/>
    </row>
    <row r="638" spans="1:10">
      <c r="A638" s="8" t="s">
        <v>1451</v>
      </c>
      <c r="B638" s="8" t="s">
        <v>1451</v>
      </c>
      <c r="C638" s="8" t="s">
        <v>1452</v>
      </c>
      <c r="D638" s="8">
        <v>9999</v>
      </c>
      <c r="E638" s="8" t="s">
        <v>37</v>
      </c>
      <c r="F638" s="8" t="s">
        <v>1453</v>
      </c>
      <c r="G638" s="8" t="s">
        <v>39</v>
      </c>
      <c r="H638" s="8">
        <v>0.2</v>
      </c>
      <c r="I638" s="15">
        <v>8.8000000000000007</v>
      </c>
      <c r="J638"/>
    </row>
    <row r="639" spans="1:10">
      <c r="A639" s="8" t="s">
        <v>1454</v>
      </c>
      <c r="B639" s="8" t="s">
        <v>0</v>
      </c>
      <c r="C639" s="8" t="s">
        <v>1455</v>
      </c>
      <c r="D639" s="8">
        <v>9999</v>
      </c>
      <c r="E639" s="8" t="s">
        <v>37</v>
      </c>
      <c r="F639" s="8" t="s">
        <v>1456</v>
      </c>
      <c r="G639" s="8" t="s">
        <v>39</v>
      </c>
      <c r="H639" s="8">
        <v>0.2</v>
      </c>
      <c r="I639" s="15">
        <v>5.29</v>
      </c>
      <c r="J639"/>
    </row>
    <row r="640" spans="1:10">
      <c r="A640" s="10"/>
      <c r="B640" s="10"/>
      <c r="C640" s="10"/>
      <c r="D640" s="10"/>
      <c r="E640" s="10"/>
      <c r="F640" s="10"/>
      <c r="G640" s="8" t="s">
        <v>40</v>
      </c>
      <c r="H640" s="8">
        <v>0.25</v>
      </c>
      <c r="I640" s="15">
        <v>6.61</v>
      </c>
      <c r="J640"/>
    </row>
    <row r="641" spans="1:10">
      <c r="A641" s="8" t="s">
        <v>1457</v>
      </c>
      <c r="B641" s="8" t="s">
        <v>0</v>
      </c>
      <c r="C641" s="8" t="s">
        <v>1458</v>
      </c>
      <c r="D641" s="8">
        <v>9999</v>
      </c>
      <c r="E641" s="8" t="s">
        <v>37</v>
      </c>
      <c r="F641" s="8" t="s">
        <v>1459</v>
      </c>
      <c r="G641" s="8" t="s">
        <v>39</v>
      </c>
      <c r="H641" s="8">
        <v>0.2</v>
      </c>
      <c r="I641" s="15">
        <v>9.7200000000000006</v>
      </c>
      <c r="J641"/>
    </row>
    <row r="642" spans="1:10">
      <c r="A642" s="8" t="s">
        <v>1460</v>
      </c>
      <c r="B642" s="8" t="s">
        <v>1460</v>
      </c>
      <c r="C642" s="8" t="s">
        <v>1461</v>
      </c>
      <c r="D642" s="8">
        <v>9999</v>
      </c>
      <c r="E642" s="8" t="s">
        <v>37</v>
      </c>
      <c r="F642" s="8" t="s">
        <v>1462</v>
      </c>
      <c r="G642" s="8" t="s">
        <v>39</v>
      </c>
      <c r="H642" s="8">
        <v>0.2</v>
      </c>
      <c r="I642" s="15">
        <v>4.2300000000000004</v>
      </c>
      <c r="J642"/>
    </row>
    <row r="643" spans="1:10">
      <c r="A643" s="10"/>
      <c r="B643" s="10"/>
      <c r="C643" s="10"/>
      <c r="D643" s="10"/>
      <c r="E643" s="10"/>
      <c r="F643" s="10"/>
      <c r="G643" s="8" t="s">
        <v>40</v>
      </c>
      <c r="H643" s="8">
        <v>0.25</v>
      </c>
      <c r="I643" s="15">
        <v>18.66</v>
      </c>
      <c r="J643"/>
    </row>
    <row r="644" spans="1:10">
      <c r="A644" s="8" t="s">
        <v>1463</v>
      </c>
      <c r="B644" s="8" t="s">
        <v>0</v>
      </c>
      <c r="C644" s="8" t="s">
        <v>1464</v>
      </c>
      <c r="D644" s="8">
        <v>9999</v>
      </c>
      <c r="E644" s="8" t="s">
        <v>37</v>
      </c>
      <c r="F644" s="8" t="s">
        <v>962</v>
      </c>
      <c r="G644" s="8" t="s">
        <v>39</v>
      </c>
      <c r="H644" s="8">
        <v>0.2</v>
      </c>
      <c r="I644" s="15">
        <v>21.03</v>
      </c>
      <c r="J644"/>
    </row>
    <row r="645" spans="1:10">
      <c r="A645" s="10"/>
      <c r="B645" s="10"/>
      <c r="C645" s="10"/>
      <c r="D645" s="10"/>
      <c r="E645" s="10"/>
      <c r="F645" s="10"/>
      <c r="G645" s="8" t="s">
        <v>40</v>
      </c>
      <c r="H645" s="8">
        <v>0.25</v>
      </c>
      <c r="I645" s="15">
        <v>1.1599999999999999</v>
      </c>
      <c r="J645"/>
    </row>
    <row r="646" spans="1:10">
      <c r="A646" s="8" t="s">
        <v>1465</v>
      </c>
      <c r="B646" s="8" t="s">
        <v>1465</v>
      </c>
      <c r="C646" s="8" t="s">
        <v>1466</v>
      </c>
      <c r="D646" s="8">
        <v>9999</v>
      </c>
      <c r="E646" s="8" t="s">
        <v>37</v>
      </c>
      <c r="F646" s="8" t="s">
        <v>1467</v>
      </c>
      <c r="G646" s="8" t="s">
        <v>39</v>
      </c>
      <c r="H646" s="8">
        <v>0.2</v>
      </c>
      <c r="I646" s="15">
        <v>2.82</v>
      </c>
      <c r="J646"/>
    </row>
    <row r="647" spans="1:10">
      <c r="A647" s="10"/>
      <c r="B647" s="10"/>
      <c r="C647" s="10"/>
      <c r="D647" s="10"/>
      <c r="E647" s="10"/>
      <c r="F647" s="10"/>
      <c r="G647" s="8" t="s">
        <v>40</v>
      </c>
      <c r="H647" s="8">
        <v>0.25</v>
      </c>
      <c r="I647" s="15">
        <v>0</v>
      </c>
      <c r="J647"/>
    </row>
    <row r="648" spans="1:10">
      <c r="A648" s="8" t="s">
        <v>1468</v>
      </c>
      <c r="B648" s="8" t="s">
        <v>0</v>
      </c>
      <c r="C648" s="8" t="s">
        <v>1469</v>
      </c>
      <c r="D648" s="8">
        <v>9999</v>
      </c>
      <c r="E648" s="8" t="s">
        <v>37</v>
      </c>
      <c r="F648" s="8" t="s">
        <v>1470</v>
      </c>
      <c r="G648" s="8" t="s">
        <v>39</v>
      </c>
      <c r="H648" s="8">
        <v>0.2</v>
      </c>
      <c r="I648" s="15">
        <v>5.63</v>
      </c>
      <c r="J648"/>
    </row>
    <row r="649" spans="1:10">
      <c r="A649" s="8" t="s">
        <v>1471</v>
      </c>
      <c r="B649" s="8" t="s">
        <v>1471</v>
      </c>
      <c r="C649" s="8" t="s">
        <v>1472</v>
      </c>
      <c r="D649" s="8">
        <v>9999</v>
      </c>
      <c r="E649" s="8" t="s">
        <v>37</v>
      </c>
      <c r="F649" s="8" t="s">
        <v>1473</v>
      </c>
      <c r="G649" s="8" t="s">
        <v>39</v>
      </c>
      <c r="H649" s="8">
        <v>0.2</v>
      </c>
      <c r="I649" s="15">
        <v>63.03</v>
      </c>
      <c r="J649"/>
    </row>
    <row r="650" spans="1:10">
      <c r="A650" s="8" t="s">
        <v>1474</v>
      </c>
      <c r="B650" s="8" t="s">
        <v>1474</v>
      </c>
      <c r="C650" s="8" t="s">
        <v>1475</v>
      </c>
      <c r="D650" s="8">
        <v>9999</v>
      </c>
      <c r="E650" s="8" t="s">
        <v>37</v>
      </c>
      <c r="F650" s="8" t="s">
        <v>1476</v>
      </c>
      <c r="G650" s="8" t="s">
        <v>39</v>
      </c>
      <c r="H650" s="8">
        <v>0.2</v>
      </c>
      <c r="I650" s="15">
        <v>6.69</v>
      </c>
      <c r="J650"/>
    </row>
    <row r="651" spans="1:10">
      <c r="A651" s="8" t="s">
        <v>1477</v>
      </c>
      <c r="B651" s="8" t="s">
        <v>1477</v>
      </c>
      <c r="C651" s="8" t="s">
        <v>1478</v>
      </c>
      <c r="D651" s="8">
        <v>9999</v>
      </c>
      <c r="E651" s="8" t="s">
        <v>37</v>
      </c>
      <c r="F651" s="8" t="s">
        <v>958</v>
      </c>
      <c r="G651" s="8" t="s">
        <v>39</v>
      </c>
      <c r="H651" s="8">
        <v>0.2</v>
      </c>
      <c r="I651" s="15">
        <v>4.3600000000000003</v>
      </c>
      <c r="J651"/>
    </row>
    <row r="652" spans="1:10">
      <c r="A652" s="10"/>
      <c r="B652" s="10"/>
      <c r="C652" s="10"/>
      <c r="D652" s="10"/>
      <c r="E652" s="10"/>
      <c r="F652" s="10"/>
      <c r="G652" s="8" t="s">
        <v>40</v>
      </c>
      <c r="H652" s="8">
        <v>0.25</v>
      </c>
      <c r="I652" s="15">
        <v>0.09</v>
      </c>
      <c r="J652"/>
    </row>
    <row r="653" spans="1:10">
      <c r="A653" s="8" t="s">
        <v>1479</v>
      </c>
      <c r="B653" s="8" t="s">
        <v>1479</v>
      </c>
      <c r="C653" s="8" t="s">
        <v>1480</v>
      </c>
      <c r="D653" s="8">
        <v>9999</v>
      </c>
      <c r="E653" s="8" t="s">
        <v>37</v>
      </c>
      <c r="F653" s="8" t="s">
        <v>1481</v>
      </c>
      <c r="G653" s="8" t="s">
        <v>39</v>
      </c>
      <c r="H653" s="8">
        <v>0.2</v>
      </c>
      <c r="I653" s="15">
        <v>35.700000000000003</v>
      </c>
      <c r="J653"/>
    </row>
    <row r="654" spans="1:10">
      <c r="A654" s="10"/>
      <c r="B654" s="10"/>
      <c r="C654" s="10"/>
      <c r="D654" s="10"/>
      <c r="E654" s="10"/>
      <c r="F654" s="10"/>
      <c r="G654" s="8" t="s">
        <v>40</v>
      </c>
      <c r="H654" s="8">
        <v>0.25</v>
      </c>
      <c r="I654" s="15">
        <v>60.36</v>
      </c>
      <c r="J654"/>
    </row>
    <row r="655" spans="1:10">
      <c r="A655" s="8" t="s">
        <v>1482</v>
      </c>
      <c r="B655" s="8" t="s">
        <v>1482</v>
      </c>
      <c r="C655" s="8" t="s">
        <v>1483</v>
      </c>
      <c r="D655" s="8">
        <v>9999</v>
      </c>
      <c r="E655" s="8" t="s">
        <v>37</v>
      </c>
      <c r="F655" s="8" t="s">
        <v>1484</v>
      </c>
      <c r="G655" s="8" t="s">
        <v>39</v>
      </c>
      <c r="H655" s="8">
        <v>0.2</v>
      </c>
      <c r="I655" s="15">
        <v>101.85</v>
      </c>
      <c r="J655"/>
    </row>
    <row r="656" spans="1:10">
      <c r="A656" s="10"/>
      <c r="B656" s="10"/>
      <c r="C656" s="10"/>
      <c r="D656" s="10"/>
      <c r="E656" s="10"/>
      <c r="F656" s="10"/>
      <c r="G656" s="8" t="s">
        <v>40</v>
      </c>
      <c r="H656" s="8">
        <v>0.25</v>
      </c>
      <c r="I656" s="15">
        <v>30.36</v>
      </c>
      <c r="J656"/>
    </row>
    <row r="657" spans="1:10">
      <c r="A657" s="8" t="s">
        <v>1485</v>
      </c>
      <c r="B657" s="8" t="s">
        <v>0</v>
      </c>
      <c r="C657" s="8" t="s">
        <v>1486</v>
      </c>
      <c r="D657" s="8">
        <v>9999</v>
      </c>
      <c r="E657" s="8" t="s">
        <v>37</v>
      </c>
      <c r="F657" s="8" t="s">
        <v>1190</v>
      </c>
      <c r="G657" s="8" t="s">
        <v>39</v>
      </c>
      <c r="H657" s="8">
        <v>0.2</v>
      </c>
      <c r="I657" s="15">
        <v>57.37</v>
      </c>
      <c r="J657"/>
    </row>
    <row r="658" spans="1:10">
      <c r="A658" s="10"/>
      <c r="B658" s="10"/>
      <c r="C658" s="10"/>
      <c r="D658" s="10"/>
      <c r="E658" s="10"/>
      <c r="F658" s="10"/>
      <c r="G658" s="8" t="s">
        <v>40</v>
      </c>
      <c r="H658" s="8">
        <v>0.25</v>
      </c>
      <c r="I658" s="15">
        <v>10</v>
      </c>
      <c r="J658"/>
    </row>
    <row r="659" spans="1:10">
      <c r="A659" s="8" t="s">
        <v>1487</v>
      </c>
      <c r="B659" s="8" t="s">
        <v>1487</v>
      </c>
      <c r="C659" s="8" t="s">
        <v>1488</v>
      </c>
      <c r="D659" s="8">
        <v>9999</v>
      </c>
      <c r="E659" s="8" t="s">
        <v>37</v>
      </c>
      <c r="F659" s="8" t="s">
        <v>166</v>
      </c>
      <c r="G659" s="8" t="s">
        <v>39</v>
      </c>
      <c r="H659" s="8">
        <v>0.2</v>
      </c>
      <c r="I659" s="15">
        <v>3.71</v>
      </c>
      <c r="J659"/>
    </row>
    <row r="660" spans="1:10">
      <c r="A660" s="10"/>
      <c r="B660" s="10"/>
      <c r="C660" s="10"/>
      <c r="D660" s="10"/>
      <c r="E660" s="10"/>
      <c r="F660" s="10"/>
      <c r="G660" s="8" t="s">
        <v>40</v>
      </c>
      <c r="H660" s="8">
        <v>0.25</v>
      </c>
      <c r="I660" s="15">
        <v>13.13</v>
      </c>
      <c r="J660"/>
    </row>
    <row r="661" spans="1:10">
      <c r="A661" s="8" t="s">
        <v>1489</v>
      </c>
      <c r="B661" s="8" t="s">
        <v>1489</v>
      </c>
      <c r="C661" s="8" t="s">
        <v>1490</v>
      </c>
      <c r="D661" s="8">
        <v>9999</v>
      </c>
      <c r="E661" s="8" t="s">
        <v>37</v>
      </c>
      <c r="F661" s="8" t="s">
        <v>1491</v>
      </c>
      <c r="G661" s="8" t="s">
        <v>39</v>
      </c>
      <c r="H661" s="8">
        <v>0.2</v>
      </c>
      <c r="I661" s="15">
        <v>14.5</v>
      </c>
      <c r="J661"/>
    </row>
    <row r="662" spans="1:10">
      <c r="A662" s="10"/>
      <c r="B662" s="10"/>
      <c r="C662" s="10"/>
      <c r="D662" s="10"/>
      <c r="E662" s="10"/>
      <c r="F662" s="10"/>
      <c r="G662" s="8" t="s">
        <v>40</v>
      </c>
      <c r="H662" s="8">
        <v>0.25</v>
      </c>
      <c r="I662" s="15">
        <v>2.21</v>
      </c>
      <c r="J662"/>
    </row>
    <row r="663" spans="1:10">
      <c r="A663" s="8" t="s">
        <v>1492</v>
      </c>
      <c r="B663" s="8" t="s">
        <v>1492</v>
      </c>
      <c r="C663" s="8" t="s">
        <v>1493</v>
      </c>
      <c r="D663" s="8">
        <v>9999</v>
      </c>
      <c r="E663" s="8" t="s">
        <v>37</v>
      </c>
      <c r="F663" s="8" t="s">
        <v>1494</v>
      </c>
      <c r="G663" s="8" t="s">
        <v>39</v>
      </c>
      <c r="H663" s="8">
        <v>0.2</v>
      </c>
      <c r="I663" s="15">
        <v>16.170000000000002</v>
      </c>
      <c r="J663"/>
    </row>
    <row r="664" spans="1:10">
      <c r="A664" s="10"/>
      <c r="B664" s="10"/>
      <c r="C664" s="10"/>
      <c r="D664" s="10"/>
      <c r="E664" s="10"/>
      <c r="F664" s="10"/>
      <c r="G664" s="8" t="s">
        <v>40</v>
      </c>
      <c r="H664" s="8">
        <v>0.25</v>
      </c>
      <c r="I664" s="15">
        <v>2.25</v>
      </c>
      <c r="J664"/>
    </row>
    <row r="665" spans="1:10">
      <c r="A665" s="8" t="s">
        <v>1495</v>
      </c>
      <c r="B665" s="8" t="s">
        <v>1495</v>
      </c>
      <c r="C665" s="8" t="s">
        <v>1496</v>
      </c>
      <c r="D665" s="8">
        <v>9999</v>
      </c>
      <c r="E665" s="8" t="s">
        <v>37</v>
      </c>
      <c r="F665" s="8" t="s">
        <v>1497</v>
      </c>
      <c r="G665" s="8" t="s">
        <v>39</v>
      </c>
      <c r="H665" s="8">
        <v>0.2</v>
      </c>
      <c r="I665" s="15">
        <v>25.23</v>
      </c>
      <c r="J665"/>
    </row>
    <row r="666" spans="1:10">
      <c r="A666" s="10"/>
      <c r="B666" s="10"/>
      <c r="C666" s="10"/>
      <c r="D666" s="10"/>
      <c r="E666" s="10"/>
      <c r="F666" s="10"/>
      <c r="G666" s="8" t="s">
        <v>40</v>
      </c>
      <c r="H666" s="8">
        <v>0.25</v>
      </c>
      <c r="I666" s="15">
        <v>22.62</v>
      </c>
      <c r="J666"/>
    </row>
    <row r="667" spans="1:10">
      <c r="A667" s="8" t="s">
        <v>1498</v>
      </c>
      <c r="B667" s="8" t="s">
        <v>1498</v>
      </c>
      <c r="C667" s="8" t="s">
        <v>1499</v>
      </c>
      <c r="D667" s="8">
        <v>9999</v>
      </c>
      <c r="E667" s="8" t="s">
        <v>37</v>
      </c>
      <c r="F667" s="8" t="s">
        <v>176</v>
      </c>
      <c r="G667" s="8" t="s">
        <v>39</v>
      </c>
      <c r="H667" s="8">
        <v>0.2</v>
      </c>
      <c r="I667" s="15">
        <v>38.79</v>
      </c>
      <c r="J667"/>
    </row>
    <row r="668" spans="1:10">
      <c r="A668" s="10"/>
      <c r="B668" s="10"/>
      <c r="C668" s="10"/>
      <c r="D668" s="10"/>
      <c r="E668" s="10"/>
      <c r="F668" s="10"/>
      <c r="G668" s="8" t="s">
        <v>40</v>
      </c>
      <c r="H668" s="8">
        <v>0.25</v>
      </c>
      <c r="I668" s="15">
        <v>5.01</v>
      </c>
      <c r="J668"/>
    </row>
    <row r="669" spans="1:10">
      <c r="A669" s="8" t="s">
        <v>1500</v>
      </c>
      <c r="B669" s="8" t="s">
        <v>1500</v>
      </c>
      <c r="C669" s="8" t="s">
        <v>1501</v>
      </c>
      <c r="D669" s="8">
        <v>9999</v>
      </c>
      <c r="E669" s="8" t="s">
        <v>37</v>
      </c>
      <c r="F669" s="8" t="s">
        <v>1502</v>
      </c>
      <c r="G669" s="8" t="s">
        <v>39</v>
      </c>
      <c r="H669" s="8">
        <v>0.2</v>
      </c>
      <c r="I669" s="15">
        <v>158.97999999999999</v>
      </c>
      <c r="J669"/>
    </row>
    <row r="670" spans="1:10">
      <c r="A670" s="10"/>
      <c r="B670" s="10"/>
      <c r="C670" s="10"/>
      <c r="D670" s="10"/>
      <c r="E670" s="10"/>
      <c r="F670" s="10"/>
      <c r="G670" s="8" t="s">
        <v>40</v>
      </c>
      <c r="H670" s="8">
        <v>0.25</v>
      </c>
      <c r="I670" s="15">
        <v>28</v>
      </c>
      <c r="J670"/>
    </row>
    <row r="671" spans="1:10">
      <c r="A671" s="8" t="s">
        <v>1503</v>
      </c>
      <c r="B671" s="8" t="s">
        <v>1503</v>
      </c>
      <c r="C671" s="8" t="s">
        <v>1504</v>
      </c>
      <c r="D671" s="8">
        <v>9999</v>
      </c>
      <c r="E671" s="8" t="s">
        <v>37</v>
      </c>
      <c r="F671" s="8" t="s">
        <v>1505</v>
      </c>
      <c r="G671" s="8" t="s">
        <v>39</v>
      </c>
      <c r="H671" s="8">
        <v>0.2</v>
      </c>
      <c r="I671" s="15">
        <v>19.84</v>
      </c>
      <c r="J671"/>
    </row>
    <row r="672" spans="1:10">
      <c r="A672" s="10"/>
      <c r="B672" s="10"/>
      <c r="C672" s="10"/>
      <c r="D672" s="10"/>
      <c r="E672" s="10"/>
      <c r="F672" s="10"/>
      <c r="G672" s="8" t="s">
        <v>40</v>
      </c>
      <c r="H672" s="8">
        <v>0.25</v>
      </c>
      <c r="I672" s="15">
        <v>1.38</v>
      </c>
      <c r="J672"/>
    </row>
    <row r="673" spans="1:10">
      <c r="A673" s="8" t="s">
        <v>1506</v>
      </c>
      <c r="B673" s="8" t="s">
        <v>1506</v>
      </c>
      <c r="C673" s="8" t="s">
        <v>1507</v>
      </c>
      <c r="D673" s="8">
        <v>9999</v>
      </c>
      <c r="E673" s="8" t="s">
        <v>37</v>
      </c>
      <c r="F673" s="8" t="s">
        <v>1508</v>
      </c>
      <c r="G673" s="8" t="s">
        <v>39</v>
      </c>
      <c r="H673" s="8">
        <v>0.2</v>
      </c>
      <c r="I673" s="15">
        <v>12.81</v>
      </c>
      <c r="J673"/>
    </row>
    <row r="674" spans="1:10">
      <c r="A674" s="10"/>
      <c r="B674" s="10"/>
      <c r="C674" s="10"/>
      <c r="D674" s="10"/>
      <c r="E674" s="10"/>
      <c r="F674" s="10"/>
      <c r="G674" s="8" t="s">
        <v>40</v>
      </c>
      <c r="H674" s="8">
        <v>0.25</v>
      </c>
      <c r="I674" s="15">
        <v>8.18</v>
      </c>
      <c r="J674"/>
    </row>
    <row r="675" spans="1:10">
      <c r="A675" s="8" t="s">
        <v>1509</v>
      </c>
      <c r="B675" s="8" t="s">
        <v>1509</v>
      </c>
      <c r="C675" s="8" t="s">
        <v>1510</v>
      </c>
      <c r="D675" s="8">
        <v>9999</v>
      </c>
      <c r="E675" s="8" t="s">
        <v>37</v>
      </c>
      <c r="F675" s="8" t="s">
        <v>929</v>
      </c>
      <c r="G675" s="8" t="s">
        <v>39</v>
      </c>
      <c r="H675" s="8">
        <v>0.2</v>
      </c>
      <c r="I675" s="15">
        <v>34.840000000000003</v>
      </c>
      <c r="J675"/>
    </row>
    <row r="676" spans="1:10">
      <c r="A676" s="10"/>
      <c r="B676" s="10"/>
      <c r="C676" s="10"/>
      <c r="D676" s="10"/>
      <c r="E676" s="10"/>
      <c r="F676" s="10"/>
      <c r="G676" s="8" t="s">
        <v>40</v>
      </c>
      <c r="H676" s="8">
        <v>0.25</v>
      </c>
      <c r="I676" s="15">
        <v>20.84</v>
      </c>
      <c r="J676"/>
    </row>
    <row r="677" spans="1:10">
      <c r="A677" s="8" t="s">
        <v>1511</v>
      </c>
      <c r="B677" s="8" t="s">
        <v>1511</v>
      </c>
      <c r="C677" s="8" t="s">
        <v>1512</v>
      </c>
      <c r="D677" s="8">
        <v>9999</v>
      </c>
      <c r="E677" s="8" t="s">
        <v>37</v>
      </c>
      <c r="F677" s="8" t="s">
        <v>1513</v>
      </c>
      <c r="G677" s="8" t="s">
        <v>39</v>
      </c>
      <c r="H677" s="8">
        <v>0.2</v>
      </c>
      <c r="I677" s="15">
        <v>16.75</v>
      </c>
      <c r="J677"/>
    </row>
    <row r="678" spans="1:10">
      <c r="A678" s="10"/>
      <c r="B678" s="10"/>
      <c r="C678" s="10"/>
      <c r="D678" s="10"/>
      <c r="E678" s="10"/>
      <c r="F678" s="10"/>
      <c r="G678" s="8" t="s">
        <v>40</v>
      </c>
      <c r="H678" s="8">
        <v>0.25</v>
      </c>
      <c r="I678" s="15">
        <v>9.69</v>
      </c>
      <c r="J678"/>
    </row>
    <row r="679" spans="1:10">
      <c r="A679" s="8" t="s">
        <v>1514</v>
      </c>
      <c r="B679" s="8" t="s">
        <v>1514</v>
      </c>
      <c r="C679" s="8" t="s">
        <v>1515</v>
      </c>
      <c r="D679" s="8">
        <v>9999</v>
      </c>
      <c r="E679" s="8" t="s">
        <v>37</v>
      </c>
      <c r="F679" s="8" t="s">
        <v>1516</v>
      </c>
      <c r="G679" s="8" t="s">
        <v>39</v>
      </c>
      <c r="H679" s="8">
        <v>0.2</v>
      </c>
      <c r="I679" s="15">
        <v>26.61</v>
      </c>
      <c r="J679"/>
    </row>
    <row r="680" spans="1:10">
      <c r="A680" s="10"/>
      <c r="B680" s="10"/>
      <c r="C680" s="10"/>
      <c r="D680" s="10"/>
      <c r="E680" s="10"/>
      <c r="F680" s="10"/>
      <c r="G680" s="8" t="s">
        <v>40</v>
      </c>
      <c r="H680" s="8">
        <v>0.25</v>
      </c>
      <c r="I680" s="15">
        <v>47.85</v>
      </c>
      <c r="J680"/>
    </row>
    <row r="681" spans="1:10">
      <c r="A681" s="8" t="s">
        <v>1517</v>
      </c>
      <c r="B681" s="8" t="s">
        <v>1517</v>
      </c>
      <c r="C681" s="8" t="s">
        <v>1518</v>
      </c>
      <c r="D681" s="8">
        <v>9999</v>
      </c>
      <c r="E681" s="8" t="s">
        <v>37</v>
      </c>
      <c r="F681" s="8" t="s">
        <v>1519</v>
      </c>
      <c r="G681" s="8" t="s">
        <v>39</v>
      </c>
      <c r="H681" s="8">
        <v>0.2</v>
      </c>
      <c r="I681" s="15">
        <v>11.11</v>
      </c>
      <c r="J681"/>
    </row>
    <row r="682" spans="1:10">
      <c r="A682" s="10"/>
      <c r="B682" s="10"/>
      <c r="C682" s="10"/>
      <c r="D682" s="10"/>
      <c r="E682" s="10"/>
      <c r="F682" s="10"/>
      <c r="G682" s="8" t="s">
        <v>40</v>
      </c>
      <c r="H682" s="8">
        <v>0.25</v>
      </c>
      <c r="I682" s="15">
        <v>28.91</v>
      </c>
      <c r="J682"/>
    </row>
    <row r="683" spans="1:10">
      <c r="A683" s="8" t="s">
        <v>1520</v>
      </c>
      <c r="B683" s="8" t="s">
        <v>1520</v>
      </c>
      <c r="C683" s="8" t="s">
        <v>1521</v>
      </c>
      <c r="D683" s="8">
        <v>9999</v>
      </c>
      <c r="E683" s="8" t="s">
        <v>37</v>
      </c>
      <c r="F683" s="8" t="s">
        <v>1522</v>
      </c>
      <c r="G683" s="8" t="s">
        <v>39</v>
      </c>
      <c r="H683" s="8">
        <v>0.2</v>
      </c>
      <c r="I683" s="15">
        <v>7.17</v>
      </c>
      <c r="J683"/>
    </row>
    <row r="684" spans="1:10">
      <c r="A684" s="10"/>
      <c r="B684" s="10"/>
      <c r="C684" s="10"/>
      <c r="D684" s="10"/>
      <c r="E684" s="10"/>
      <c r="F684" s="10"/>
      <c r="G684" s="8" t="s">
        <v>40</v>
      </c>
      <c r="H684" s="8">
        <v>0.25</v>
      </c>
      <c r="I684" s="15">
        <v>0.01</v>
      </c>
      <c r="J684"/>
    </row>
    <row r="685" spans="1:10">
      <c r="A685" s="8" t="s">
        <v>1523</v>
      </c>
      <c r="B685" s="8" t="s">
        <v>1523</v>
      </c>
      <c r="C685" s="8" t="s">
        <v>1524</v>
      </c>
      <c r="D685" s="8">
        <v>9999</v>
      </c>
      <c r="E685" s="8" t="s">
        <v>37</v>
      </c>
      <c r="F685" s="8" t="s">
        <v>1525</v>
      </c>
      <c r="G685" s="8" t="s">
        <v>39</v>
      </c>
      <c r="H685" s="8">
        <v>0.2</v>
      </c>
      <c r="I685" s="15">
        <v>22.97</v>
      </c>
      <c r="J685"/>
    </row>
    <row r="686" spans="1:10">
      <c r="A686" s="10"/>
      <c r="B686" s="10"/>
      <c r="C686" s="10"/>
      <c r="D686" s="10"/>
      <c r="E686" s="10"/>
      <c r="F686" s="10"/>
      <c r="G686" s="8" t="s">
        <v>40</v>
      </c>
      <c r="H686" s="8">
        <v>0.25</v>
      </c>
      <c r="I686" s="15">
        <v>25.65</v>
      </c>
      <c r="J686"/>
    </row>
    <row r="687" spans="1:10">
      <c r="A687" s="8" t="s">
        <v>1526</v>
      </c>
      <c r="B687" s="8" t="s">
        <v>1526</v>
      </c>
      <c r="C687" s="8" t="s">
        <v>1527</v>
      </c>
      <c r="D687" s="8">
        <v>9999</v>
      </c>
      <c r="E687" s="8" t="s">
        <v>37</v>
      </c>
      <c r="F687" s="8" t="s">
        <v>1528</v>
      </c>
      <c r="G687" s="8" t="s">
        <v>39</v>
      </c>
      <c r="H687" s="8">
        <v>0.2</v>
      </c>
      <c r="I687" s="15">
        <v>19.309999999999999</v>
      </c>
      <c r="J687"/>
    </row>
    <row r="688" spans="1:10">
      <c r="A688" s="10"/>
      <c r="B688" s="10"/>
      <c r="C688" s="10"/>
      <c r="D688" s="10"/>
      <c r="E688" s="10"/>
      <c r="F688" s="10"/>
      <c r="G688" s="8" t="s">
        <v>40</v>
      </c>
      <c r="H688" s="8">
        <v>0.25</v>
      </c>
      <c r="I688" s="15">
        <v>0.56999999999999995</v>
      </c>
      <c r="J688"/>
    </row>
    <row r="689" spans="1:10">
      <c r="A689" s="8" t="s">
        <v>1529</v>
      </c>
      <c r="B689" s="8" t="s">
        <v>1529</v>
      </c>
      <c r="C689" s="8" t="s">
        <v>1530</v>
      </c>
      <c r="D689" s="8">
        <v>9999</v>
      </c>
      <c r="E689" s="8" t="s">
        <v>37</v>
      </c>
      <c r="F689" s="8" t="s">
        <v>1531</v>
      </c>
      <c r="G689" s="8" t="s">
        <v>39</v>
      </c>
      <c r="H689" s="8">
        <v>0.2</v>
      </c>
      <c r="I689" s="15">
        <v>37.950000000000003</v>
      </c>
      <c r="J689"/>
    </row>
    <row r="690" spans="1:10">
      <c r="A690" s="10"/>
      <c r="B690" s="10"/>
      <c r="C690" s="10"/>
      <c r="D690" s="10"/>
      <c r="E690" s="10"/>
      <c r="F690" s="10"/>
      <c r="G690" s="8" t="s">
        <v>40</v>
      </c>
      <c r="H690" s="8">
        <v>0.25</v>
      </c>
      <c r="I690" s="15">
        <v>57.72</v>
      </c>
      <c r="J690"/>
    </row>
    <row r="691" spans="1:10">
      <c r="A691" s="8" t="s">
        <v>1532</v>
      </c>
      <c r="B691" s="8" t="s">
        <v>1532</v>
      </c>
      <c r="C691" s="8" t="s">
        <v>1533</v>
      </c>
      <c r="D691" s="8">
        <v>9999</v>
      </c>
      <c r="E691" s="8" t="s">
        <v>37</v>
      </c>
      <c r="F691" s="8" t="s">
        <v>1534</v>
      </c>
      <c r="G691" s="8" t="s">
        <v>39</v>
      </c>
      <c r="H691" s="8">
        <v>0.2</v>
      </c>
      <c r="I691" s="15">
        <v>14.54</v>
      </c>
      <c r="J691"/>
    </row>
    <row r="692" spans="1:10">
      <c r="A692" s="10"/>
      <c r="B692" s="10"/>
      <c r="C692" s="10"/>
      <c r="D692" s="10"/>
      <c r="E692" s="10"/>
      <c r="F692" s="10"/>
      <c r="G692" s="8" t="s">
        <v>40</v>
      </c>
      <c r="H692" s="8">
        <v>0.25</v>
      </c>
      <c r="I692" s="15">
        <v>2.39</v>
      </c>
      <c r="J692"/>
    </row>
    <row r="693" spans="1:10">
      <c r="A693" s="8" t="s">
        <v>1535</v>
      </c>
      <c r="B693" s="8" t="s">
        <v>1535</v>
      </c>
      <c r="C693" s="8" t="s">
        <v>1536</v>
      </c>
      <c r="D693" s="8">
        <v>9999</v>
      </c>
      <c r="E693" s="8" t="s">
        <v>37</v>
      </c>
      <c r="F693" s="8" t="s">
        <v>1537</v>
      </c>
      <c r="G693" s="8" t="s">
        <v>39</v>
      </c>
      <c r="H693" s="8">
        <v>0.2</v>
      </c>
      <c r="I693" s="15">
        <v>16.29</v>
      </c>
      <c r="J693"/>
    </row>
    <row r="694" spans="1:10">
      <c r="A694" s="10"/>
      <c r="B694" s="10"/>
      <c r="C694" s="10"/>
      <c r="D694" s="10"/>
      <c r="E694" s="10"/>
      <c r="F694" s="10"/>
      <c r="G694" s="8" t="s">
        <v>40</v>
      </c>
      <c r="H694" s="8">
        <v>0.25</v>
      </c>
      <c r="I694" s="15">
        <v>0.01</v>
      </c>
      <c r="J694"/>
    </row>
    <row r="695" spans="1:10">
      <c r="A695" s="8" t="s">
        <v>1538</v>
      </c>
      <c r="B695" s="8" t="s">
        <v>1538</v>
      </c>
      <c r="C695" s="8" t="s">
        <v>1539</v>
      </c>
      <c r="D695" s="8">
        <v>9999</v>
      </c>
      <c r="E695" s="8" t="s">
        <v>37</v>
      </c>
      <c r="F695" s="8" t="s">
        <v>1540</v>
      </c>
      <c r="G695" s="8" t="s">
        <v>39</v>
      </c>
      <c r="H695" s="8">
        <v>0.2</v>
      </c>
      <c r="I695" s="15">
        <v>31.25</v>
      </c>
      <c r="J695"/>
    </row>
    <row r="696" spans="1:10">
      <c r="A696" s="10"/>
      <c r="B696" s="10"/>
      <c r="C696" s="10"/>
      <c r="D696" s="10"/>
      <c r="E696" s="10"/>
      <c r="F696" s="10"/>
      <c r="G696" s="8" t="s">
        <v>40</v>
      </c>
      <c r="H696" s="8">
        <v>0.25</v>
      </c>
      <c r="I696" s="15">
        <v>11.35</v>
      </c>
      <c r="J696"/>
    </row>
    <row r="697" spans="1:10">
      <c r="A697" s="8" t="s">
        <v>1541</v>
      </c>
      <c r="B697" s="8" t="s">
        <v>1541</v>
      </c>
      <c r="C697" s="8" t="s">
        <v>1542</v>
      </c>
      <c r="D697" s="8">
        <v>9999</v>
      </c>
      <c r="E697" s="8" t="s">
        <v>37</v>
      </c>
      <c r="F697" s="8" t="s">
        <v>344</v>
      </c>
      <c r="G697" s="8" t="s">
        <v>39</v>
      </c>
      <c r="H697" s="8">
        <v>0.2</v>
      </c>
      <c r="I697" s="15">
        <v>29.61</v>
      </c>
      <c r="J697"/>
    </row>
    <row r="698" spans="1:10">
      <c r="A698" s="10"/>
      <c r="B698" s="10"/>
      <c r="C698" s="10"/>
      <c r="D698" s="10"/>
      <c r="E698" s="10"/>
      <c r="F698" s="10"/>
      <c r="G698" s="8" t="s">
        <v>40</v>
      </c>
      <c r="H698" s="8">
        <v>0.25</v>
      </c>
      <c r="I698" s="15">
        <v>39.659999999999997</v>
      </c>
      <c r="J698"/>
    </row>
    <row r="699" spans="1:10">
      <c r="A699" s="8" t="s">
        <v>1543</v>
      </c>
      <c r="B699" s="8" t="s">
        <v>1543</v>
      </c>
      <c r="C699" s="8" t="s">
        <v>1544</v>
      </c>
      <c r="D699" s="8">
        <v>9999</v>
      </c>
      <c r="E699" s="8" t="s">
        <v>37</v>
      </c>
      <c r="F699" s="8" t="s">
        <v>1545</v>
      </c>
      <c r="G699" s="8" t="s">
        <v>39</v>
      </c>
      <c r="H699" s="8">
        <v>0.2</v>
      </c>
      <c r="I699" s="15">
        <v>13.89</v>
      </c>
      <c r="J699"/>
    </row>
    <row r="700" spans="1:10">
      <c r="A700" s="10"/>
      <c r="B700" s="10"/>
      <c r="C700" s="10"/>
      <c r="D700" s="10"/>
      <c r="E700" s="10"/>
      <c r="F700" s="10"/>
      <c r="G700" s="8" t="s">
        <v>40</v>
      </c>
      <c r="H700" s="8">
        <v>0.25</v>
      </c>
      <c r="I700" s="15">
        <v>16.28</v>
      </c>
      <c r="J700"/>
    </row>
    <row r="701" spans="1:10">
      <c r="A701" s="8" t="s">
        <v>1546</v>
      </c>
      <c r="B701" s="8" t="s">
        <v>1546</v>
      </c>
      <c r="C701" s="8" t="s">
        <v>1547</v>
      </c>
      <c r="D701" s="8">
        <v>9999</v>
      </c>
      <c r="E701" s="8" t="s">
        <v>37</v>
      </c>
      <c r="F701" s="8" t="s">
        <v>1548</v>
      </c>
      <c r="G701" s="8" t="s">
        <v>39</v>
      </c>
      <c r="H701" s="8">
        <v>0.2</v>
      </c>
      <c r="I701" s="15">
        <v>50.42</v>
      </c>
      <c r="J701"/>
    </row>
    <row r="702" spans="1:10">
      <c r="A702" s="10"/>
      <c r="B702" s="10"/>
      <c r="C702" s="10"/>
      <c r="D702" s="10"/>
      <c r="E702" s="10"/>
      <c r="F702" s="10"/>
      <c r="G702" s="8" t="s">
        <v>40</v>
      </c>
      <c r="H702" s="8">
        <v>0.25</v>
      </c>
      <c r="I702" s="15">
        <v>6.89</v>
      </c>
      <c r="J702"/>
    </row>
    <row r="703" spans="1:10">
      <c r="A703" s="8" t="s">
        <v>1549</v>
      </c>
      <c r="B703" s="8" t="s">
        <v>1549</v>
      </c>
      <c r="C703" s="8" t="s">
        <v>1550</v>
      </c>
      <c r="D703" s="8">
        <v>9999</v>
      </c>
      <c r="E703" s="8" t="s">
        <v>37</v>
      </c>
      <c r="F703" s="8" t="s">
        <v>1551</v>
      </c>
      <c r="G703" s="8" t="s">
        <v>39</v>
      </c>
      <c r="H703" s="8">
        <v>0.2</v>
      </c>
      <c r="I703" s="15">
        <v>2.42</v>
      </c>
      <c r="J703"/>
    </row>
    <row r="704" spans="1:10">
      <c r="A704" s="8" t="s">
        <v>1552</v>
      </c>
      <c r="B704" s="8" t="s">
        <v>1552</v>
      </c>
      <c r="C704" s="8" t="s">
        <v>1553</v>
      </c>
      <c r="D704" s="8">
        <v>9999</v>
      </c>
      <c r="E704" s="8" t="s">
        <v>37</v>
      </c>
      <c r="F704" s="8" t="s">
        <v>1554</v>
      </c>
      <c r="G704" s="8" t="s">
        <v>39</v>
      </c>
      <c r="H704" s="8">
        <v>0.2</v>
      </c>
      <c r="I704" s="15">
        <v>9.1999999999999993</v>
      </c>
      <c r="J704"/>
    </row>
    <row r="705" spans="1:10">
      <c r="A705" s="10"/>
      <c r="B705" s="10"/>
      <c r="C705" s="10"/>
      <c r="D705" s="10"/>
      <c r="E705" s="10"/>
      <c r="F705" s="10"/>
      <c r="G705" s="8" t="s">
        <v>40</v>
      </c>
      <c r="H705" s="8">
        <v>0.25</v>
      </c>
      <c r="I705" s="15">
        <v>2.68</v>
      </c>
      <c r="J705"/>
    </row>
    <row r="706" spans="1:10">
      <c r="A706" s="8" t="s">
        <v>1555</v>
      </c>
      <c r="B706" s="8" t="s">
        <v>1555</v>
      </c>
      <c r="C706" s="8" t="s">
        <v>1556</v>
      </c>
      <c r="D706" s="8">
        <v>9999</v>
      </c>
      <c r="E706" s="8" t="s">
        <v>37</v>
      </c>
      <c r="F706" s="8" t="s">
        <v>1557</v>
      </c>
      <c r="G706" s="8" t="s">
        <v>39</v>
      </c>
      <c r="H706" s="8">
        <v>0.2</v>
      </c>
      <c r="I706" s="15">
        <v>64.19</v>
      </c>
      <c r="J706"/>
    </row>
    <row r="707" spans="1:10">
      <c r="A707" s="10"/>
      <c r="B707" s="10"/>
      <c r="C707" s="10"/>
      <c r="D707" s="10"/>
      <c r="E707" s="10"/>
      <c r="F707" s="10"/>
      <c r="G707" s="8" t="s">
        <v>40</v>
      </c>
      <c r="H707" s="8">
        <v>0.25</v>
      </c>
      <c r="I707" s="15">
        <v>22.82</v>
      </c>
      <c r="J707"/>
    </row>
    <row r="708" spans="1:10">
      <c r="A708" s="8" t="s">
        <v>1558</v>
      </c>
      <c r="B708" s="8" t="s">
        <v>1558</v>
      </c>
      <c r="C708" s="8" t="s">
        <v>1559</v>
      </c>
      <c r="D708" s="8">
        <v>9999</v>
      </c>
      <c r="E708" s="8" t="s">
        <v>37</v>
      </c>
      <c r="F708" s="8" t="s">
        <v>1560</v>
      </c>
      <c r="G708" s="8" t="s">
        <v>39</v>
      </c>
      <c r="H708" s="8">
        <v>0.2</v>
      </c>
      <c r="I708" s="15">
        <v>184.44</v>
      </c>
      <c r="J708"/>
    </row>
    <row r="709" spans="1:10">
      <c r="A709" s="10"/>
      <c r="B709" s="10"/>
      <c r="C709" s="10"/>
      <c r="D709" s="10"/>
      <c r="E709" s="10"/>
      <c r="F709" s="10"/>
      <c r="G709" s="8" t="s">
        <v>40</v>
      </c>
      <c r="H709" s="8">
        <v>0.25</v>
      </c>
      <c r="I709" s="15">
        <v>138.68</v>
      </c>
      <c r="J709"/>
    </row>
    <row r="710" spans="1:10">
      <c r="A710" s="8" t="s">
        <v>1561</v>
      </c>
      <c r="B710" s="8" t="s">
        <v>1561</v>
      </c>
      <c r="C710" s="8" t="s">
        <v>1562</v>
      </c>
      <c r="D710" s="8">
        <v>9999</v>
      </c>
      <c r="E710" s="8" t="s">
        <v>37</v>
      </c>
      <c r="F710" s="8" t="s">
        <v>1563</v>
      </c>
      <c r="G710" s="8" t="s">
        <v>39</v>
      </c>
      <c r="H710" s="8">
        <v>0.2</v>
      </c>
      <c r="I710" s="15">
        <v>274.12</v>
      </c>
      <c r="J710"/>
    </row>
    <row r="711" spans="1:10">
      <c r="A711" s="10"/>
      <c r="B711" s="10"/>
      <c r="C711" s="10"/>
      <c r="D711" s="10"/>
      <c r="E711" s="10"/>
      <c r="F711" s="10"/>
      <c r="G711" s="8" t="s">
        <v>40</v>
      </c>
      <c r="H711" s="8">
        <v>0.25</v>
      </c>
      <c r="I711" s="15">
        <v>247.5</v>
      </c>
      <c r="J711"/>
    </row>
    <row r="712" spans="1:10">
      <c r="A712" s="8" t="s">
        <v>1564</v>
      </c>
      <c r="B712" s="8" t="s">
        <v>1564</v>
      </c>
      <c r="C712" s="8" t="s">
        <v>1565</v>
      </c>
      <c r="D712" s="8">
        <v>9999</v>
      </c>
      <c r="E712" s="8" t="s">
        <v>37</v>
      </c>
      <c r="F712" s="8" t="s">
        <v>1566</v>
      </c>
      <c r="G712" s="8" t="s">
        <v>39</v>
      </c>
      <c r="H712" s="8">
        <v>0.2</v>
      </c>
      <c r="I712" s="15">
        <v>20.57</v>
      </c>
      <c r="J712"/>
    </row>
    <row r="713" spans="1:10">
      <c r="A713" s="10"/>
      <c r="B713" s="10"/>
      <c r="C713" s="10"/>
      <c r="D713" s="10"/>
      <c r="E713" s="10"/>
      <c r="F713" s="10"/>
      <c r="G713" s="8" t="s">
        <v>40</v>
      </c>
      <c r="H713" s="8">
        <v>0.25</v>
      </c>
      <c r="I713" s="15">
        <v>13.63</v>
      </c>
      <c r="J713"/>
    </row>
    <row r="714" spans="1:10">
      <c r="A714" s="8" t="s">
        <v>1567</v>
      </c>
      <c r="B714" s="8" t="s">
        <v>1567</v>
      </c>
      <c r="C714" s="8" t="s">
        <v>1568</v>
      </c>
      <c r="D714" s="8">
        <v>9999</v>
      </c>
      <c r="E714" s="8" t="s">
        <v>37</v>
      </c>
      <c r="F714" s="8" t="s">
        <v>1569</v>
      </c>
      <c r="G714" s="8" t="s">
        <v>39</v>
      </c>
      <c r="H714" s="8">
        <v>0.2</v>
      </c>
      <c r="I714" s="15">
        <v>63.98</v>
      </c>
      <c r="J714"/>
    </row>
    <row r="715" spans="1:10">
      <c r="A715" s="10"/>
      <c r="B715" s="10"/>
      <c r="C715" s="10"/>
      <c r="D715" s="10"/>
      <c r="E715" s="10"/>
      <c r="F715" s="10"/>
      <c r="G715" s="8" t="s">
        <v>40</v>
      </c>
      <c r="H715" s="8">
        <v>0.25</v>
      </c>
      <c r="I715" s="15">
        <v>32.6</v>
      </c>
      <c r="J715"/>
    </row>
    <row r="716" spans="1:10">
      <c r="A716" s="8" t="s">
        <v>1570</v>
      </c>
      <c r="B716" s="8" t="s">
        <v>1570</v>
      </c>
      <c r="C716" s="8" t="s">
        <v>1571</v>
      </c>
      <c r="D716" s="8">
        <v>9999</v>
      </c>
      <c r="E716" s="8" t="s">
        <v>37</v>
      </c>
      <c r="F716" s="8" t="s">
        <v>1572</v>
      </c>
      <c r="G716" s="8" t="s">
        <v>39</v>
      </c>
      <c r="H716" s="8">
        <v>0.2</v>
      </c>
      <c r="I716" s="15">
        <v>150.38999999999999</v>
      </c>
      <c r="J716"/>
    </row>
    <row r="717" spans="1:10">
      <c r="A717" s="10"/>
      <c r="B717" s="10"/>
      <c r="C717" s="10"/>
      <c r="D717" s="10"/>
      <c r="E717" s="10"/>
      <c r="F717" s="10"/>
      <c r="G717" s="8" t="s">
        <v>40</v>
      </c>
      <c r="H717" s="8">
        <v>0.25</v>
      </c>
      <c r="I717" s="15">
        <v>56.8</v>
      </c>
      <c r="J717"/>
    </row>
    <row r="718" spans="1:10">
      <c r="A718" s="8" t="s">
        <v>1573</v>
      </c>
      <c r="B718" s="8" t="s">
        <v>1573</v>
      </c>
      <c r="C718" s="8" t="s">
        <v>1574</v>
      </c>
      <c r="D718" s="8">
        <v>9999</v>
      </c>
      <c r="E718" s="8" t="s">
        <v>37</v>
      </c>
      <c r="F718" s="8" t="s">
        <v>943</v>
      </c>
      <c r="G718" s="8" t="s">
        <v>39</v>
      </c>
      <c r="H718" s="8">
        <v>0.2</v>
      </c>
      <c r="I718" s="15">
        <v>285.16000000000003</v>
      </c>
      <c r="J718"/>
    </row>
    <row r="719" spans="1:10">
      <c r="A719" s="16"/>
      <c r="B719" s="16"/>
      <c r="C719" s="16"/>
      <c r="D719" s="16"/>
      <c r="E719" s="16"/>
      <c r="F719" s="16"/>
      <c r="G719" s="9" t="s">
        <v>40</v>
      </c>
      <c r="H719" s="9">
        <v>0.25</v>
      </c>
      <c r="I719" s="17">
        <v>39.76</v>
      </c>
      <c r="J719"/>
    </row>
    <row r="720" spans="1:10">
      <c r="A720"/>
      <c r="B720"/>
      <c r="C720"/>
      <c r="D720"/>
      <c r="E720"/>
      <c r="F720"/>
      <c r="G720"/>
      <c r="H720"/>
      <c r="I720"/>
      <c r="J720"/>
    </row>
    <row r="722" spans="1:10">
      <c r="A722" s="1" t="s">
        <v>7</v>
      </c>
      <c r="B722" s="1" t="s">
        <v>8</v>
      </c>
      <c r="C722" s="1" t="s">
        <v>9</v>
      </c>
      <c r="D722" s="1" t="s">
        <v>10</v>
      </c>
      <c r="E722" s="1" t="s">
        <v>11</v>
      </c>
      <c r="F722" s="1" t="s">
        <v>12</v>
      </c>
      <c r="G722" s="1" t="s">
        <v>13</v>
      </c>
      <c r="H722" s="1" t="s">
        <v>14</v>
      </c>
      <c r="I722" s="1" t="s">
        <v>15</v>
      </c>
      <c r="J722" s="1" t="s">
        <v>31</v>
      </c>
    </row>
    <row r="723" spans="1:10">
      <c r="A723" s="1" t="s">
        <v>1575</v>
      </c>
      <c r="B723" s="1" t="s">
        <v>0</v>
      </c>
      <c r="C723" s="1" t="s">
        <v>1576</v>
      </c>
      <c r="D723" s="1" t="s">
        <v>1577</v>
      </c>
      <c r="E723" s="1" t="s">
        <v>1578</v>
      </c>
      <c r="F723" s="1" t="s">
        <v>0</v>
      </c>
      <c r="G723" s="1" t="s">
        <v>1579</v>
      </c>
      <c r="H723" s="1" t="s">
        <v>1580</v>
      </c>
      <c r="I723" s="1" t="s">
        <v>1581</v>
      </c>
      <c r="J723" s="1">
        <v>42855</v>
      </c>
    </row>
    <row r="725" spans="1:10">
      <c r="A725" s="1" t="s">
        <v>30</v>
      </c>
    </row>
    <row r="726" spans="1:10">
      <c r="A726" s="1" t="s">
        <v>0</v>
      </c>
    </row>
    <row r="728" spans="1:10">
      <c r="A728" s="1" t="s">
        <v>1</v>
      </c>
      <c r="B728" s="1" t="s">
        <v>2</v>
      </c>
      <c r="C728" s="1" t="s">
        <v>3</v>
      </c>
    </row>
    <row r="729" spans="1:10">
      <c r="A729" s="1">
        <v>2</v>
      </c>
      <c r="B729" s="1">
        <v>2</v>
      </c>
      <c r="C729" s="1">
        <v>42825</v>
      </c>
    </row>
    <row r="731" spans="1:10">
      <c r="A731" s="11" t="s">
        <v>25</v>
      </c>
      <c r="B731" s="14" t="s">
        <v>28</v>
      </c>
      <c r="C731"/>
    </row>
    <row r="732" spans="1:10">
      <c r="A732" s="11" t="s">
        <v>29</v>
      </c>
      <c r="B732" s="13" t="s">
        <v>28</v>
      </c>
      <c r="C732"/>
    </row>
    <row r="733" spans="1:10">
      <c r="A733" s="9" t="s">
        <v>29</v>
      </c>
      <c r="B733" s="17">
        <v>2203.58</v>
      </c>
      <c r="C733"/>
    </row>
    <row r="734" spans="1:10">
      <c r="A734"/>
      <c r="B734"/>
      <c r="C734"/>
    </row>
  </sheetData>
  <sheetProtection sheet="1" objects="1" scenarios="1" formatCells="0" formatColumns="0" formatRows="0" insertHyperlink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U735"/>
  <sheetViews>
    <sheetView tabSelected="1" topLeftCell="B1" workbookViewId="0">
      <selection activeCell="B3" sqref="B3"/>
    </sheetView>
  </sheetViews>
  <sheetFormatPr defaultRowHeight="12.75"/>
  <cols>
    <col min="1" max="1" width="9.140625" style="1" hidden="1" customWidth="1"/>
    <col min="2" max="3" width="21.28515625" style="1" customWidth="1"/>
    <col min="4" max="4" width="52.7109375" style="1" customWidth="1"/>
    <col min="5" max="6" width="13.42578125" style="1" customWidth="1"/>
    <col min="7" max="7" width="17" style="1" customWidth="1"/>
    <col min="8" max="8" width="13.85546875" style="1" hidden="1" customWidth="1"/>
    <col min="9" max="9" width="18.140625" style="1" customWidth="1"/>
    <col min="10" max="10" width="12.140625" style="1" customWidth="1"/>
    <col min="11" max="11" width="15.7109375" style="1" customWidth="1"/>
    <col min="12" max="12" width="12" style="1" customWidth="1"/>
    <col min="13" max="13" width="13.42578125" style="1" bestFit="1" customWidth="1"/>
    <col min="14" max="14" width="10.28515625" style="1" customWidth="1"/>
    <col min="15" max="15" width="13.28515625" style="1" customWidth="1"/>
    <col min="16" max="20" width="10.28515625" style="1" customWidth="1"/>
    <col min="21" max="21" width="10.28515625" style="1" hidden="1" customWidth="1"/>
    <col min="22" max="26" width="9.140625" style="1" customWidth="1"/>
    <col min="27" max="16384" width="9.140625" style="1"/>
  </cols>
  <sheetData>
    <row r="1" spans="2:21">
      <c r="U1" s="1" t="s">
        <v>16</v>
      </c>
    </row>
    <row r="2" spans="2:21" ht="78.75" customHeight="1">
      <c r="U2" s="1" t="s">
        <v>32</v>
      </c>
    </row>
    <row r="3" spans="2:21" ht="19.5" customHeight="1">
      <c r="E3" s="5" t="s">
        <v>6</v>
      </c>
      <c r="F3" s="7"/>
      <c r="U3" s="1" t="s">
        <v>17</v>
      </c>
    </row>
    <row r="4" spans="2:21">
      <c r="B4" s="3" t="s">
        <v>4</v>
      </c>
      <c r="C4" s="3"/>
      <c r="F4" s="6" t="str">
        <f xml:space="preserve"> "Statement Date: " &amp; TEXT(A_StmtDueDate, "mm" &amp; "/" &amp; "dd" &amp; "/" &amp; "yyyy")</f>
        <v>Statement Date: 04/30/2017</v>
      </c>
      <c r="U4" s="1" t="s">
        <v>18</v>
      </c>
    </row>
    <row r="5" spans="2:21">
      <c r="B5" s="3" t="s">
        <v>33</v>
      </c>
      <c r="C5" s="3"/>
      <c r="F5" s="6" t="str">
        <f xml:space="preserve"> "Statement Period: " &amp; TEXT(CCurrentPeriodEndDate - 75, "mmmm") &amp; " - " &amp; TEXT(CCurrentPeriodEndDate, "mmmm yyyy")</f>
        <v>Statement Period: January - March 2017</v>
      </c>
      <c r="U5" s="1" t="s">
        <v>19</v>
      </c>
    </row>
    <row r="6" spans="2:21">
      <c r="B6" s="3" t="s">
        <v>34</v>
      </c>
      <c r="C6" s="3"/>
      <c r="U6" s="1" t="s">
        <v>20</v>
      </c>
    </row>
    <row r="7" spans="2:21">
      <c r="B7" s="4" t="s">
        <v>5</v>
      </c>
      <c r="C7" s="4"/>
    </row>
    <row r="8" spans="2:21">
      <c r="U8" s="1" t="s">
        <v>21</v>
      </c>
    </row>
    <row r="9" spans="2:21">
      <c r="B9" s="18" t="str">
        <f xml:space="preserve"> "Publisher ID: " &amp; A_PublisherID</f>
        <v>Publisher ID: VN000406</v>
      </c>
      <c r="U9" s="1" t="s">
        <v>22</v>
      </c>
    </row>
    <row r="10" spans="2:21">
      <c r="B10" s="18" t="str">
        <f xml:space="preserve"> A_PublisherName</f>
        <v>Berrett-Koehler</v>
      </c>
      <c r="U10" s="1" t="s">
        <v>23</v>
      </c>
    </row>
    <row r="11" spans="2:21">
      <c r="B11" s="18" t="str">
        <f xml:space="preserve"> A_PublisherAddr1</f>
        <v>1333 Broadway</v>
      </c>
    </row>
    <row r="12" spans="2:21">
      <c r="B12" s="18" t="str">
        <f xml:space="preserve"> A_PublisherAddr2</f>
        <v>Suite 1000</v>
      </c>
    </row>
    <row r="13" spans="2:21">
      <c r="B13" s="18" t="str">
        <f xml:space="preserve"> A_PublisherCity &amp; ", " &amp; A_PublisherState &amp; " " &amp; A_PublisherZip</f>
        <v>Oakland, California 94612</v>
      </c>
    </row>
    <row r="14" spans="2:21">
      <c r="R14" s="2"/>
    </row>
    <row r="15" spans="2:21" ht="51" customHeight="1">
      <c r="B15" s="19" t="str">
        <f t="shared" ref="B15:K15" ca="1" si="0" xml:space="preserve"> INDIRECT( ADDRESS( COLUMN()-1, 21 ) )</f>
        <v>ISBN</v>
      </c>
      <c r="C15" s="19" t="str">
        <f t="shared" ca="1" si="0"/>
        <v>eISBN</v>
      </c>
      <c r="D15" s="19" t="str">
        <f t="shared" ca="1" si="0"/>
        <v>Title</v>
      </c>
      <c r="E15" s="19" t="str">
        <f t="shared" ca="1" si="0"/>
        <v>Publisher</v>
      </c>
      <c r="F15" s="19" t="str">
        <f t="shared" ca="1" si="0"/>
        <v>Author</v>
      </c>
      <c r="G15" s="19" t="str">
        <f t="shared" ca="1" si="0"/>
        <v>Channel</v>
      </c>
      <c r="H15" s="19">
        <f t="shared" ca="1" si="0"/>
        <v>0</v>
      </c>
      <c r="I15" s="19" t="str">
        <f t="shared" ca="1" si="0"/>
        <v>Sales</v>
      </c>
      <c r="J15" s="19" t="str">
        <f t="shared" ca="1" si="0"/>
        <v>Commission Rate</v>
      </c>
      <c r="K15" s="19" t="str">
        <f t="shared" ca="1" si="0"/>
        <v>Commission Earned</v>
      </c>
    </row>
    <row r="16" spans="2:21">
      <c r="B16" s="18" t="str">
        <f xml:space="preserve"> TRIM( "1576750698" )</f>
        <v>1576750698</v>
      </c>
      <c r="C16" s="18" t="str">
        <f xml:space="preserve"> TRIM( "1576750698" )</f>
        <v>1576750698</v>
      </c>
      <c r="D16" s="18" t="s">
        <v>36</v>
      </c>
      <c r="E16" s="18" t="s">
        <v>37</v>
      </c>
      <c r="F16" s="18" t="s">
        <v>38</v>
      </c>
      <c r="G16" s="18" t="s">
        <v>39</v>
      </c>
      <c r="H16" s="18">
        <v>0.2</v>
      </c>
      <c r="I16" s="20">
        <v>2.19</v>
      </c>
      <c r="J16" s="21">
        <v>0.2</v>
      </c>
      <c r="K16" s="20">
        <f t="shared" ref="K16:K79" ca="1" si="1" xml:space="preserve"> ROUND( ( INDIRECT( ADDRESS( ROW(), COLUMN()- 2 ))) * ( INDIRECT( ADDRESS( ROW(), COLUMN()- 1 ))), 2 )</f>
        <v>0.44</v>
      </c>
    </row>
    <row r="17" spans="2:11">
      <c r="B17" s="18" t="str">
        <f xml:space="preserve"> TRIM( "1576750698" )</f>
        <v>1576750698</v>
      </c>
      <c r="C17" s="18" t="str">
        <f xml:space="preserve"> TRIM( "1576750698" )</f>
        <v>1576750698</v>
      </c>
      <c r="D17" s="18" t="s">
        <v>36</v>
      </c>
      <c r="E17" s="18" t="s">
        <v>37</v>
      </c>
      <c r="F17" s="18" t="s">
        <v>38</v>
      </c>
      <c r="G17" s="18" t="s">
        <v>40</v>
      </c>
      <c r="H17" s="18">
        <v>0.25</v>
      </c>
      <c r="I17" s="20">
        <v>0.01</v>
      </c>
      <c r="J17" s="21">
        <v>0.25</v>
      </c>
      <c r="K17" s="20">
        <f t="shared" ca="1" si="1"/>
        <v>0</v>
      </c>
    </row>
    <row r="18" spans="2:11">
      <c r="B18" s="18" t="str">
        <f xml:space="preserve"> TRIM( "1576750795" )</f>
        <v>1576750795</v>
      </c>
      <c r="C18" s="18" t="str">
        <f xml:space="preserve"> TRIM( "1576750795" )</f>
        <v>1576750795</v>
      </c>
      <c r="D18" s="18" t="s">
        <v>42</v>
      </c>
      <c r="E18" s="18" t="s">
        <v>37</v>
      </c>
      <c r="F18" s="18" t="s">
        <v>43</v>
      </c>
      <c r="G18" s="18" t="s">
        <v>39</v>
      </c>
      <c r="H18" s="18">
        <v>0.2</v>
      </c>
      <c r="I18" s="20">
        <v>3.84</v>
      </c>
      <c r="J18" s="21">
        <v>0.2</v>
      </c>
      <c r="K18" s="20">
        <f t="shared" ca="1" si="1"/>
        <v>0.77</v>
      </c>
    </row>
    <row r="19" spans="2:11">
      <c r="B19" s="18" t="str">
        <f xml:space="preserve"> TRIM( "1576750795" )</f>
        <v>1576750795</v>
      </c>
      <c r="C19" s="18" t="str">
        <f xml:space="preserve"> TRIM( "1576750795" )</f>
        <v>1576750795</v>
      </c>
      <c r="D19" s="18" t="s">
        <v>42</v>
      </c>
      <c r="E19" s="18" t="s">
        <v>37</v>
      </c>
      <c r="F19" s="18" t="s">
        <v>43</v>
      </c>
      <c r="G19" s="18" t="s">
        <v>40</v>
      </c>
      <c r="H19" s="18">
        <v>0.25</v>
      </c>
      <c r="I19" s="20">
        <v>0.35</v>
      </c>
      <c r="J19" s="21">
        <v>0.25</v>
      </c>
      <c r="K19" s="20">
        <f t="shared" ca="1" si="1"/>
        <v>0.09</v>
      </c>
    </row>
    <row r="20" spans="2:11">
      <c r="B20" s="18" t="str">
        <f xml:space="preserve"> TRIM( "1576751244" )</f>
        <v>1576751244</v>
      </c>
      <c r="C20" s="18" t="str">
        <f xml:space="preserve"> TRIM( "1576751244" )</f>
        <v>1576751244</v>
      </c>
      <c r="D20" s="18" t="s">
        <v>45</v>
      </c>
      <c r="E20" s="18" t="s">
        <v>37</v>
      </c>
      <c r="F20" s="18" t="s">
        <v>46</v>
      </c>
      <c r="G20" s="18" t="s">
        <v>39</v>
      </c>
      <c r="H20" s="18">
        <v>0.2</v>
      </c>
      <c r="I20" s="20">
        <v>3.14</v>
      </c>
      <c r="J20" s="21">
        <v>0.2</v>
      </c>
      <c r="K20" s="20">
        <f t="shared" ca="1" si="1"/>
        <v>0.63</v>
      </c>
    </row>
    <row r="21" spans="2:11">
      <c r="B21" s="18" t="str">
        <f xml:space="preserve"> TRIM( "1576751724" )</f>
        <v>1576751724</v>
      </c>
      <c r="C21" s="18" t="str">
        <f xml:space="preserve"> TRIM( "1576751724" )</f>
        <v>1576751724</v>
      </c>
      <c r="D21" s="18" t="s">
        <v>48</v>
      </c>
      <c r="E21" s="18" t="s">
        <v>37</v>
      </c>
      <c r="F21" s="18" t="s">
        <v>49</v>
      </c>
      <c r="G21" s="18" t="s">
        <v>39</v>
      </c>
      <c r="H21" s="18">
        <v>0.2</v>
      </c>
      <c r="I21" s="20">
        <v>29.62</v>
      </c>
      <c r="J21" s="21">
        <v>0.2</v>
      </c>
      <c r="K21" s="20">
        <f t="shared" ca="1" si="1"/>
        <v>5.92</v>
      </c>
    </row>
    <row r="22" spans="2:11">
      <c r="B22" s="18" t="str">
        <f xml:space="preserve"> TRIM( "1576751724" )</f>
        <v>1576751724</v>
      </c>
      <c r="C22" s="18" t="str">
        <f xml:space="preserve"> TRIM( "1576751724" )</f>
        <v>1576751724</v>
      </c>
      <c r="D22" s="18" t="s">
        <v>48</v>
      </c>
      <c r="E22" s="18" t="s">
        <v>37</v>
      </c>
      <c r="F22" s="18" t="s">
        <v>49</v>
      </c>
      <c r="G22" s="18" t="s">
        <v>40</v>
      </c>
      <c r="H22" s="18">
        <v>0.25</v>
      </c>
      <c r="I22" s="20">
        <v>7</v>
      </c>
      <c r="J22" s="21">
        <v>0.25</v>
      </c>
      <c r="K22" s="20">
        <f t="shared" ca="1" si="1"/>
        <v>1.75</v>
      </c>
    </row>
    <row r="23" spans="2:11">
      <c r="B23" s="18" t="str">
        <f xml:space="preserve"> TRIM( "157675183X" )</f>
        <v>157675183X</v>
      </c>
      <c r="C23" s="18" t="str">
        <f xml:space="preserve"> TRIM( "157675183X" )</f>
        <v>157675183X</v>
      </c>
      <c r="D23" s="18" t="s">
        <v>51</v>
      </c>
      <c r="E23" s="18" t="s">
        <v>37</v>
      </c>
      <c r="F23" s="18" t="s">
        <v>52</v>
      </c>
      <c r="G23" s="18" t="s">
        <v>39</v>
      </c>
      <c r="H23" s="18">
        <v>0.2</v>
      </c>
      <c r="I23" s="20">
        <v>3.15</v>
      </c>
      <c r="J23" s="21">
        <v>0.2</v>
      </c>
      <c r="K23" s="20">
        <f t="shared" ca="1" si="1"/>
        <v>0.63</v>
      </c>
    </row>
    <row r="24" spans="2:11">
      <c r="B24" s="18" t="str">
        <f xml:space="preserve"> TRIM( "157675183X" )</f>
        <v>157675183X</v>
      </c>
      <c r="C24" s="18" t="str">
        <f xml:space="preserve"> TRIM( "157675183X" )</f>
        <v>157675183X</v>
      </c>
      <c r="D24" s="18" t="s">
        <v>51</v>
      </c>
      <c r="E24" s="18" t="s">
        <v>37</v>
      </c>
      <c r="F24" s="18" t="s">
        <v>52</v>
      </c>
      <c r="G24" s="18" t="s">
        <v>40</v>
      </c>
      <c r="H24" s="18">
        <v>0.25</v>
      </c>
      <c r="I24" s="20">
        <v>-0.02</v>
      </c>
      <c r="J24" s="21">
        <v>0.25</v>
      </c>
      <c r="K24" s="20">
        <f t="shared" ca="1" si="1"/>
        <v>-0.01</v>
      </c>
    </row>
    <row r="25" spans="2:11">
      <c r="B25" s="18" t="str">
        <f xml:space="preserve"> TRIM( "1576751902" )</f>
        <v>1576751902</v>
      </c>
      <c r="C25" s="18" t="str">
        <f xml:space="preserve"> TRIM( "1576751902" )</f>
        <v>1576751902</v>
      </c>
      <c r="D25" s="18" t="s">
        <v>54</v>
      </c>
      <c r="E25" s="18" t="s">
        <v>37</v>
      </c>
      <c r="F25" s="18" t="s">
        <v>55</v>
      </c>
      <c r="G25" s="18" t="s">
        <v>39</v>
      </c>
      <c r="H25" s="18">
        <v>0.2</v>
      </c>
      <c r="I25" s="20">
        <v>2.34</v>
      </c>
      <c r="J25" s="21">
        <v>0.2</v>
      </c>
      <c r="K25" s="20">
        <f t="shared" ca="1" si="1"/>
        <v>0.47</v>
      </c>
    </row>
    <row r="26" spans="2:11">
      <c r="B26" s="18" t="str">
        <f xml:space="preserve"> TRIM( "1576752720" )</f>
        <v>1576752720</v>
      </c>
      <c r="C26" s="18" t="str">
        <f xml:space="preserve"> TRIM( "1576752720" )</f>
        <v>1576752720</v>
      </c>
      <c r="D26" s="18" t="s">
        <v>57</v>
      </c>
      <c r="E26" s="18" t="s">
        <v>37</v>
      </c>
      <c r="F26" s="18" t="s">
        <v>58</v>
      </c>
      <c r="G26" s="18" t="s">
        <v>39</v>
      </c>
      <c r="H26" s="18">
        <v>0.2</v>
      </c>
      <c r="I26" s="20">
        <v>7.06</v>
      </c>
      <c r="J26" s="21">
        <v>0.2</v>
      </c>
      <c r="K26" s="20">
        <f t="shared" ca="1" si="1"/>
        <v>1.41</v>
      </c>
    </row>
    <row r="27" spans="2:11">
      <c r="B27" s="18" t="str">
        <f xml:space="preserve"> TRIM( "1576752720" )</f>
        <v>1576752720</v>
      </c>
      <c r="C27" s="18" t="str">
        <f xml:space="preserve"> TRIM( "1576752720" )</f>
        <v>1576752720</v>
      </c>
      <c r="D27" s="18" t="s">
        <v>57</v>
      </c>
      <c r="E27" s="18" t="s">
        <v>37</v>
      </c>
      <c r="F27" s="18" t="s">
        <v>58</v>
      </c>
      <c r="G27" s="18" t="s">
        <v>40</v>
      </c>
      <c r="H27" s="18">
        <v>0.25</v>
      </c>
      <c r="I27" s="20">
        <v>0.01</v>
      </c>
      <c r="J27" s="21">
        <v>0.25</v>
      </c>
      <c r="K27" s="20">
        <f t="shared" ca="1" si="1"/>
        <v>0</v>
      </c>
    </row>
    <row r="28" spans="2:11">
      <c r="B28" s="18" t="str">
        <f xml:space="preserve"> TRIM( "1576752739" )</f>
        <v>1576752739</v>
      </c>
      <c r="C28" s="18" t="str">
        <f xml:space="preserve"> TRIM( "1576752739" )</f>
        <v>1576752739</v>
      </c>
      <c r="D28" s="18" t="s">
        <v>60</v>
      </c>
      <c r="E28" s="18" t="s">
        <v>37</v>
      </c>
      <c r="F28" s="18" t="s">
        <v>61</v>
      </c>
      <c r="G28" s="18" t="s">
        <v>39</v>
      </c>
      <c r="H28" s="18">
        <v>0.2</v>
      </c>
      <c r="I28" s="20">
        <v>2.82</v>
      </c>
      <c r="J28" s="21">
        <v>0.2</v>
      </c>
      <c r="K28" s="20">
        <f t="shared" ca="1" si="1"/>
        <v>0.56000000000000005</v>
      </c>
    </row>
    <row r="29" spans="2:11">
      <c r="B29" s="18" t="str">
        <f xml:space="preserve"> TRIM( "1576752984" )</f>
        <v>1576752984</v>
      </c>
      <c r="C29" s="18" t="str">
        <f xml:space="preserve"> TRIM( "1576752984" )</f>
        <v>1576752984</v>
      </c>
      <c r="D29" s="18" t="s">
        <v>63</v>
      </c>
      <c r="E29" s="18" t="s">
        <v>37</v>
      </c>
      <c r="F29" s="18" t="s">
        <v>64</v>
      </c>
      <c r="G29" s="18" t="s">
        <v>39</v>
      </c>
      <c r="H29" s="18">
        <v>0.2</v>
      </c>
      <c r="I29" s="20">
        <v>3.84</v>
      </c>
      <c r="J29" s="21">
        <v>0.2</v>
      </c>
      <c r="K29" s="20">
        <f t="shared" ca="1" si="1"/>
        <v>0.77</v>
      </c>
    </row>
    <row r="30" spans="2:11">
      <c r="B30" s="18" t="str">
        <f xml:space="preserve"> TRIM( "1576753107" )</f>
        <v>1576753107</v>
      </c>
      <c r="C30" s="18" t="str">
        <f xml:space="preserve"> TRIM( "1576753107" )</f>
        <v>1576753107</v>
      </c>
      <c r="D30" s="18" t="s">
        <v>66</v>
      </c>
      <c r="E30" s="18" t="s">
        <v>37</v>
      </c>
      <c r="F30" s="18" t="s">
        <v>67</v>
      </c>
      <c r="G30" s="18" t="s">
        <v>39</v>
      </c>
      <c r="H30" s="18">
        <v>0.2</v>
      </c>
      <c r="I30" s="20">
        <v>2.74</v>
      </c>
      <c r="J30" s="21">
        <v>0.2</v>
      </c>
      <c r="K30" s="20">
        <f t="shared" ca="1" si="1"/>
        <v>0.55000000000000004</v>
      </c>
    </row>
    <row r="31" spans="2:11">
      <c r="B31" s="18" t="str">
        <f xml:space="preserve"> TRIM( "9781576750025" )</f>
        <v>9781576750025</v>
      </c>
      <c r="C31" s="18" t="str">
        <f xml:space="preserve"> TRIM( "9781609941321" )</f>
        <v>9781609941321</v>
      </c>
      <c r="D31" s="18" t="s">
        <v>70</v>
      </c>
      <c r="E31" s="18" t="s">
        <v>37</v>
      </c>
      <c r="F31" s="18" t="s">
        <v>71</v>
      </c>
      <c r="G31" s="18" t="s">
        <v>39</v>
      </c>
      <c r="H31" s="18">
        <v>0.2</v>
      </c>
      <c r="I31" s="20">
        <v>3.93</v>
      </c>
      <c r="J31" s="21">
        <v>0.2</v>
      </c>
      <c r="K31" s="20">
        <f t="shared" ca="1" si="1"/>
        <v>0.79</v>
      </c>
    </row>
    <row r="32" spans="2:11">
      <c r="B32" s="18" t="str">
        <f xml:space="preserve"> TRIM( "9781576750025" )</f>
        <v>9781576750025</v>
      </c>
      <c r="C32" s="18" t="str">
        <f xml:space="preserve"> TRIM( "9781609941321" )</f>
        <v>9781609941321</v>
      </c>
      <c r="D32" s="18" t="s">
        <v>70</v>
      </c>
      <c r="E32" s="18" t="s">
        <v>37</v>
      </c>
      <c r="F32" s="18" t="s">
        <v>71</v>
      </c>
      <c r="G32" s="18" t="s">
        <v>40</v>
      </c>
      <c r="H32" s="18">
        <v>0.25</v>
      </c>
      <c r="I32" s="20">
        <v>0.64</v>
      </c>
      <c r="J32" s="21">
        <v>0.25</v>
      </c>
      <c r="K32" s="20">
        <f t="shared" ca="1" si="1"/>
        <v>0.16</v>
      </c>
    </row>
    <row r="33" spans="2:11">
      <c r="B33" s="18" t="str">
        <f xml:space="preserve"> TRIM( "9781576750308" )</f>
        <v>9781576750308</v>
      </c>
      <c r="C33" s="18" t="str">
        <f xml:space="preserve"> TRIM( "9781609941437" )</f>
        <v>9781609941437</v>
      </c>
      <c r="D33" s="18" t="s">
        <v>74</v>
      </c>
      <c r="E33" s="18" t="s">
        <v>37</v>
      </c>
      <c r="F33" s="18" t="s">
        <v>75</v>
      </c>
      <c r="G33" s="18" t="s">
        <v>39</v>
      </c>
      <c r="H33" s="18">
        <v>0.2</v>
      </c>
      <c r="I33" s="20">
        <v>1.92</v>
      </c>
      <c r="J33" s="21">
        <v>0.2</v>
      </c>
      <c r="K33" s="20">
        <f t="shared" ca="1" si="1"/>
        <v>0.38</v>
      </c>
    </row>
    <row r="34" spans="2:11">
      <c r="B34" s="18" t="str">
        <f xml:space="preserve"> TRIM( "9781576750308" )</f>
        <v>9781576750308</v>
      </c>
      <c r="C34" s="18" t="str">
        <f xml:space="preserve"> TRIM( "9781609941437" )</f>
        <v>9781609941437</v>
      </c>
      <c r="D34" s="18" t="s">
        <v>74</v>
      </c>
      <c r="E34" s="18" t="s">
        <v>37</v>
      </c>
      <c r="F34" s="18" t="s">
        <v>75</v>
      </c>
      <c r="G34" s="18" t="s">
        <v>40</v>
      </c>
      <c r="H34" s="18">
        <v>0.25</v>
      </c>
      <c r="I34" s="20">
        <v>0.19</v>
      </c>
      <c r="J34" s="21">
        <v>0.25</v>
      </c>
      <c r="K34" s="20">
        <f t="shared" ca="1" si="1"/>
        <v>0.05</v>
      </c>
    </row>
    <row r="35" spans="2:11">
      <c r="B35" s="18" t="str">
        <f xml:space="preserve"> TRIM( "9781576750322" )</f>
        <v>9781576750322</v>
      </c>
      <c r="C35" s="18" t="str">
        <f xml:space="preserve"> TRIM( "9781609941444" )</f>
        <v>9781609941444</v>
      </c>
      <c r="D35" s="18" t="s">
        <v>78</v>
      </c>
      <c r="E35" s="18" t="s">
        <v>37</v>
      </c>
      <c r="F35" s="18" t="s">
        <v>79</v>
      </c>
      <c r="G35" s="18" t="s">
        <v>39</v>
      </c>
      <c r="H35" s="18">
        <v>0.2</v>
      </c>
      <c r="I35" s="20">
        <v>1.93</v>
      </c>
      <c r="J35" s="21">
        <v>0.2</v>
      </c>
      <c r="K35" s="20">
        <f t="shared" ca="1" si="1"/>
        <v>0.39</v>
      </c>
    </row>
    <row r="36" spans="2:11">
      <c r="B36" s="18" t="str">
        <f xml:space="preserve"> TRIM( "9781576750353" )</f>
        <v>9781576750353</v>
      </c>
      <c r="C36" s="18" t="str">
        <f xml:space="preserve"> TRIM( "9781626563926" )</f>
        <v>9781626563926</v>
      </c>
      <c r="D36" s="18" t="s">
        <v>82</v>
      </c>
      <c r="E36" s="18" t="s">
        <v>37</v>
      </c>
      <c r="F36" s="18" t="s">
        <v>83</v>
      </c>
      <c r="G36" s="18" t="s">
        <v>39</v>
      </c>
      <c r="H36" s="18">
        <v>0.2</v>
      </c>
      <c r="I36" s="20">
        <v>35.06</v>
      </c>
      <c r="J36" s="21">
        <v>0.2</v>
      </c>
      <c r="K36" s="20">
        <f t="shared" ca="1" si="1"/>
        <v>7.01</v>
      </c>
    </row>
    <row r="37" spans="2:11">
      <c r="B37" s="18" t="str">
        <f xml:space="preserve"> TRIM( "9781576750353" )</f>
        <v>9781576750353</v>
      </c>
      <c r="C37" s="18" t="str">
        <f xml:space="preserve"> TRIM( "9781626563926" )</f>
        <v>9781626563926</v>
      </c>
      <c r="D37" s="18" t="s">
        <v>82</v>
      </c>
      <c r="E37" s="18" t="s">
        <v>37</v>
      </c>
      <c r="F37" s="18" t="s">
        <v>83</v>
      </c>
      <c r="G37" s="18" t="s">
        <v>40</v>
      </c>
      <c r="H37" s="18">
        <v>0.25</v>
      </c>
      <c r="I37" s="20">
        <v>1.97</v>
      </c>
      <c r="J37" s="21">
        <v>0.25</v>
      </c>
      <c r="K37" s="20">
        <f t="shared" ca="1" si="1"/>
        <v>0.49</v>
      </c>
    </row>
    <row r="38" spans="2:11">
      <c r="B38" s="18" t="str">
        <f xml:space="preserve"> TRIM( "9781576750438" )</f>
        <v>9781576750438</v>
      </c>
      <c r="C38" s="18" t="str">
        <f xml:space="preserve"> TRIM( "9781609941505" )</f>
        <v>9781609941505</v>
      </c>
      <c r="D38" s="18" t="s">
        <v>86</v>
      </c>
      <c r="E38" s="18" t="s">
        <v>37</v>
      </c>
      <c r="F38" s="18" t="s">
        <v>87</v>
      </c>
      <c r="G38" s="18" t="s">
        <v>39</v>
      </c>
      <c r="H38" s="18">
        <v>0.2</v>
      </c>
      <c r="I38" s="20">
        <v>1.92</v>
      </c>
      <c r="J38" s="21">
        <v>0.2</v>
      </c>
      <c r="K38" s="20">
        <f t="shared" ca="1" si="1"/>
        <v>0.38</v>
      </c>
    </row>
    <row r="39" spans="2:11">
      <c r="B39" s="18" t="str">
        <f xml:space="preserve"> TRIM( "9781576750452" )</f>
        <v>9781576750452</v>
      </c>
      <c r="C39" s="18" t="str">
        <f xml:space="preserve"> TRIM( "9781609941529" )</f>
        <v>9781609941529</v>
      </c>
      <c r="D39" s="18" t="s">
        <v>90</v>
      </c>
      <c r="E39" s="18" t="s">
        <v>37</v>
      </c>
      <c r="F39" s="18" t="s">
        <v>91</v>
      </c>
      <c r="G39" s="18" t="s">
        <v>39</v>
      </c>
      <c r="H39" s="18">
        <v>0.2</v>
      </c>
      <c r="I39" s="20">
        <v>2.3199999999999998</v>
      </c>
      <c r="J39" s="21">
        <v>0.2</v>
      </c>
      <c r="K39" s="20">
        <f t="shared" ca="1" si="1"/>
        <v>0.46</v>
      </c>
    </row>
    <row r="40" spans="2:11">
      <c r="B40" s="18" t="str">
        <f xml:space="preserve"> TRIM( "9781576750674" )</f>
        <v>9781576750674</v>
      </c>
      <c r="C40" s="18" t="str">
        <f xml:space="preserve"> TRIM( "9781609941598" )</f>
        <v>9781609941598</v>
      </c>
      <c r="D40" s="18" t="s">
        <v>94</v>
      </c>
      <c r="E40" s="18" t="s">
        <v>37</v>
      </c>
      <c r="F40" s="18" t="s">
        <v>95</v>
      </c>
      <c r="G40" s="18" t="s">
        <v>39</v>
      </c>
      <c r="H40" s="18">
        <v>0.2</v>
      </c>
      <c r="I40" s="20">
        <v>1.93</v>
      </c>
      <c r="J40" s="21">
        <v>0.2</v>
      </c>
      <c r="K40" s="20">
        <f t="shared" ca="1" si="1"/>
        <v>0.39</v>
      </c>
    </row>
    <row r="41" spans="2:11">
      <c r="B41" s="18" t="str">
        <f xml:space="preserve"> TRIM( "9781576750780" )</f>
        <v>9781576750780</v>
      </c>
      <c r="C41" s="18" t="str">
        <f xml:space="preserve"> TRIM( "9781609941611" )</f>
        <v>9781609941611</v>
      </c>
      <c r="D41" s="18" t="s">
        <v>98</v>
      </c>
      <c r="E41" s="18" t="s">
        <v>37</v>
      </c>
      <c r="F41" s="18" t="s">
        <v>99</v>
      </c>
      <c r="G41" s="18" t="s">
        <v>39</v>
      </c>
      <c r="H41" s="18">
        <v>0.2</v>
      </c>
      <c r="I41" s="20">
        <v>1.92</v>
      </c>
      <c r="J41" s="21">
        <v>0.2</v>
      </c>
      <c r="K41" s="20">
        <f t="shared" ca="1" si="1"/>
        <v>0.38</v>
      </c>
    </row>
    <row r="42" spans="2:11">
      <c r="B42" s="18" t="str">
        <f xml:space="preserve"> TRIM( "9781576751077" )</f>
        <v>9781576751077</v>
      </c>
      <c r="C42" s="18" t="str">
        <f xml:space="preserve"> TRIM( " " )</f>
        <v/>
      </c>
      <c r="D42" s="18" t="s">
        <v>101</v>
      </c>
      <c r="E42" s="18" t="s">
        <v>37</v>
      </c>
      <c r="F42" s="18" t="s">
        <v>61</v>
      </c>
      <c r="G42" s="18" t="s">
        <v>39</v>
      </c>
      <c r="H42" s="18">
        <v>0.2</v>
      </c>
      <c r="I42" s="20">
        <v>16.329999999999998</v>
      </c>
      <c r="J42" s="21">
        <v>0.2</v>
      </c>
      <c r="K42" s="20">
        <f t="shared" ca="1" si="1"/>
        <v>3.27</v>
      </c>
    </row>
    <row r="43" spans="2:11">
      <c r="B43" s="18" t="str">
        <f xml:space="preserve"> TRIM( "9781576751077" )</f>
        <v>9781576751077</v>
      </c>
      <c r="C43" s="18" t="str">
        <f xml:space="preserve"> TRIM( " " )</f>
        <v/>
      </c>
      <c r="D43" s="18" t="s">
        <v>101</v>
      </c>
      <c r="E43" s="18" t="s">
        <v>37</v>
      </c>
      <c r="F43" s="18" t="s">
        <v>61</v>
      </c>
      <c r="G43" s="18" t="s">
        <v>40</v>
      </c>
      <c r="H43" s="18">
        <v>0.25</v>
      </c>
      <c r="I43" s="20">
        <v>31.73</v>
      </c>
      <c r="J43" s="21">
        <v>0.25</v>
      </c>
      <c r="K43" s="20">
        <f t="shared" ca="1" si="1"/>
        <v>7.93</v>
      </c>
    </row>
    <row r="44" spans="2:11">
      <c r="B44" s="18" t="str">
        <f xml:space="preserve"> TRIM( "9781576751572" )</f>
        <v>9781576751572</v>
      </c>
      <c r="C44" s="18" t="str">
        <f xml:space="preserve"> TRIM( "9781609941826" )</f>
        <v>9781609941826</v>
      </c>
      <c r="D44" s="18" t="s">
        <v>104</v>
      </c>
      <c r="E44" s="18" t="s">
        <v>37</v>
      </c>
      <c r="F44" s="18" t="s">
        <v>105</v>
      </c>
      <c r="G44" s="18" t="s">
        <v>39</v>
      </c>
      <c r="H44" s="18">
        <v>0.2</v>
      </c>
      <c r="I44" s="20">
        <v>2.74</v>
      </c>
      <c r="J44" s="21">
        <v>0.2</v>
      </c>
      <c r="K44" s="20">
        <f t="shared" ca="1" si="1"/>
        <v>0.55000000000000004</v>
      </c>
    </row>
    <row r="45" spans="2:11">
      <c r="B45" s="18" t="str">
        <f xml:space="preserve"> TRIM( "9781576751695" )</f>
        <v>9781576751695</v>
      </c>
      <c r="C45" s="18" t="str">
        <f xml:space="preserve"> TRIM( "9781609941864" )</f>
        <v>9781609941864</v>
      </c>
      <c r="D45" s="18" t="s">
        <v>108</v>
      </c>
      <c r="E45" s="18" t="s">
        <v>37</v>
      </c>
      <c r="F45" s="18" t="s">
        <v>61</v>
      </c>
      <c r="G45" s="18" t="s">
        <v>39</v>
      </c>
      <c r="H45" s="18">
        <v>0.2</v>
      </c>
      <c r="I45" s="20">
        <v>2.16</v>
      </c>
      <c r="J45" s="21">
        <v>0.2</v>
      </c>
      <c r="K45" s="20">
        <f t="shared" ca="1" si="1"/>
        <v>0.43</v>
      </c>
    </row>
    <row r="46" spans="2:11">
      <c r="B46" s="18" t="str">
        <f xml:space="preserve"> TRIM( "9781576751732" )</f>
        <v>9781576751732</v>
      </c>
      <c r="C46" s="18" t="str">
        <f xml:space="preserve"> TRIM( " " )</f>
        <v/>
      </c>
      <c r="D46" s="18" t="s">
        <v>110</v>
      </c>
      <c r="E46" s="18" t="s">
        <v>37</v>
      </c>
      <c r="F46" s="18" t="s">
        <v>111</v>
      </c>
      <c r="G46" s="18" t="s">
        <v>39</v>
      </c>
      <c r="H46" s="18">
        <v>0.2</v>
      </c>
      <c r="I46" s="20">
        <v>2.4700000000000002</v>
      </c>
      <c r="J46" s="21">
        <v>0.2</v>
      </c>
      <c r="K46" s="20">
        <f t="shared" ca="1" si="1"/>
        <v>0.49</v>
      </c>
    </row>
    <row r="47" spans="2:11">
      <c r="B47" s="18" t="str">
        <f xml:space="preserve"> TRIM( "9781576751749" )</f>
        <v>9781576751749</v>
      </c>
      <c r="C47" s="18" t="str">
        <f xml:space="preserve"> TRIM( " " )</f>
        <v/>
      </c>
      <c r="D47" s="18" t="s">
        <v>113</v>
      </c>
      <c r="E47" s="18" t="s">
        <v>37</v>
      </c>
      <c r="F47" s="18" t="s">
        <v>114</v>
      </c>
      <c r="G47" s="18" t="s">
        <v>39</v>
      </c>
      <c r="H47" s="18">
        <v>0.2</v>
      </c>
      <c r="I47" s="20">
        <v>9.56</v>
      </c>
      <c r="J47" s="21">
        <v>0.2</v>
      </c>
      <c r="K47" s="20">
        <f t="shared" ca="1" si="1"/>
        <v>1.91</v>
      </c>
    </row>
    <row r="48" spans="2:11">
      <c r="B48" s="18" t="str">
        <f xml:space="preserve"> TRIM( "9781576751749" )</f>
        <v>9781576751749</v>
      </c>
      <c r="C48" s="18" t="str">
        <f xml:space="preserve"> TRIM( " " )</f>
        <v/>
      </c>
      <c r="D48" s="18" t="s">
        <v>113</v>
      </c>
      <c r="E48" s="18" t="s">
        <v>37</v>
      </c>
      <c r="F48" s="18" t="s">
        <v>114</v>
      </c>
      <c r="G48" s="18" t="s">
        <v>40</v>
      </c>
      <c r="H48" s="18">
        <v>0.25</v>
      </c>
      <c r="I48" s="20">
        <v>18.05</v>
      </c>
      <c r="J48" s="21">
        <v>0.25</v>
      </c>
      <c r="K48" s="20">
        <f t="shared" ca="1" si="1"/>
        <v>4.51</v>
      </c>
    </row>
    <row r="49" spans="1:11">
      <c r="B49" s="18" t="str">
        <f xml:space="preserve"> TRIM( "9781576751787" )</f>
        <v>9781576751787</v>
      </c>
      <c r="C49" s="18" t="str">
        <f xml:space="preserve"> TRIM( "9781576751787" )</f>
        <v>9781576751787</v>
      </c>
      <c r="D49" s="18" t="s">
        <v>116</v>
      </c>
      <c r="E49" s="18" t="s">
        <v>37</v>
      </c>
      <c r="F49" s="18" t="s">
        <v>117</v>
      </c>
      <c r="G49" s="18" t="s">
        <v>39</v>
      </c>
      <c r="H49" s="18">
        <v>0.2</v>
      </c>
      <c r="I49" s="20">
        <v>1.92</v>
      </c>
      <c r="J49" s="21">
        <v>0.2</v>
      </c>
      <c r="K49" s="20">
        <f t="shared" ca="1" si="1"/>
        <v>0.38</v>
      </c>
    </row>
    <row r="50" spans="1:11">
      <c r="B50" s="18" t="str">
        <f xml:space="preserve"> TRIM( "9781576751855" )</f>
        <v>9781576751855</v>
      </c>
      <c r="C50" s="18" t="str">
        <f xml:space="preserve"> TRIM( "9781605093888" )</f>
        <v>9781605093888</v>
      </c>
      <c r="D50" s="18" t="s">
        <v>120</v>
      </c>
      <c r="E50" s="18" t="s">
        <v>37</v>
      </c>
      <c r="F50" s="18" t="s">
        <v>121</v>
      </c>
      <c r="G50" s="18" t="s">
        <v>39</v>
      </c>
      <c r="H50" s="18">
        <v>0.2</v>
      </c>
      <c r="I50" s="20">
        <v>2.52</v>
      </c>
      <c r="J50" s="21">
        <v>0.2</v>
      </c>
      <c r="K50" s="20">
        <f t="shared" ca="1" si="1"/>
        <v>0.5</v>
      </c>
    </row>
    <row r="51" spans="1:11">
      <c r="B51" s="18" t="str">
        <f xml:space="preserve"> TRIM( "9781576751886" )</f>
        <v>9781576751886</v>
      </c>
      <c r="C51" s="18" t="str">
        <f xml:space="preserve"> TRIM( "9781605094618" )</f>
        <v>9781605094618</v>
      </c>
      <c r="D51" s="18" t="s">
        <v>124</v>
      </c>
      <c r="E51" s="18" t="s">
        <v>37</v>
      </c>
      <c r="F51" s="18" t="s">
        <v>125</v>
      </c>
      <c r="G51" s="18" t="s">
        <v>39</v>
      </c>
      <c r="H51" s="18">
        <v>0.2</v>
      </c>
      <c r="I51" s="20">
        <v>2.78</v>
      </c>
      <c r="J51" s="21">
        <v>0.2</v>
      </c>
      <c r="K51" s="20">
        <f t="shared" ca="1" si="1"/>
        <v>0.56000000000000005</v>
      </c>
    </row>
    <row r="52" spans="1:11">
      <c r="B52" s="18" t="str">
        <f xml:space="preserve"> TRIM( "9781576751930" )</f>
        <v>9781576751930</v>
      </c>
      <c r="C52" s="18" t="str">
        <f xml:space="preserve"> TRIM( "9781626563919" )</f>
        <v>9781626563919</v>
      </c>
      <c r="D52" s="18" t="s">
        <v>128</v>
      </c>
      <c r="E52" s="18" t="s">
        <v>37</v>
      </c>
      <c r="F52" s="18" t="s">
        <v>129</v>
      </c>
      <c r="G52" s="18" t="s">
        <v>39</v>
      </c>
      <c r="H52" s="18">
        <v>0.2</v>
      </c>
      <c r="I52" s="20">
        <v>5.24</v>
      </c>
      <c r="J52" s="21">
        <v>0.2</v>
      </c>
      <c r="K52" s="20">
        <f t="shared" ca="1" si="1"/>
        <v>1.05</v>
      </c>
    </row>
    <row r="53" spans="1:11">
      <c r="A53"/>
      <c r="B53" s="18" t="str">
        <f xml:space="preserve"> TRIM( "9781576751930" )</f>
        <v>9781576751930</v>
      </c>
      <c r="C53" s="18" t="str">
        <f xml:space="preserve"> TRIM( "9781626563919" )</f>
        <v>9781626563919</v>
      </c>
      <c r="D53" s="18" t="s">
        <v>128</v>
      </c>
      <c r="E53" s="18" t="s">
        <v>37</v>
      </c>
      <c r="F53" s="18" t="s">
        <v>129</v>
      </c>
      <c r="G53" s="18" t="s">
        <v>40</v>
      </c>
      <c r="H53" s="18">
        <v>0.25</v>
      </c>
      <c r="I53" s="20">
        <v>0.1</v>
      </c>
      <c r="J53" s="21">
        <v>0.25</v>
      </c>
      <c r="K53" s="20">
        <f t="shared" ca="1" si="1"/>
        <v>0.03</v>
      </c>
    </row>
    <row r="54" spans="1:11">
      <c r="B54" s="18" t="str">
        <f xml:space="preserve"> TRIM( "9781576752500" )</f>
        <v>9781576752500</v>
      </c>
      <c r="C54" s="18" t="str">
        <f xml:space="preserve"> TRIM( "9781576758755" )</f>
        <v>9781576758755</v>
      </c>
      <c r="D54" s="18" t="s">
        <v>132</v>
      </c>
      <c r="E54" s="18" t="s">
        <v>37</v>
      </c>
      <c r="F54" s="18" t="s">
        <v>133</v>
      </c>
      <c r="G54" s="18" t="s">
        <v>39</v>
      </c>
      <c r="H54" s="18">
        <v>0.2</v>
      </c>
      <c r="I54" s="20">
        <v>19.7</v>
      </c>
      <c r="J54" s="21">
        <v>0.2</v>
      </c>
      <c r="K54" s="20">
        <f t="shared" ca="1" si="1"/>
        <v>3.94</v>
      </c>
    </row>
    <row r="55" spans="1:11">
      <c r="B55" s="18" t="str">
        <f xml:space="preserve"> TRIM( "9781576752500" )</f>
        <v>9781576752500</v>
      </c>
      <c r="C55" s="18" t="str">
        <f xml:space="preserve"> TRIM( "9781576758755" )</f>
        <v>9781576758755</v>
      </c>
      <c r="D55" s="18" t="s">
        <v>132</v>
      </c>
      <c r="E55" s="18" t="s">
        <v>37</v>
      </c>
      <c r="F55" s="18" t="s">
        <v>133</v>
      </c>
      <c r="G55" s="18" t="s">
        <v>40</v>
      </c>
      <c r="H55" s="18">
        <v>0.25</v>
      </c>
      <c r="I55" s="20">
        <v>7.0000000000000007E-2</v>
      </c>
      <c r="J55" s="21">
        <v>0.25</v>
      </c>
      <c r="K55" s="20">
        <f t="shared" ca="1" si="1"/>
        <v>0.02</v>
      </c>
    </row>
    <row r="56" spans="1:11">
      <c r="B56" s="18" t="str">
        <f xml:space="preserve"> TRIM( "9781576752579" )</f>
        <v>9781576752579</v>
      </c>
      <c r="C56" s="18" t="str">
        <f xml:space="preserve"> TRIM( "9781609941970" )</f>
        <v>9781609941970</v>
      </c>
      <c r="D56" s="18" t="s">
        <v>136</v>
      </c>
      <c r="E56" s="18" t="s">
        <v>37</v>
      </c>
      <c r="F56" s="18" t="s">
        <v>137</v>
      </c>
      <c r="G56" s="18" t="s">
        <v>39</v>
      </c>
      <c r="H56" s="18">
        <v>0.2</v>
      </c>
      <c r="I56" s="20">
        <v>2.3199999999999998</v>
      </c>
      <c r="J56" s="21">
        <v>0.2</v>
      </c>
      <c r="K56" s="20">
        <f t="shared" ca="1" si="1"/>
        <v>0.46</v>
      </c>
    </row>
    <row r="57" spans="1:11">
      <c r="B57" s="18" t="str">
        <f xml:space="preserve"> TRIM( "9781576753026" )</f>
        <v>9781576753026</v>
      </c>
      <c r="C57" s="18" t="str">
        <f xml:space="preserve"> TRIM( "9781609942045" )</f>
        <v>9781609942045</v>
      </c>
      <c r="D57" s="18" t="s">
        <v>140</v>
      </c>
      <c r="E57" s="18" t="s">
        <v>37</v>
      </c>
      <c r="F57" s="18" t="s">
        <v>141</v>
      </c>
      <c r="G57" s="18" t="s">
        <v>39</v>
      </c>
      <c r="H57" s="18">
        <v>0.2</v>
      </c>
      <c r="I57" s="20">
        <v>2.48</v>
      </c>
      <c r="J57" s="21">
        <v>0.2</v>
      </c>
      <c r="K57" s="20">
        <f t="shared" ca="1" si="1"/>
        <v>0.5</v>
      </c>
    </row>
    <row r="58" spans="1:11">
      <c r="B58" s="18" t="str">
        <f xml:space="preserve"> TRIM( "9781576753071" )</f>
        <v>9781576753071</v>
      </c>
      <c r="C58" s="18" t="str">
        <f xml:space="preserve"> TRIM( " " )</f>
        <v/>
      </c>
      <c r="D58" s="18" t="s">
        <v>143</v>
      </c>
      <c r="E58" s="18" t="s">
        <v>37</v>
      </c>
      <c r="F58" s="18" t="s">
        <v>61</v>
      </c>
      <c r="G58" s="18" t="s">
        <v>39</v>
      </c>
      <c r="H58" s="18">
        <v>0.2</v>
      </c>
      <c r="I58" s="20">
        <v>286.39</v>
      </c>
      <c r="J58" s="21">
        <v>0.2</v>
      </c>
      <c r="K58" s="20">
        <f t="shared" ca="1" si="1"/>
        <v>57.28</v>
      </c>
    </row>
    <row r="59" spans="1:11">
      <c r="B59" s="18" t="str">
        <f xml:space="preserve"> TRIM( "9781576753071" )</f>
        <v>9781576753071</v>
      </c>
      <c r="C59" s="18" t="str">
        <f xml:space="preserve"> TRIM( " " )</f>
        <v/>
      </c>
      <c r="D59" s="18" t="s">
        <v>143</v>
      </c>
      <c r="E59" s="18" t="s">
        <v>37</v>
      </c>
      <c r="F59" s="18" t="s">
        <v>61</v>
      </c>
      <c r="G59" s="18" t="s">
        <v>40</v>
      </c>
      <c r="H59" s="18">
        <v>0.25</v>
      </c>
      <c r="I59" s="20">
        <v>1.29</v>
      </c>
      <c r="J59" s="21">
        <v>0.25</v>
      </c>
      <c r="K59" s="20">
        <f t="shared" ca="1" si="1"/>
        <v>0.32</v>
      </c>
    </row>
    <row r="60" spans="1:11">
      <c r="B60" s="18" t="str">
        <f xml:space="preserve"> TRIM( "9781576753217" )</f>
        <v>9781576753217</v>
      </c>
      <c r="C60" s="18" t="str">
        <f xml:space="preserve"> TRIM( " " )</f>
        <v/>
      </c>
      <c r="D60" s="18" t="s">
        <v>145</v>
      </c>
      <c r="E60" s="18" t="s">
        <v>37</v>
      </c>
      <c r="F60" s="18" t="s">
        <v>146</v>
      </c>
      <c r="G60" s="18" t="s">
        <v>39</v>
      </c>
      <c r="H60" s="18">
        <v>0.2</v>
      </c>
      <c r="I60" s="20">
        <v>2.4700000000000002</v>
      </c>
      <c r="J60" s="21">
        <v>0.2</v>
      </c>
      <c r="K60" s="20">
        <f t="shared" ca="1" si="1"/>
        <v>0.49</v>
      </c>
    </row>
    <row r="61" spans="1:11">
      <c r="B61" s="18" t="str">
        <f xml:space="preserve"> TRIM( "9781576753613" )</f>
        <v>9781576753613</v>
      </c>
      <c r="C61" s="18" t="str">
        <f xml:space="preserve"> TRIM( "9781605091648" )</f>
        <v>9781605091648</v>
      </c>
      <c r="D61" s="18" t="s">
        <v>149</v>
      </c>
      <c r="E61" s="18" t="s">
        <v>37</v>
      </c>
      <c r="F61" s="18" t="s">
        <v>150</v>
      </c>
      <c r="G61" s="18" t="s">
        <v>39</v>
      </c>
      <c r="H61" s="18">
        <v>0.2</v>
      </c>
      <c r="I61" s="20">
        <v>3.14</v>
      </c>
      <c r="J61" s="21">
        <v>0.2</v>
      </c>
      <c r="K61" s="20">
        <f t="shared" ca="1" si="1"/>
        <v>0.63</v>
      </c>
    </row>
    <row r="62" spans="1:11">
      <c r="B62" s="18" t="str">
        <f xml:space="preserve"> TRIM( "9781576753743" )</f>
        <v>9781576753743</v>
      </c>
      <c r="C62" s="18" t="str">
        <f xml:space="preserve"> TRIM( " " )</f>
        <v/>
      </c>
      <c r="D62" s="18" t="s">
        <v>152</v>
      </c>
      <c r="E62" s="18" t="s">
        <v>37</v>
      </c>
      <c r="F62" s="18" t="s">
        <v>153</v>
      </c>
      <c r="G62" s="18" t="s">
        <v>39</v>
      </c>
      <c r="H62" s="18">
        <v>0.2</v>
      </c>
      <c r="I62" s="20">
        <v>2.77</v>
      </c>
      <c r="J62" s="21">
        <v>0.2</v>
      </c>
      <c r="K62" s="20">
        <f t="shared" ca="1" si="1"/>
        <v>0.55000000000000004</v>
      </c>
    </row>
    <row r="63" spans="1:11">
      <c r="B63" s="18" t="str">
        <f xml:space="preserve"> TRIM( "9781576754221" )</f>
        <v>9781576754221</v>
      </c>
      <c r="C63" s="18" t="str">
        <f xml:space="preserve"> TRIM( "9781576755044" )</f>
        <v>9781576755044</v>
      </c>
      <c r="D63" s="18" t="s">
        <v>156</v>
      </c>
      <c r="E63" s="18" t="s">
        <v>37</v>
      </c>
      <c r="F63" s="18" t="s">
        <v>61</v>
      </c>
      <c r="G63" s="18" t="s">
        <v>39</v>
      </c>
      <c r="H63" s="18">
        <v>0.2</v>
      </c>
      <c r="I63" s="20">
        <v>547.96</v>
      </c>
      <c r="J63" s="21">
        <v>0.2</v>
      </c>
      <c r="K63" s="20">
        <f t="shared" ca="1" si="1"/>
        <v>109.59</v>
      </c>
    </row>
    <row r="64" spans="1:11">
      <c r="B64" s="18" t="str">
        <f xml:space="preserve"> TRIM( "9781576754221" )</f>
        <v>9781576754221</v>
      </c>
      <c r="C64" s="18" t="str">
        <f xml:space="preserve"> TRIM( "9781576755044" )</f>
        <v>9781576755044</v>
      </c>
      <c r="D64" s="18" t="s">
        <v>156</v>
      </c>
      <c r="E64" s="18" t="s">
        <v>37</v>
      </c>
      <c r="F64" s="18" t="s">
        <v>61</v>
      </c>
      <c r="G64" s="18" t="s">
        <v>40</v>
      </c>
      <c r="H64" s="18">
        <v>0.25</v>
      </c>
      <c r="I64" s="20">
        <v>132.16999999999999</v>
      </c>
      <c r="J64" s="21">
        <v>0.25</v>
      </c>
      <c r="K64" s="20">
        <f t="shared" ca="1" si="1"/>
        <v>33.04</v>
      </c>
    </row>
    <row r="65" spans="2:11">
      <c r="B65" s="18" t="str">
        <f xml:space="preserve"> TRIM( "9781576754276" )</f>
        <v>9781576754276</v>
      </c>
      <c r="C65" s="18" t="str">
        <f xml:space="preserve"> TRIM( " " )</f>
        <v/>
      </c>
      <c r="D65" s="18" t="s">
        <v>158</v>
      </c>
      <c r="E65" s="18" t="s">
        <v>37</v>
      </c>
      <c r="F65" s="18" t="s">
        <v>159</v>
      </c>
      <c r="G65" s="18" t="s">
        <v>39</v>
      </c>
      <c r="H65" s="18">
        <v>0.2</v>
      </c>
      <c r="I65" s="20">
        <v>3.16</v>
      </c>
      <c r="J65" s="21">
        <v>0.2</v>
      </c>
      <c r="K65" s="20">
        <f t="shared" ca="1" si="1"/>
        <v>0.63</v>
      </c>
    </row>
    <row r="66" spans="2:11">
      <c r="B66" s="18" t="str">
        <f xml:space="preserve"> TRIM( "9781576754627" )</f>
        <v>9781576754627</v>
      </c>
      <c r="C66" s="18" t="str">
        <f xml:space="preserve"> TRIM( "9781576755365" )</f>
        <v>9781576755365</v>
      </c>
      <c r="D66" s="18" t="s">
        <v>162</v>
      </c>
      <c r="E66" s="18" t="s">
        <v>37</v>
      </c>
      <c r="F66" s="18" t="s">
        <v>163</v>
      </c>
      <c r="G66" s="18" t="s">
        <v>39</v>
      </c>
      <c r="H66" s="18">
        <v>0.2</v>
      </c>
      <c r="I66" s="20">
        <v>1.92</v>
      </c>
      <c r="J66" s="21">
        <v>0.2</v>
      </c>
      <c r="K66" s="20">
        <f t="shared" ca="1" si="1"/>
        <v>0.38</v>
      </c>
    </row>
    <row r="67" spans="2:11">
      <c r="B67" s="18" t="str">
        <f xml:space="preserve"> TRIM( "9781576754672" )</f>
        <v>9781576754672</v>
      </c>
      <c r="C67" s="18" t="str">
        <f xml:space="preserve"> TRIM( " " )</f>
        <v/>
      </c>
      <c r="D67" s="18" t="s">
        <v>165</v>
      </c>
      <c r="E67" s="18" t="s">
        <v>37</v>
      </c>
      <c r="F67" s="18" t="s">
        <v>166</v>
      </c>
      <c r="G67" s="18" t="s">
        <v>39</v>
      </c>
      <c r="H67" s="18">
        <v>0.2</v>
      </c>
      <c r="I67" s="20">
        <v>1.67</v>
      </c>
      <c r="J67" s="21">
        <v>0.2</v>
      </c>
      <c r="K67" s="20">
        <f t="shared" ca="1" si="1"/>
        <v>0.33</v>
      </c>
    </row>
    <row r="68" spans="2:11">
      <c r="B68" s="18" t="str">
        <f xml:space="preserve"> TRIM( "9781576754832" )</f>
        <v>9781576754832</v>
      </c>
      <c r="C68" s="18" t="str">
        <f xml:space="preserve"> TRIM( "9781576754832" )</f>
        <v>9781576754832</v>
      </c>
      <c r="D68" s="18" t="s">
        <v>168</v>
      </c>
      <c r="E68" s="18" t="s">
        <v>37</v>
      </c>
      <c r="F68" s="18" t="s">
        <v>169</v>
      </c>
      <c r="G68" s="18" t="s">
        <v>39</v>
      </c>
      <c r="H68" s="18">
        <v>0.2</v>
      </c>
      <c r="I68" s="20">
        <v>2.98</v>
      </c>
      <c r="J68" s="21">
        <v>0.2</v>
      </c>
      <c r="K68" s="20">
        <f t="shared" ca="1" si="1"/>
        <v>0.6</v>
      </c>
    </row>
    <row r="69" spans="2:11">
      <c r="B69" s="18" t="str">
        <f xml:space="preserve"> TRIM( "9781576755112" )</f>
        <v>9781576755112</v>
      </c>
      <c r="C69" s="18" t="str">
        <f xml:space="preserve"> TRIM( "9781576755112" )</f>
        <v>9781576755112</v>
      </c>
      <c r="D69" s="18" t="s">
        <v>171</v>
      </c>
      <c r="E69" s="18" t="s">
        <v>37</v>
      </c>
      <c r="F69" s="18" t="s">
        <v>172</v>
      </c>
      <c r="G69" s="18" t="s">
        <v>39</v>
      </c>
      <c r="H69" s="18">
        <v>0.2</v>
      </c>
      <c r="I69" s="20">
        <v>34.869999999999997</v>
      </c>
      <c r="J69" s="21">
        <v>0.2</v>
      </c>
      <c r="K69" s="20">
        <f t="shared" ca="1" si="1"/>
        <v>6.97</v>
      </c>
    </row>
    <row r="70" spans="2:11">
      <c r="B70" s="18" t="str">
        <f xml:space="preserve"> TRIM( "9781576755112" )</f>
        <v>9781576755112</v>
      </c>
      <c r="C70" s="18" t="str">
        <f xml:space="preserve"> TRIM( "9781576755112" )</f>
        <v>9781576755112</v>
      </c>
      <c r="D70" s="18" t="s">
        <v>171</v>
      </c>
      <c r="E70" s="18" t="s">
        <v>37</v>
      </c>
      <c r="F70" s="18" t="s">
        <v>172</v>
      </c>
      <c r="G70" s="18" t="s">
        <v>40</v>
      </c>
      <c r="H70" s="18">
        <v>0.25</v>
      </c>
      <c r="I70" s="20">
        <v>6.21</v>
      </c>
      <c r="J70" s="21">
        <v>0.25</v>
      </c>
      <c r="K70" s="20">
        <f t="shared" ca="1" si="1"/>
        <v>1.55</v>
      </c>
    </row>
    <row r="71" spans="2:11">
      <c r="B71" s="18" t="str">
        <f xml:space="preserve"> TRIM( "9781576755129" )</f>
        <v>9781576755129</v>
      </c>
      <c r="C71" s="18" t="str">
        <f xml:space="preserve"> TRIM( "9781605095295" )</f>
        <v>9781605095295</v>
      </c>
      <c r="D71" s="18" t="s">
        <v>175</v>
      </c>
      <c r="E71" s="18" t="s">
        <v>37</v>
      </c>
      <c r="F71" s="18" t="s">
        <v>176</v>
      </c>
      <c r="G71" s="18" t="s">
        <v>39</v>
      </c>
      <c r="H71" s="18">
        <v>0.2</v>
      </c>
      <c r="I71" s="20">
        <v>3.16</v>
      </c>
      <c r="J71" s="21">
        <v>0.2</v>
      </c>
      <c r="K71" s="20">
        <f t="shared" ca="1" si="1"/>
        <v>0.63</v>
      </c>
    </row>
    <row r="72" spans="2:11">
      <c r="B72" s="18" t="str">
        <f xml:space="preserve"> TRIM( "9781576755129" )</f>
        <v>9781576755129</v>
      </c>
      <c r="C72" s="18" t="str">
        <f xml:space="preserve"> TRIM( "9781605095295" )</f>
        <v>9781605095295</v>
      </c>
      <c r="D72" s="18" t="s">
        <v>175</v>
      </c>
      <c r="E72" s="18" t="s">
        <v>37</v>
      </c>
      <c r="F72" s="18" t="s">
        <v>176</v>
      </c>
      <c r="G72" s="18" t="s">
        <v>40</v>
      </c>
      <c r="H72" s="18">
        <v>0.25</v>
      </c>
      <c r="I72" s="20">
        <v>7.4</v>
      </c>
      <c r="J72" s="21">
        <v>0.25</v>
      </c>
      <c r="K72" s="20">
        <f t="shared" ca="1" si="1"/>
        <v>1.85</v>
      </c>
    </row>
    <row r="73" spans="2:11">
      <c r="B73" s="18" t="str">
        <f xml:space="preserve"> TRIM( "9781576755136" )</f>
        <v>9781576755136</v>
      </c>
      <c r="C73" s="18" t="str">
        <f xml:space="preserve"> TRIM( "9781576755136" )</f>
        <v>9781576755136</v>
      </c>
      <c r="D73" s="18" t="s">
        <v>178</v>
      </c>
      <c r="E73" s="18" t="s">
        <v>37</v>
      </c>
      <c r="F73" s="18" t="s">
        <v>179</v>
      </c>
      <c r="G73" s="18" t="s">
        <v>39</v>
      </c>
      <c r="H73" s="18">
        <v>0.2</v>
      </c>
      <c r="I73" s="20">
        <v>1.96</v>
      </c>
      <c r="J73" s="21">
        <v>0.2</v>
      </c>
      <c r="K73" s="20">
        <f t="shared" ca="1" si="1"/>
        <v>0.39</v>
      </c>
    </row>
    <row r="74" spans="2:11">
      <c r="B74" s="18" t="str">
        <f xml:space="preserve"> TRIM( "9781576755143" )</f>
        <v>9781576755143</v>
      </c>
      <c r="C74" s="18" t="str">
        <f xml:space="preserve"> TRIM( "9781576755143" )</f>
        <v>9781576755143</v>
      </c>
      <c r="D74" s="18" t="s">
        <v>181</v>
      </c>
      <c r="E74" s="18" t="s">
        <v>37</v>
      </c>
      <c r="F74" s="18" t="s">
        <v>182</v>
      </c>
      <c r="G74" s="18" t="s">
        <v>39</v>
      </c>
      <c r="H74" s="18">
        <v>0.2</v>
      </c>
      <c r="I74" s="20">
        <v>3.46</v>
      </c>
      <c r="J74" s="21">
        <v>0.2</v>
      </c>
      <c r="K74" s="20">
        <f t="shared" ca="1" si="1"/>
        <v>0.69</v>
      </c>
    </row>
    <row r="75" spans="2:11">
      <c r="B75" s="18" t="str">
        <f xml:space="preserve"> TRIM( "9781576755150" )</f>
        <v>9781576755150</v>
      </c>
      <c r="C75" s="18" t="str">
        <f xml:space="preserve"> TRIM( "9781576755150" )</f>
        <v>9781576755150</v>
      </c>
      <c r="D75" s="18" t="s">
        <v>184</v>
      </c>
      <c r="E75" s="18" t="s">
        <v>37</v>
      </c>
      <c r="F75" s="18" t="s">
        <v>185</v>
      </c>
      <c r="G75" s="18" t="s">
        <v>39</v>
      </c>
      <c r="H75" s="18">
        <v>0.2</v>
      </c>
      <c r="I75" s="20">
        <v>10.039999999999999</v>
      </c>
      <c r="J75" s="21">
        <v>0.2</v>
      </c>
      <c r="K75" s="20">
        <f t="shared" ca="1" si="1"/>
        <v>2.0099999999999998</v>
      </c>
    </row>
    <row r="76" spans="2:11">
      <c r="B76" s="18" t="str">
        <f xml:space="preserve"> TRIM( "9781576755174" )</f>
        <v>9781576755174</v>
      </c>
      <c r="C76" s="18" t="str">
        <f xml:space="preserve"> TRIM( "9781576755174" )</f>
        <v>9781576755174</v>
      </c>
      <c r="D76" s="18" t="s">
        <v>187</v>
      </c>
      <c r="E76" s="18" t="s">
        <v>37</v>
      </c>
      <c r="F76" s="18" t="s">
        <v>188</v>
      </c>
      <c r="G76" s="18" t="s">
        <v>39</v>
      </c>
      <c r="H76" s="18">
        <v>0.2</v>
      </c>
      <c r="I76" s="20">
        <v>2.3199999999999998</v>
      </c>
      <c r="J76" s="21">
        <v>0.2</v>
      </c>
      <c r="K76" s="20">
        <f t="shared" ca="1" si="1"/>
        <v>0.46</v>
      </c>
    </row>
    <row r="77" spans="2:11">
      <c r="B77" s="18" t="str">
        <f xml:space="preserve"> TRIM( "9781576755181" )</f>
        <v>9781576755181</v>
      </c>
      <c r="C77" s="18" t="str">
        <f xml:space="preserve"> TRIM( "9781576755181" )</f>
        <v>9781576755181</v>
      </c>
      <c r="D77" s="18" t="s">
        <v>190</v>
      </c>
      <c r="E77" s="18" t="s">
        <v>37</v>
      </c>
      <c r="F77" s="18" t="s">
        <v>191</v>
      </c>
      <c r="G77" s="18" t="s">
        <v>39</v>
      </c>
      <c r="H77" s="18">
        <v>0.2</v>
      </c>
      <c r="I77" s="20">
        <v>1.96</v>
      </c>
      <c r="J77" s="21">
        <v>0.2</v>
      </c>
      <c r="K77" s="20">
        <f t="shared" ca="1" si="1"/>
        <v>0.39</v>
      </c>
    </row>
    <row r="78" spans="2:11">
      <c r="B78" s="18" t="str">
        <f xml:space="preserve"> TRIM( "9781576755181" )</f>
        <v>9781576755181</v>
      </c>
      <c r="C78" s="18" t="str">
        <f xml:space="preserve"> TRIM( "9781576755181" )</f>
        <v>9781576755181</v>
      </c>
      <c r="D78" s="18" t="s">
        <v>190</v>
      </c>
      <c r="E78" s="18" t="s">
        <v>37</v>
      </c>
      <c r="F78" s="18" t="s">
        <v>191</v>
      </c>
      <c r="G78" s="18" t="s">
        <v>40</v>
      </c>
      <c r="H78" s="18">
        <v>0.25</v>
      </c>
      <c r="I78" s="20">
        <v>0.28999999999999998</v>
      </c>
      <c r="J78" s="21">
        <v>0.25</v>
      </c>
      <c r="K78" s="20">
        <f t="shared" ca="1" si="1"/>
        <v>7.0000000000000007E-2</v>
      </c>
    </row>
    <row r="79" spans="2:11">
      <c r="B79" s="18" t="str">
        <f xml:space="preserve"> TRIM( "9781576755204" )</f>
        <v>9781576755204</v>
      </c>
      <c r="C79" s="18" t="str">
        <f xml:space="preserve"> TRIM( "9781576755204" )</f>
        <v>9781576755204</v>
      </c>
      <c r="D79" s="18" t="s">
        <v>193</v>
      </c>
      <c r="E79" s="18" t="s">
        <v>37</v>
      </c>
      <c r="F79" s="18" t="s">
        <v>194</v>
      </c>
      <c r="G79" s="18" t="s">
        <v>39</v>
      </c>
      <c r="H79" s="18">
        <v>0.2</v>
      </c>
      <c r="I79" s="20">
        <v>1.92</v>
      </c>
      <c r="J79" s="21">
        <v>0.2</v>
      </c>
      <c r="K79" s="20">
        <f t="shared" ca="1" si="1"/>
        <v>0.38</v>
      </c>
    </row>
    <row r="80" spans="2:11">
      <c r="B80" s="18" t="str">
        <f xml:space="preserve"> TRIM( "9781576755228" )</f>
        <v>9781576755228</v>
      </c>
      <c r="C80" s="18" t="str">
        <f xml:space="preserve"> TRIM( "9781576755228" )</f>
        <v>9781576755228</v>
      </c>
      <c r="D80" s="18" t="s">
        <v>196</v>
      </c>
      <c r="E80" s="18" t="s">
        <v>37</v>
      </c>
      <c r="F80" s="18" t="s">
        <v>197</v>
      </c>
      <c r="G80" s="18" t="s">
        <v>39</v>
      </c>
      <c r="H80" s="18">
        <v>0.2</v>
      </c>
      <c r="I80" s="20">
        <v>2.16</v>
      </c>
      <c r="J80" s="21">
        <v>0.2</v>
      </c>
      <c r="K80" s="20">
        <f t="shared" ref="K80:K143" ca="1" si="2" xml:space="preserve"> ROUND( ( INDIRECT( ADDRESS( ROW(), COLUMN()- 2 ))) * ( INDIRECT( ADDRESS( ROW(), COLUMN()- 1 ))), 2 )</f>
        <v>0.43</v>
      </c>
    </row>
    <row r="81" spans="2:11">
      <c r="B81" s="18" t="str">
        <f xml:space="preserve"> TRIM( "9781576755266" )</f>
        <v>9781576755266</v>
      </c>
      <c r="C81" s="18" t="str">
        <f xml:space="preserve"> TRIM( "9781576755266" )</f>
        <v>9781576755266</v>
      </c>
      <c r="D81" s="18" t="s">
        <v>199</v>
      </c>
      <c r="E81" s="18" t="s">
        <v>37</v>
      </c>
      <c r="F81" s="18" t="s">
        <v>200</v>
      </c>
      <c r="G81" s="18" t="s">
        <v>39</v>
      </c>
      <c r="H81" s="18">
        <v>0.2</v>
      </c>
      <c r="I81" s="20">
        <v>31.79</v>
      </c>
      <c r="J81" s="21">
        <v>0.2</v>
      </c>
      <c r="K81" s="20">
        <f t="shared" ca="1" si="2"/>
        <v>6.36</v>
      </c>
    </row>
    <row r="82" spans="2:11">
      <c r="B82" s="18" t="str">
        <f xml:space="preserve"> TRIM( "9781576755273" )</f>
        <v>9781576755273</v>
      </c>
      <c r="C82" s="18" t="str">
        <f xml:space="preserve"> TRIM( "9781576755273" )</f>
        <v>9781576755273</v>
      </c>
      <c r="D82" s="18" t="s">
        <v>202</v>
      </c>
      <c r="E82" s="18" t="s">
        <v>37</v>
      </c>
      <c r="F82" s="18" t="s">
        <v>203</v>
      </c>
      <c r="G82" s="18" t="s">
        <v>39</v>
      </c>
      <c r="H82" s="18">
        <v>0.2</v>
      </c>
      <c r="I82" s="20">
        <v>1.92</v>
      </c>
      <c r="J82" s="21">
        <v>0.2</v>
      </c>
      <c r="K82" s="20">
        <f t="shared" ca="1" si="2"/>
        <v>0.38</v>
      </c>
    </row>
    <row r="83" spans="2:11">
      <c r="B83" s="18" t="str">
        <f xml:space="preserve"> TRIM( "9781576755280" )</f>
        <v>9781576755280</v>
      </c>
      <c r="C83" s="18" t="str">
        <f xml:space="preserve"> TRIM( "9781576755280" )</f>
        <v>9781576755280</v>
      </c>
      <c r="D83" s="18" t="s">
        <v>205</v>
      </c>
      <c r="E83" s="18" t="s">
        <v>37</v>
      </c>
      <c r="F83" s="18" t="s">
        <v>206</v>
      </c>
      <c r="G83" s="18" t="s">
        <v>39</v>
      </c>
      <c r="H83" s="18">
        <v>0.2</v>
      </c>
      <c r="I83" s="20">
        <v>1.93</v>
      </c>
      <c r="J83" s="21">
        <v>0.2</v>
      </c>
      <c r="K83" s="20">
        <f t="shared" ca="1" si="2"/>
        <v>0.39</v>
      </c>
    </row>
    <row r="84" spans="2:11">
      <c r="B84" s="18" t="str">
        <f xml:space="preserve"> TRIM( "9781576755297" )</f>
        <v>9781576755297</v>
      </c>
      <c r="C84" s="18" t="str">
        <f xml:space="preserve"> TRIM( "9781576755297" )</f>
        <v>9781576755297</v>
      </c>
      <c r="D84" s="18" t="s">
        <v>208</v>
      </c>
      <c r="E84" s="18" t="s">
        <v>37</v>
      </c>
      <c r="F84" s="18" t="s">
        <v>209</v>
      </c>
      <c r="G84" s="18" t="s">
        <v>39</v>
      </c>
      <c r="H84" s="18">
        <v>0.2</v>
      </c>
      <c r="I84" s="20">
        <v>1.92</v>
      </c>
      <c r="J84" s="21">
        <v>0.2</v>
      </c>
      <c r="K84" s="20">
        <f t="shared" ca="1" si="2"/>
        <v>0.38</v>
      </c>
    </row>
    <row r="85" spans="2:11">
      <c r="B85" s="18" t="str">
        <f xml:space="preserve"> TRIM( "9781576755310" )</f>
        <v>9781576755310</v>
      </c>
      <c r="C85" s="18" t="str">
        <f xml:space="preserve"> TRIM( "9781576755310" )</f>
        <v>9781576755310</v>
      </c>
      <c r="D85" s="18" t="s">
        <v>211</v>
      </c>
      <c r="E85" s="18" t="s">
        <v>37</v>
      </c>
      <c r="F85" s="18" t="s">
        <v>212</v>
      </c>
      <c r="G85" s="18" t="s">
        <v>39</v>
      </c>
      <c r="H85" s="18">
        <v>0.2</v>
      </c>
      <c r="I85" s="20">
        <v>2.63</v>
      </c>
      <c r="J85" s="21">
        <v>0.2</v>
      </c>
      <c r="K85" s="20">
        <f t="shared" ca="1" si="2"/>
        <v>0.53</v>
      </c>
    </row>
    <row r="86" spans="2:11">
      <c r="B86" s="18" t="str">
        <f xml:space="preserve"> TRIM( "9781576755310" )</f>
        <v>9781576755310</v>
      </c>
      <c r="C86" s="18" t="str">
        <f xml:space="preserve"> TRIM( "9781576755310" )</f>
        <v>9781576755310</v>
      </c>
      <c r="D86" s="18" t="s">
        <v>211</v>
      </c>
      <c r="E86" s="18" t="s">
        <v>37</v>
      </c>
      <c r="F86" s="18" t="s">
        <v>212</v>
      </c>
      <c r="G86" s="18" t="s">
        <v>40</v>
      </c>
      <c r="H86" s="18">
        <v>0.25</v>
      </c>
      <c r="I86" s="20">
        <v>0.14000000000000001</v>
      </c>
      <c r="J86" s="21">
        <v>0.25</v>
      </c>
      <c r="K86" s="20">
        <f t="shared" ca="1" si="2"/>
        <v>0.04</v>
      </c>
    </row>
    <row r="87" spans="2:11">
      <c r="B87" s="18" t="str">
        <f xml:space="preserve"> TRIM( "9781576755334" )</f>
        <v>9781576755334</v>
      </c>
      <c r="C87" s="18" t="str">
        <f xml:space="preserve"> TRIM( "9781576755334" )</f>
        <v>9781576755334</v>
      </c>
      <c r="D87" s="18" t="s">
        <v>214</v>
      </c>
      <c r="E87" s="18" t="s">
        <v>37</v>
      </c>
      <c r="F87" s="18" t="s">
        <v>215</v>
      </c>
      <c r="G87" s="18" t="s">
        <v>39</v>
      </c>
      <c r="H87" s="18">
        <v>0.2</v>
      </c>
      <c r="I87" s="20">
        <v>3.92</v>
      </c>
      <c r="J87" s="21">
        <v>0.2</v>
      </c>
      <c r="K87" s="20">
        <f t="shared" ca="1" si="2"/>
        <v>0.78</v>
      </c>
    </row>
    <row r="88" spans="2:11">
      <c r="B88" s="18" t="str">
        <f xml:space="preserve"> TRIM( "9781576755334" )</f>
        <v>9781576755334</v>
      </c>
      <c r="C88" s="18" t="str">
        <f xml:space="preserve"> TRIM( "9781576755334" )</f>
        <v>9781576755334</v>
      </c>
      <c r="D88" s="18" t="s">
        <v>214</v>
      </c>
      <c r="E88" s="18" t="s">
        <v>37</v>
      </c>
      <c r="F88" s="18" t="s">
        <v>215</v>
      </c>
      <c r="G88" s="18" t="s">
        <v>40</v>
      </c>
      <c r="H88" s="18">
        <v>0.25</v>
      </c>
      <c r="I88" s="20">
        <v>0.11</v>
      </c>
      <c r="J88" s="21">
        <v>0.25</v>
      </c>
      <c r="K88" s="20">
        <f t="shared" ca="1" si="2"/>
        <v>0.03</v>
      </c>
    </row>
    <row r="89" spans="2:11">
      <c r="B89" s="18" t="str">
        <f xml:space="preserve"> TRIM( "9781576755358" )</f>
        <v>9781576755358</v>
      </c>
      <c r="C89" s="18" t="str">
        <f xml:space="preserve"> TRIM( "9781576755358" )</f>
        <v>9781576755358</v>
      </c>
      <c r="D89" s="18" t="s">
        <v>217</v>
      </c>
      <c r="E89" s="18" t="s">
        <v>37</v>
      </c>
      <c r="F89" s="18" t="s">
        <v>218</v>
      </c>
      <c r="G89" s="18" t="s">
        <v>39</v>
      </c>
      <c r="H89" s="18">
        <v>0.2</v>
      </c>
      <c r="I89" s="20">
        <v>11.4</v>
      </c>
      <c r="J89" s="21">
        <v>0.2</v>
      </c>
      <c r="K89" s="20">
        <f t="shared" ca="1" si="2"/>
        <v>2.2799999999999998</v>
      </c>
    </row>
    <row r="90" spans="2:11">
      <c r="B90" s="18" t="str">
        <f xml:space="preserve"> TRIM( "9781576755396" )</f>
        <v>9781576755396</v>
      </c>
      <c r="C90" s="18" t="str">
        <f xml:space="preserve"> TRIM( "9781576755396" )</f>
        <v>9781576755396</v>
      </c>
      <c r="D90" s="18" t="s">
        <v>220</v>
      </c>
      <c r="E90" s="18" t="s">
        <v>37</v>
      </c>
      <c r="F90" s="18" t="s">
        <v>221</v>
      </c>
      <c r="G90" s="18" t="s">
        <v>39</v>
      </c>
      <c r="H90" s="18">
        <v>0.2</v>
      </c>
      <c r="I90" s="20">
        <v>2.36</v>
      </c>
      <c r="J90" s="21">
        <v>0.2</v>
      </c>
      <c r="K90" s="20">
        <f t="shared" ca="1" si="2"/>
        <v>0.47</v>
      </c>
    </row>
    <row r="91" spans="2:11">
      <c r="B91" s="18" t="str">
        <f xml:space="preserve"> TRIM( "9781576755396" )</f>
        <v>9781576755396</v>
      </c>
      <c r="C91" s="18" t="str">
        <f xml:space="preserve"> TRIM( "9781576755396" )</f>
        <v>9781576755396</v>
      </c>
      <c r="D91" s="18" t="s">
        <v>220</v>
      </c>
      <c r="E91" s="18" t="s">
        <v>37</v>
      </c>
      <c r="F91" s="18" t="s">
        <v>221</v>
      </c>
      <c r="G91" s="18" t="s">
        <v>40</v>
      </c>
      <c r="H91" s="18">
        <v>0.25</v>
      </c>
      <c r="I91" s="20">
        <v>0.01</v>
      </c>
      <c r="J91" s="21">
        <v>0.25</v>
      </c>
      <c r="K91" s="20">
        <f t="shared" ca="1" si="2"/>
        <v>0</v>
      </c>
    </row>
    <row r="92" spans="2:11">
      <c r="B92" s="18" t="str">
        <f xml:space="preserve"> TRIM( "9781576755426" )</f>
        <v>9781576755426</v>
      </c>
      <c r="C92" s="18" t="str">
        <f xml:space="preserve"> TRIM( "9781576755426" )</f>
        <v>9781576755426</v>
      </c>
      <c r="D92" s="18" t="s">
        <v>223</v>
      </c>
      <c r="E92" s="18" t="s">
        <v>37</v>
      </c>
      <c r="F92" s="18" t="s">
        <v>224</v>
      </c>
      <c r="G92" s="18" t="s">
        <v>39</v>
      </c>
      <c r="H92" s="18">
        <v>0.2</v>
      </c>
      <c r="I92" s="20">
        <v>1.93</v>
      </c>
      <c r="J92" s="21">
        <v>0.2</v>
      </c>
      <c r="K92" s="20">
        <f t="shared" ca="1" si="2"/>
        <v>0.39</v>
      </c>
    </row>
    <row r="93" spans="2:11">
      <c r="B93" s="18" t="str">
        <f xml:space="preserve"> TRIM( "9781576755433" )</f>
        <v>9781576755433</v>
      </c>
      <c r="C93" s="18" t="str">
        <f xml:space="preserve"> TRIM( "9781576755433" )</f>
        <v>9781576755433</v>
      </c>
      <c r="D93" s="18" t="s">
        <v>226</v>
      </c>
      <c r="E93" s="18" t="s">
        <v>37</v>
      </c>
      <c r="F93" s="18" t="s">
        <v>227</v>
      </c>
      <c r="G93" s="18" t="s">
        <v>39</v>
      </c>
      <c r="H93" s="18">
        <v>0.2</v>
      </c>
      <c r="I93" s="20">
        <v>2.02</v>
      </c>
      <c r="J93" s="21">
        <v>0.2</v>
      </c>
      <c r="K93" s="20">
        <f t="shared" ca="1" si="2"/>
        <v>0.4</v>
      </c>
    </row>
    <row r="94" spans="2:11">
      <c r="B94" s="18" t="str">
        <f xml:space="preserve"> TRIM( "9781576755464" )</f>
        <v>9781576755464</v>
      </c>
      <c r="C94" s="18" t="str">
        <f xml:space="preserve"> TRIM( "9781576755464" )</f>
        <v>9781576755464</v>
      </c>
      <c r="D94" s="18" t="s">
        <v>229</v>
      </c>
      <c r="E94" s="18" t="s">
        <v>37</v>
      </c>
      <c r="F94" s="18" t="s">
        <v>230</v>
      </c>
      <c r="G94" s="18" t="s">
        <v>39</v>
      </c>
      <c r="H94" s="18">
        <v>0.2</v>
      </c>
      <c r="I94" s="20">
        <v>3.42</v>
      </c>
      <c r="J94" s="21">
        <v>0.2</v>
      </c>
      <c r="K94" s="20">
        <f t="shared" ca="1" si="2"/>
        <v>0.68</v>
      </c>
    </row>
    <row r="95" spans="2:11">
      <c r="B95" s="18" t="str">
        <f xml:space="preserve"> TRIM( "9781576755464" )</f>
        <v>9781576755464</v>
      </c>
      <c r="C95" s="18" t="str">
        <f xml:space="preserve"> TRIM( "9781576755464" )</f>
        <v>9781576755464</v>
      </c>
      <c r="D95" s="18" t="s">
        <v>229</v>
      </c>
      <c r="E95" s="18" t="s">
        <v>37</v>
      </c>
      <c r="F95" s="18" t="s">
        <v>230</v>
      </c>
      <c r="G95" s="18" t="s">
        <v>40</v>
      </c>
      <c r="H95" s="18">
        <v>0.25</v>
      </c>
      <c r="I95" s="20">
        <v>0.12</v>
      </c>
      <c r="J95" s="21">
        <v>0.25</v>
      </c>
      <c r="K95" s="20">
        <f t="shared" ca="1" si="2"/>
        <v>0.03</v>
      </c>
    </row>
    <row r="96" spans="2:11">
      <c r="B96" s="18" t="str">
        <f xml:space="preserve"> TRIM( "9781576755471" )</f>
        <v>9781576755471</v>
      </c>
      <c r="C96" s="18" t="str">
        <f xml:space="preserve"> TRIM( "9781576755471" )</f>
        <v>9781576755471</v>
      </c>
      <c r="D96" s="18" t="s">
        <v>232</v>
      </c>
      <c r="E96" s="18" t="s">
        <v>37</v>
      </c>
      <c r="F96" s="18" t="s">
        <v>233</v>
      </c>
      <c r="G96" s="18" t="s">
        <v>39</v>
      </c>
      <c r="H96" s="18">
        <v>0.2</v>
      </c>
      <c r="I96" s="20">
        <v>1.98</v>
      </c>
      <c r="J96" s="21">
        <v>0.2</v>
      </c>
      <c r="K96" s="20">
        <f t="shared" ca="1" si="2"/>
        <v>0.4</v>
      </c>
    </row>
    <row r="97" spans="2:11">
      <c r="B97" s="18" t="str">
        <f xml:space="preserve"> TRIM( "9781576755488" )</f>
        <v>9781576755488</v>
      </c>
      <c r="C97" s="18" t="str">
        <f xml:space="preserve"> TRIM( "9781576755488" )</f>
        <v>9781576755488</v>
      </c>
      <c r="D97" s="18" t="s">
        <v>235</v>
      </c>
      <c r="E97" s="18" t="s">
        <v>37</v>
      </c>
      <c r="F97" s="18" t="s">
        <v>236</v>
      </c>
      <c r="G97" s="18" t="s">
        <v>39</v>
      </c>
      <c r="H97" s="18">
        <v>0.2</v>
      </c>
      <c r="I97" s="20">
        <v>3.01</v>
      </c>
      <c r="J97" s="21">
        <v>0.2</v>
      </c>
      <c r="K97" s="20">
        <f t="shared" ca="1" si="2"/>
        <v>0.6</v>
      </c>
    </row>
    <row r="98" spans="2:11">
      <c r="B98" s="18" t="str">
        <f xml:space="preserve"> TRIM( "9781576755488" )</f>
        <v>9781576755488</v>
      </c>
      <c r="C98" s="18" t="str">
        <f xml:space="preserve"> TRIM( "9781576755488" )</f>
        <v>9781576755488</v>
      </c>
      <c r="D98" s="18" t="s">
        <v>235</v>
      </c>
      <c r="E98" s="18" t="s">
        <v>37</v>
      </c>
      <c r="F98" s="18" t="s">
        <v>236</v>
      </c>
      <c r="G98" s="18" t="s">
        <v>40</v>
      </c>
      <c r="H98" s="18">
        <v>0.25</v>
      </c>
      <c r="I98" s="20">
        <v>0.69</v>
      </c>
      <c r="J98" s="21">
        <v>0.25</v>
      </c>
      <c r="K98" s="20">
        <f t="shared" ca="1" si="2"/>
        <v>0.17</v>
      </c>
    </row>
    <row r="99" spans="2:11">
      <c r="B99" s="18" t="str">
        <f xml:space="preserve"> TRIM( "9781576755495" )</f>
        <v>9781576755495</v>
      </c>
      <c r="C99" s="18" t="str">
        <f xml:space="preserve"> TRIM( "9781576755495" )</f>
        <v>9781576755495</v>
      </c>
      <c r="D99" s="18" t="s">
        <v>238</v>
      </c>
      <c r="E99" s="18" t="s">
        <v>37</v>
      </c>
      <c r="F99" s="18" t="s">
        <v>239</v>
      </c>
      <c r="G99" s="18" t="s">
        <v>39</v>
      </c>
      <c r="H99" s="18">
        <v>0.2</v>
      </c>
      <c r="I99" s="20">
        <v>1.92</v>
      </c>
      <c r="J99" s="21">
        <v>0.2</v>
      </c>
      <c r="K99" s="20">
        <f t="shared" ca="1" si="2"/>
        <v>0.38</v>
      </c>
    </row>
    <row r="100" spans="2:11">
      <c r="B100" s="18" t="str">
        <f xml:space="preserve"> TRIM( "9781576755501" )</f>
        <v>9781576755501</v>
      </c>
      <c r="C100" s="18" t="str">
        <f xml:space="preserve"> TRIM( "9781576755501" )</f>
        <v>9781576755501</v>
      </c>
      <c r="D100" s="18" t="s">
        <v>241</v>
      </c>
      <c r="E100" s="18" t="s">
        <v>37</v>
      </c>
      <c r="F100" s="18" t="s">
        <v>242</v>
      </c>
      <c r="G100" s="18" t="s">
        <v>39</v>
      </c>
      <c r="H100" s="18">
        <v>0.2</v>
      </c>
      <c r="I100" s="20">
        <v>2.42</v>
      </c>
      <c r="J100" s="21">
        <v>0.2</v>
      </c>
      <c r="K100" s="20">
        <f t="shared" ca="1" si="2"/>
        <v>0.48</v>
      </c>
    </row>
    <row r="101" spans="2:11">
      <c r="B101" s="18" t="str">
        <f xml:space="preserve"> TRIM( "9781576755518" )</f>
        <v>9781576755518</v>
      </c>
      <c r="C101" s="18" t="str">
        <f xml:space="preserve"> TRIM( "9781576755518" )</f>
        <v>9781576755518</v>
      </c>
      <c r="D101" s="18" t="s">
        <v>244</v>
      </c>
      <c r="E101" s="18" t="s">
        <v>37</v>
      </c>
      <c r="F101" s="18" t="s">
        <v>245</v>
      </c>
      <c r="G101" s="18" t="s">
        <v>39</v>
      </c>
      <c r="H101" s="18">
        <v>0.2</v>
      </c>
      <c r="I101" s="20">
        <v>23.41</v>
      </c>
      <c r="J101" s="21">
        <v>0.2</v>
      </c>
      <c r="K101" s="20">
        <f t="shared" ca="1" si="2"/>
        <v>4.68</v>
      </c>
    </row>
    <row r="102" spans="2:11">
      <c r="B102" s="18" t="str">
        <f xml:space="preserve"> TRIM( "9781576755518" )</f>
        <v>9781576755518</v>
      </c>
      <c r="C102" s="18" t="str">
        <f xml:space="preserve"> TRIM( "9781576755518" )</f>
        <v>9781576755518</v>
      </c>
      <c r="D102" s="18" t="s">
        <v>244</v>
      </c>
      <c r="E102" s="18" t="s">
        <v>37</v>
      </c>
      <c r="F102" s="18" t="s">
        <v>245</v>
      </c>
      <c r="G102" s="18" t="s">
        <v>40</v>
      </c>
      <c r="H102" s="18">
        <v>0.25</v>
      </c>
      <c r="I102" s="20">
        <v>2.92</v>
      </c>
      <c r="J102" s="21">
        <v>0.25</v>
      </c>
      <c r="K102" s="20">
        <f t="shared" ca="1" si="2"/>
        <v>0.73</v>
      </c>
    </row>
    <row r="103" spans="2:11">
      <c r="B103" s="18" t="str">
        <f xml:space="preserve"> TRIM( "9781576755549" )</f>
        <v>9781576755549</v>
      </c>
      <c r="C103" s="18" t="str">
        <f xml:space="preserve"> TRIM( "9781576755549" )</f>
        <v>9781576755549</v>
      </c>
      <c r="D103" s="18" t="s">
        <v>247</v>
      </c>
      <c r="E103" s="18" t="s">
        <v>37</v>
      </c>
      <c r="F103" s="18" t="s">
        <v>248</v>
      </c>
      <c r="G103" s="18" t="s">
        <v>39</v>
      </c>
      <c r="H103" s="18">
        <v>0.2</v>
      </c>
      <c r="I103" s="20">
        <v>2.2400000000000002</v>
      </c>
      <c r="J103" s="21">
        <v>0.2</v>
      </c>
      <c r="K103" s="20">
        <f t="shared" ca="1" si="2"/>
        <v>0.45</v>
      </c>
    </row>
    <row r="104" spans="2:11">
      <c r="B104" s="18" t="str">
        <f xml:space="preserve"> TRIM( "9781576755549" )</f>
        <v>9781576755549</v>
      </c>
      <c r="C104" s="18" t="str">
        <f xml:space="preserve"> TRIM( "9781576755549" )</f>
        <v>9781576755549</v>
      </c>
      <c r="D104" s="18" t="s">
        <v>247</v>
      </c>
      <c r="E104" s="18" t="s">
        <v>37</v>
      </c>
      <c r="F104" s="18" t="s">
        <v>248</v>
      </c>
      <c r="G104" s="18" t="s">
        <v>40</v>
      </c>
      <c r="H104" s="18">
        <v>0.25</v>
      </c>
      <c r="I104" s="20">
        <v>0.1</v>
      </c>
      <c r="J104" s="21">
        <v>0.25</v>
      </c>
      <c r="K104" s="20">
        <f t="shared" ca="1" si="2"/>
        <v>0.03</v>
      </c>
    </row>
    <row r="105" spans="2:11">
      <c r="B105" s="18" t="str">
        <f xml:space="preserve"> TRIM( "9781576755563" )</f>
        <v>9781576755563</v>
      </c>
      <c r="C105" s="18" t="str">
        <f xml:space="preserve"> TRIM( "9781576755563" )</f>
        <v>9781576755563</v>
      </c>
      <c r="D105" s="18" t="s">
        <v>250</v>
      </c>
      <c r="E105" s="18" t="s">
        <v>37</v>
      </c>
      <c r="F105" s="18" t="s">
        <v>61</v>
      </c>
      <c r="G105" s="18" t="s">
        <v>39</v>
      </c>
      <c r="H105" s="18">
        <v>0.2</v>
      </c>
      <c r="I105" s="20">
        <v>7.46</v>
      </c>
      <c r="J105" s="21">
        <v>0.2</v>
      </c>
      <c r="K105" s="20">
        <f t="shared" ca="1" si="2"/>
        <v>1.49</v>
      </c>
    </row>
    <row r="106" spans="2:11">
      <c r="B106" s="18" t="str">
        <f xml:space="preserve"> TRIM( "9781576755563" )</f>
        <v>9781576755563</v>
      </c>
      <c r="C106" s="18" t="str">
        <f xml:space="preserve"> TRIM( "9781576755563" )</f>
        <v>9781576755563</v>
      </c>
      <c r="D106" s="18" t="s">
        <v>250</v>
      </c>
      <c r="E106" s="18" t="s">
        <v>37</v>
      </c>
      <c r="F106" s="18" t="s">
        <v>61</v>
      </c>
      <c r="G106" s="18" t="s">
        <v>40</v>
      </c>
      <c r="H106" s="18">
        <v>0.25</v>
      </c>
      <c r="I106" s="20">
        <v>2.76</v>
      </c>
      <c r="J106" s="21">
        <v>0.25</v>
      </c>
      <c r="K106" s="20">
        <f t="shared" ca="1" si="2"/>
        <v>0.69</v>
      </c>
    </row>
    <row r="107" spans="2:11">
      <c r="B107" s="18" t="str">
        <f xml:space="preserve"> TRIM( "9781576755754" )</f>
        <v>9781576755754</v>
      </c>
      <c r="C107" s="18" t="str">
        <f xml:space="preserve"> TRIM( "9781576755754" )</f>
        <v>9781576755754</v>
      </c>
      <c r="D107" s="18" t="s">
        <v>252</v>
      </c>
      <c r="E107" s="18" t="s">
        <v>37</v>
      </c>
      <c r="F107" s="18" t="s">
        <v>253</v>
      </c>
      <c r="G107" s="18" t="s">
        <v>39</v>
      </c>
      <c r="H107" s="18">
        <v>0.2</v>
      </c>
      <c r="I107" s="20">
        <v>2.5099999999999998</v>
      </c>
      <c r="J107" s="21">
        <v>0.2</v>
      </c>
      <c r="K107" s="20">
        <f t="shared" ca="1" si="2"/>
        <v>0.5</v>
      </c>
    </row>
    <row r="108" spans="2:11">
      <c r="B108" s="18" t="str">
        <f xml:space="preserve"> TRIM( "9781576755754" )</f>
        <v>9781576755754</v>
      </c>
      <c r="C108" s="18" t="str">
        <f xml:space="preserve"> TRIM( "9781576755754" )</f>
        <v>9781576755754</v>
      </c>
      <c r="D108" s="18" t="s">
        <v>252</v>
      </c>
      <c r="E108" s="18" t="s">
        <v>37</v>
      </c>
      <c r="F108" s="18" t="s">
        <v>253</v>
      </c>
      <c r="G108" s="18" t="s">
        <v>40</v>
      </c>
      <c r="H108" s="18">
        <v>0.25</v>
      </c>
      <c r="I108" s="20">
        <v>12.22</v>
      </c>
      <c r="J108" s="21">
        <v>0.25</v>
      </c>
      <c r="K108" s="20">
        <f t="shared" ca="1" si="2"/>
        <v>3.06</v>
      </c>
    </row>
    <row r="109" spans="2:11">
      <c r="B109" s="18" t="str">
        <f xml:space="preserve"> TRIM( "9781576755822" )</f>
        <v>9781576755822</v>
      </c>
      <c r="C109" s="18" t="str">
        <f xml:space="preserve"> TRIM( " " )</f>
        <v/>
      </c>
      <c r="D109" s="18" t="s">
        <v>255</v>
      </c>
      <c r="E109" s="18" t="s">
        <v>37</v>
      </c>
      <c r="F109" s="18" t="s">
        <v>256</v>
      </c>
      <c r="G109" s="18" t="s">
        <v>39</v>
      </c>
      <c r="H109" s="18">
        <v>0.2</v>
      </c>
      <c r="I109" s="20">
        <v>5.16</v>
      </c>
      <c r="J109" s="21">
        <v>0.2</v>
      </c>
      <c r="K109" s="20">
        <f t="shared" ca="1" si="2"/>
        <v>1.03</v>
      </c>
    </row>
    <row r="110" spans="2:11">
      <c r="B110" s="18" t="str">
        <f xml:space="preserve"> TRIM( "9781576755822" )</f>
        <v>9781576755822</v>
      </c>
      <c r="C110" s="18" t="str">
        <f xml:space="preserve"> TRIM( " " )</f>
        <v/>
      </c>
      <c r="D110" s="18" t="s">
        <v>255</v>
      </c>
      <c r="E110" s="18" t="s">
        <v>37</v>
      </c>
      <c r="F110" s="18" t="s">
        <v>256</v>
      </c>
      <c r="G110" s="18" t="s">
        <v>40</v>
      </c>
      <c r="H110" s="18">
        <v>0.25</v>
      </c>
      <c r="I110" s="20">
        <v>2.0099999999999998</v>
      </c>
      <c r="J110" s="21">
        <v>0.25</v>
      </c>
      <c r="K110" s="20">
        <f t="shared" ca="1" si="2"/>
        <v>0.5</v>
      </c>
    </row>
    <row r="111" spans="2:11">
      <c r="B111" s="18" t="str">
        <f xml:space="preserve"> TRIM( "9781576755884" )</f>
        <v>9781576755884</v>
      </c>
      <c r="C111" s="18" t="str">
        <f xml:space="preserve"> TRIM( "9781576755884" )</f>
        <v>9781576755884</v>
      </c>
      <c r="D111" s="18" t="s">
        <v>258</v>
      </c>
      <c r="E111" s="18" t="s">
        <v>37</v>
      </c>
      <c r="F111" s="18" t="s">
        <v>259</v>
      </c>
      <c r="G111" s="18" t="s">
        <v>39</v>
      </c>
      <c r="H111" s="18">
        <v>0.2</v>
      </c>
      <c r="I111" s="20">
        <v>2.4700000000000002</v>
      </c>
      <c r="J111" s="21">
        <v>0.2</v>
      </c>
      <c r="K111" s="20">
        <f t="shared" ca="1" si="2"/>
        <v>0.49</v>
      </c>
    </row>
    <row r="112" spans="2:11">
      <c r="B112" s="18" t="str">
        <f xml:space="preserve"> TRIM( "9781576755921" )</f>
        <v>9781576755921</v>
      </c>
      <c r="C112" s="18" t="str">
        <f xml:space="preserve"> TRIM( "9781576755921" )</f>
        <v>9781576755921</v>
      </c>
      <c r="D112" s="18" t="s">
        <v>261</v>
      </c>
      <c r="E112" s="18" t="s">
        <v>37</v>
      </c>
      <c r="F112" s="18" t="s">
        <v>262</v>
      </c>
      <c r="G112" s="18" t="s">
        <v>39</v>
      </c>
      <c r="H112" s="18">
        <v>0.2</v>
      </c>
      <c r="I112" s="20">
        <v>10.87</v>
      </c>
      <c r="J112" s="21">
        <v>0.2</v>
      </c>
      <c r="K112" s="20">
        <f t="shared" ca="1" si="2"/>
        <v>2.17</v>
      </c>
    </row>
    <row r="113" spans="2:11">
      <c r="B113" s="18" t="str">
        <f xml:space="preserve"> TRIM( "9781576755921" )</f>
        <v>9781576755921</v>
      </c>
      <c r="C113" s="18" t="str">
        <f xml:space="preserve"> TRIM( "9781576755921" )</f>
        <v>9781576755921</v>
      </c>
      <c r="D113" s="18" t="s">
        <v>261</v>
      </c>
      <c r="E113" s="18" t="s">
        <v>37</v>
      </c>
      <c r="F113" s="18" t="s">
        <v>262</v>
      </c>
      <c r="G113" s="18" t="s">
        <v>40</v>
      </c>
      <c r="H113" s="18">
        <v>0.25</v>
      </c>
      <c r="I113" s="20">
        <v>0.45</v>
      </c>
      <c r="J113" s="21">
        <v>0.25</v>
      </c>
      <c r="K113" s="20">
        <f t="shared" ca="1" si="2"/>
        <v>0.11</v>
      </c>
    </row>
    <row r="114" spans="2:11">
      <c r="B114" s="18" t="str">
        <f xml:space="preserve"> TRIM( "9781576755938" )</f>
        <v>9781576755938</v>
      </c>
      <c r="C114" s="18" t="str">
        <f xml:space="preserve"> TRIM( "9781576755938" )</f>
        <v>9781576755938</v>
      </c>
      <c r="D114" s="18" t="s">
        <v>264</v>
      </c>
      <c r="E114" s="18" t="s">
        <v>37</v>
      </c>
      <c r="F114" s="18" t="s">
        <v>265</v>
      </c>
      <c r="G114" s="18" t="s">
        <v>39</v>
      </c>
      <c r="H114" s="18">
        <v>0.2</v>
      </c>
      <c r="I114" s="20">
        <v>2.31</v>
      </c>
      <c r="J114" s="21">
        <v>0.2</v>
      </c>
      <c r="K114" s="20">
        <f t="shared" ca="1" si="2"/>
        <v>0.46</v>
      </c>
    </row>
    <row r="115" spans="2:11">
      <c r="B115" s="18" t="str">
        <f xml:space="preserve"> TRIM( "9781576756188" )</f>
        <v>9781576756188</v>
      </c>
      <c r="C115" s="18" t="str">
        <f xml:space="preserve"> TRIM( "9781576756188" )</f>
        <v>9781576756188</v>
      </c>
      <c r="D115" s="18" t="s">
        <v>267</v>
      </c>
      <c r="E115" s="18" t="s">
        <v>37</v>
      </c>
      <c r="F115" s="18" t="s">
        <v>268</v>
      </c>
      <c r="G115" s="18" t="s">
        <v>39</v>
      </c>
      <c r="H115" s="18">
        <v>0.2</v>
      </c>
      <c r="I115" s="20">
        <v>2.48</v>
      </c>
      <c r="J115" s="21">
        <v>0.2</v>
      </c>
      <c r="K115" s="20">
        <f t="shared" ca="1" si="2"/>
        <v>0.5</v>
      </c>
    </row>
    <row r="116" spans="2:11">
      <c r="B116" s="18" t="str">
        <f xml:space="preserve"> TRIM( "9781576756201" )</f>
        <v>9781576756201</v>
      </c>
      <c r="C116" s="18" t="str">
        <f xml:space="preserve"> TRIM( "9781576756201" )</f>
        <v>9781576756201</v>
      </c>
      <c r="D116" s="18" t="s">
        <v>270</v>
      </c>
      <c r="E116" s="18" t="s">
        <v>37</v>
      </c>
      <c r="F116" s="18" t="s">
        <v>271</v>
      </c>
      <c r="G116" s="18" t="s">
        <v>39</v>
      </c>
      <c r="H116" s="18">
        <v>0.2</v>
      </c>
      <c r="I116" s="20">
        <v>12.78</v>
      </c>
      <c r="J116" s="21">
        <v>0.2</v>
      </c>
      <c r="K116" s="20">
        <f t="shared" ca="1" si="2"/>
        <v>2.56</v>
      </c>
    </row>
    <row r="117" spans="2:11">
      <c r="B117" s="18" t="str">
        <f xml:space="preserve"> TRIM( "9781576757703" )</f>
        <v>9781576757703</v>
      </c>
      <c r="C117" s="18" t="str">
        <f xml:space="preserve"> TRIM( "9781576757703" )</f>
        <v>9781576757703</v>
      </c>
      <c r="D117" s="18" t="s">
        <v>273</v>
      </c>
      <c r="E117" s="18" t="s">
        <v>37</v>
      </c>
      <c r="F117" s="18" t="s">
        <v>274</v>
      </c>
      <c r="G117" s="18" t="s">
        <v>39</v>
      </c>
      <c r="H117" s="18">
        <v>0.2</v>
      </c>
      <c r="I117" s="20">
        <v>1.92</v>
      </c>
      <c r="J117" s="21">
        <v>0.2</v>
      </c>
      <c r="K117" s="20">
        <f t="shared" ca="1" si="2"/>
        <v>0.38</v>
      </c>
    </row>
    <row r="118" spans="2:11">
      <c r="B118" s="18" t="str">
        <f xml:space="preserve"> TRIM( "9781576757734" )</f>
        <v>9781576757734</v>
      </c>
      <c r="C118" s="18" t="str">
        <f xml:space="preserve"> TRIM( "9781576757734" )</f>
        <v>9781576757734</v>
      </c>
      <c r="D118" s="18" t="s">
        <v>276</v>
      </c>
      <c r="E118" s="18" t="s">
        <v>37</v>
      </c>
      <c r="F118" s="18" t="s">
        <v>277</v>
      </c>
      <c r="G118" s="18" t="s">
        <v>39</v>
      </c>
      <c r="H118" s="18">
        <v>0.2</v>
      </c>
      <c r="I118" s="20">
        <v>58.1</v>
      </c>
      <c r="J118" s="21">
        <v>0.2</v>
      </c>
      <c r="K118" s="20">
        <f t="shared" ca="1" si="2"/>
        <v>11.62</v>
      </c>
    </row>
    <row r="119" spans="2:11">
      <c r="B119" s="18" t="str">
        <f xml:space="preserve"> TRIM( "9781576757734" )</f>
        <v>9781576757734</v>
      </c>
      <c r="C119" s="18" t="str">
        <f xml:space="preserve"> TRIM( "9781576757734" )</f>
        <v>9781576757734</v>
      </c>
      <c r="D119" s="18" t="s">
        <v>276</v>
      </c>
      <c r="E119" s="18" t="s">
        <v>37</v>
      </c>
      <c r="F119" s="18" t="s">
        <v>277</v>
      </c>
      <c r="G119" s="18" t="s">
        <v>40</v>
      </c>
      <c r="H119" s="18">
        <v>0.25</v>
      </c>
      <c r="I119" s="20">
        <v>0.62</v>
      </c>
      <c r="J119" s="21">
        <v>0.25</v>
      </c>
      <c r="K119" s="20">
        <f t="shared" ca="1" si="2"/>
        <v>0.16</v>
      </c>
    </row>
    <row r="120" spans="2:11">
      <c r="B120" s="18" t="str">
        <f xml:space="preserve"> TRIM( "9781576757741" )</f>
        <v>9781576757741</v>
      </c>
      <c r="C120" s="18" t="str">
        <f xml:space="preserve"> TRIM( "9781576757741" )</f>
        <v>9781576757741</v>
      </c>
      <c r="D120" s="18" t="s">
        <v>279</v>
      </c>
      <c r="E120" s="18" t="s">
        <v>37</v>
      </c>
      <c r="F120" s="18" t="s">
        <v>280</v>
      </c>
      <c r="G120" s="18" t="s">
        <v>39</v>
      </c>
      <c r="H120" s="18">
        <v>0.2</v>
      </c>
      <c r="I120" s="20">
        <v>11.8</v>
      </c>
      <c r="J120" s="21">
        <v>0.2</v>
      </c>
      <c r="K120" s="20">
        <f t="shared" ca="1" si="2"/>
        <v>2.36</v>
      </c>
    </row>
    <row r="121" spans="2:11">
      <c r="B121" s="18" t="str">
        <f xml:space="preserve"> TRIM( "9781576757741" )</f>
        <v>9781576757741</v>
      </c>
      <c r="C121" s="18" t="str">
        <f xml:space="preserve"> TRIM( "9781576757741" )</f>
        <v>9781576757741</v>
      </c>
      <c r="D121" s="18" t="s">
        <v>279</v>
      </c>
      <c r="E121" s="18" t="s">
        <v>37</v>
      </c>
      <c r="F121" s="18" t="s">
        <v>280</v>
      </c>
      <c r="G121" s="18" t="s">
        <v>40</v>
      </c>
      <c r="H121" s="18">
        <v>0.25</v>
      </c>
      <c r="I121" s="20">
        <v>18.79</v>
      </c>
      <c r="J121" s="21">
        <v>0.25</v>
      </c>
      <c r="K121" s="20">
        <f t="shared" ca="1" si="2"/>
        <v>4.7</v>
      </c>
    </row>
    <row r="122" spans="2:11">
      <c r="B122" s="18" t="str">
        <f xml:space="preserve"> TRIM( "9781576757758" )</f>
        <v>9781576757758</v>
      </c>
      <c r="C122" s="18" t="str">
        <f xml:space="preserve"> TRIM( "9781576757758" )</f>
        <v>9781576757758</v>
      </c>
      <c r="D122" s="18" t="s">
        <v>282</v>
      </c>
      <c r="E122" s="18" t="s">
        <v>37</v>
      </c>
      <c r="F122" s="18" t="s">
        <v>283</v>
      </c>
      <c r="G122" s="18" t="s">
        <v>39</v>
      </c>
      <c r="H122" s="18">
        <v>0.2</v>
      </c>
      <c r="I122" s="20">
        <v>21.12</v>
      </c>
      <c r="J122" s="21">
        <v>0.2</v>
      </c>
      <c r="K122" s="20">
        <f t="shared" ca="1" si="2"/>
        <v>4.22</v>
      </c>
    </row>
    <row r="123" spans="2:11">
      <c r="B123" s="18" t="str">
        <f xml:space="preserve"> TRIM( "9781576757765" )</f>
        <v>9781576757765</v>
      </c>
      <c r="C123" s="18" t="str">
        <f xml:space="preserve"> TRIM( "9781576757765" )</f>
        <v>9781576757765</v>
      </c>
      <c r="D123" s="18" t="s">
        <v>285</v>
      </c>
      <c r="E123" s="18" t="s">
        <v>37</v>
      </c>
      <c r="F123" s="18" t="s">
        <v>133</v>
      </c>
      <c r="G123" s="18" t="s">
        <v>39</v>
      </c>
      <c r="H123" s="18">
        <v>0.2</v>
      </c>
      <c r="I123" s="20">
        <v>3.42</v>
      </c>
      <c r="J123" s="21">
        <v>0.2</v>
      </c>
      <c r="K123" s="20">
        <f t="shared" ca="1" si="2"/>
        <v>0.68</v>
      </c>
    </row>
    <row r="124" spans="2:11">
      <c r="B124" s="18" t="str">
        <f xml:space="preserve"> TRIM( "9781576757796" )</f>
        <v>9781576757796</v>
      </c>
      <c r="C124" s="18" t="str">
        <f xml:space="preserve"> TRIM( "9781576757796" )</f>
        <v>9781576757796</v>
      </c>
      <c r="D124" s="18" t="s">
        <v>287</v>
      </c>
      <c r="E124" s="18" t="s">
        <v>37</v>
      </c>
      <c r="F124" s="18" t="s">
        <v>288</v>
      </c>
      <c r="G124" s="18" t="s">
        <v>39</v>
      </c>
      <c r="H124" s="18">
        <v>0.2</v>
      </c>
      <c r="I124" s="20">
        <v>5.61</v>
      </c>
      <c r="J124" s="21">
        <v>0.2</v>
      </c>
      <c r="K124" s="20">
        <f t="shared" ca="1" si="2"/>
        <v>1.1200000000000001</v>
      </c>
    </row>
    <row r="125" spans="2:11">
      <c r="B125" s="18" t="str">
        <f xml:space="preserve"> TRIM( "9781576757802" )</f>
        <v>9781576757802</v>
      </c>
      <c r="C125" s="18" t="str">
        <f xml:space="preserve"> TRIM( "9781576757802" )</f>
        <v>9781576757802</v>
      </c>
      <c r="D125" s="18" t="s">
        <v>290</v>
      </c>
      <c r="E125" s="18" t="s">
        <v>37</v>
      </c>
      <c r="F125" s="18" t="s">
        <v>291</v>
      </c>
      <c r="G125" s="18" t="s">
        <v>39</v>
      </c>
      <c r="H125" s="18">
        <v>0.2</v>
      </c>
      <c r="I125" s="20">
        <v>2.3199999999999998</v>
      </c>
      <c r="J125" s="21">
        <v>0.2</v>
      </c>
      <c r="K125" s="20">
        <f t="shared" ca="1" si="2"/>
        <v>0.46</v>
      </c>
    </row>
    <row r="126" spans="2:11">
      <c r="B126" s="18" t="str">
        <f xml:space="preserve"> TRIM( "9781576757819" )</f>
        <v>9781576757819</v>
      </c>
      <c r="C126" s="18" t="str">
        <f xml:space="preserve"> TRIM( "9781576757819" )</f>
        <v>9781576757819</v>
      </c>
      <c r="D126" s="18" t="s">
        <v>293</v>
      </c>
      <c r="E126" s="18" t="s">
        <v>37</v>
      </c>
      <c r="F126" s="18" t="s">
        <v>294</v>
      </c>
      <c r="G126" s="18" t="s">
        <v>39</v>
      </c>
      <c r="H126" s="18">
        <v>0.2</v>
      </c>
      <c r="I126" s="20">
        <v>4.72</v>
      </c>
      <c r="J126" s="21">
        <v>0.2</v>
      </c>
      <c r="K126" s="20">
        <f t="shared" ca="1" si="2"/>
        <v>0.94</v>
      </c>
    </row>
    <row r="127" spans="2:11">
      <c r="B127" s="18" t="str">
        <f xml:space="preserve"> TRIM( "9781576757826" )</f>
        <v>9781576757826</v>
      </c>
      <c r="C127" s="18" t="str">
        <f xml:space="preserve"> TRIM( "9781576757826" )</f>
        <v>9781576757826</v>
      </c>
      <c r="D127" s="18" t="s">
        <v>296</v>
      </c>
      <c r="E127" s="18" t="s">
        <v>37</v>
      </c>
      <c r="F127" s="18" t="s">
        <v>297</v>
      </c>
      <c r="G127" s="18" t="s">
        <v>39</v>
      </c>
      <c r="H127" s="18">
        <v>0.2</v>
      </c>
      <c r="I127" s="20">
        <v>4.7699999999999996</v>
      </c>
      <c r="J127" s="21">
        <v>0.2</v>
      </c>
      <c r="K127" s="20">
        <f t="shared" ca="1" si="2"/>
        <v>0.95</v>
      </c>
    </row>
    <row r="128" spans="2:11">
      <c r="B128" s="18" t="str">
        <f xml:space="preserve"> TRIM( "9781576757833" )</f>
        <v>9781576757833</v>
      </c>
      <c r="C128" s="18" t="str">
        <f xml:space="preserve"> TRIM( "9781576757833" )</f>
        <v>9781576757833</v>
      </c>
      <c r="D128" s="18" t="s">
        <v>299</v>
      </c>
      <c r="E128" s="18" t="s">
        <v>37</v>
      </c>
      <c r="F128" s="18" t="s">
        <v>300</v>
      </c>
      <c r="G128" s="18" t="s">
        <v>39</v>
      </c>
      <c r="H128" s="18">
        <v>0.2</v>
      </c>
      <c r="I128" s="20">
        <v>1.92</v>
      </c>
      <c r="J128" s="21">
        <v>0.2</v>
      </c>
      <c r="K128" s="20">
        <f t="shared" ca="1" si="2"/>
        <v>0.38</v>
      </c>
    </row>
    <row r="129" spans="2:11">
      <c r="B129" s="18" t="str">
        <f xml:space="preserve"> TRIM( "9781576757888" )</f>
        <v>9781576757888</v>
      </c>
      <c r="C129" s="18" t="str">
        <f xml:space="preserve"> TRIM( "9781576757888" )</f>
        <v>9781576757888</v>
      </c>
      <c r="D129" s="18" t="s">
        <v>302</v>
      </c>
      <c r="E129" s="18" t="s">
        <v>37</v>
      </c>
      <c r="F129" s="18" t="s">
        <v>303</v>
      </c>
      <c r="G129" s="18" t="s">
        <v>39</v>
      </c>
      <c r="H129" s="18">
        <v>0.2</v>
      </c>
      <c r="I129" s="20">
        <v>1.93</v>
      </c>
      <c r="J129" s="21">
        <v>0.2</v>
      </c>
      <c r="K129" s="20">
        <f t="shared" ca="1" si="2"/>
        <v>0.39</v>
      </c>
    </row>
    <row r="130" spans="2:11">
      <c r="B130" s="18" t="str">
        <f xml:space="preserve"> TRIM( "9781576757932" )</f>
        <v>9781576757932</v>
      </c>
      <c r="C130" s="18" t="str">
        <f xml:space="preserve"> TRIM( "9781576757932" )</f>
        <v>9781576757932</v>
      </c>
      <c r="D130" s="18" t="s">
        <v>305</v>
      </c>
      <c r="E130" s="18" t="s">
        <v>37</v>
      </c>
      <c r="F130" s="18" t="s">
        <v>306</v>
      </c>
      <c r="G130" s="18" t="s">
        <v>39</v>
      </c>
      <c r="H130" s="18">
        <v>0.2</v>
      </c>
      <c r="I130" s="20">
        <v>3.62</v>
      </c>
      <c r="J130" s="21">
        <v>0.2</v>
      </c>
      <c r="K130" s="20">
        <f t="shared" ca="1" si="2"/>
        <v>0.72</v>
      </c>
    </row>
    <row r="131" spans="2:11">
      <c r="B131" s="18" t="str">
        <f xml:space="preserve"> TRIM( "9781576757932" )</f>
        <v>9781576757932</v>
      </c>
      <c r="C131" s="18" t="str">
        <f xml:space="preserve"> TRIM( "9781576757932" )</f>
        <v>9781576757932</v>
      </c>
      <c r="D131" s="18" t="s">
        <v>305</v>
      </c>
      <c r="E131" s="18" t="s">
        <v>37</v>
      </c>
      <c r="F131" s="18" t="s">
        <v>306</v>
      </c>
      <c r="G131" s="18" t="s">
        <v>40</v>
      </c>
      <c r="H131" s="18">
        <v>0.25</v>
      </c>
      <c r="I131" s="20">
        <v>10.93</v>
      </c>
      <c r="J131" s="21">
        <v>0.25</v>
      </c>
      <c r="K131" s="20">
        <f t="shared" ca="1" si="2"/>
        <v>2.73</v>
      </c>
    </row>
    <row r="132" spans="2:11">
      <c r="B132" s="18" t="str">
        <f xml:space="preserve"> TRIM( "9781576757956" )</f>
        <v>9781576757956</v>
      </c>
      <c r="C132" s="18" t="str">
        <f xml:space="preserve"> TRIM( "9781576757956" )</f>
        <v>9781576757956</v>
      </c>
      <c r="D132" s="18" t="s">
        <v>308</v>
      </c>
      <c r="E132" s="18" t="s">
        <v>37</v>
      </c>
      <c r="F132" s="18" t="s">
        <v>309</v>
      </c>
      <c r="G132" s="18" t="s">
        <v>39</v>
      </c>
      <c r="H132" s="18">
        <v>0.2</v>
      </c>
      <c r="I132" s="20">
        <v>2.3199999999999998</v>
      </c>
      <c r="J132" s="21">
        <v>0.2</v>
      </c>
      <c r="K132" s="20">
        <f t="shared" ca="1" si="2"/>
        <v>0.46</v>
      </c>
    </row>
    <row r="133" spans="2:11">
      <c r="B133" s="18" t="str">
        <f xml:space="preserve"> TRIM( "9781576757987" )</f>
        <v>9781576757987</v>
      </c>
      <c r="C133" s="18" t="str">
        <f xml:space="preserve"> TRIM( "9781576757987" )</f>
        <v>9781576757987</v>
      </c>
      <c r="D133" s="18" t="s">
        <v>311</v>
      </c>
      <c r="E133" s="18" t="s">
        <v>37</v>
      </c>
      <c r="F133" s="18" t="s">
        <v>312</v>
      </c>
      <c r="G133" s="18" t="s">
        <v>39</v>
      </c>
      <c r="H133" s="18">
        <v>0.2</v>
      </c>
      <c r="I133" s="20">
        <v>1.92</v>
      </c>
      <c r="J133" s="21">
        <v>0.2</v>
      </c>
      <c r="K133" s="20">
        <f t="shared" ca="1" si="2"/>
        <v>0.38</v>
      </c>
    </row>
    <row r="134" spans="2:11">
      <c r="B134" s="18" t="str">
        <f xml:space="preserve"> TRIM( "9781576758007" )</f>
        <v>9781576758007</v>
      </c>
      <c r="C134" s="18" t="str">
        <f xml:space="preserve"> TRIM( "9781576758007" )</f>
        <v>9781576758007</v>
      </c>
      <c r="D134" s="18" t="s">
        <v>314</v>
      </c>
      <c r="E134" s="18" t="s">
        <v>37</v>
      </c>
      <c r="F134" s="18" t="s">
        <v>315</v>
      </c>
      <c r="G134" s="18" t="s">
        <v>39</v>
      </c>
      <c r="H134" s="18">
        <v>0.2</v>
      </c>
      <c r="I134" s="20">
        <v>1.92</v>
      </c>
      <c r="J134" s="21">
        <v>0.2</v>
      </c>
      <c r="K134" s="20">
        <f t="shared" ca="1" si="2"/>
        <v>0.38</v>
      </c>
    </row>
    <row r="135" spans="2:11">
      <c r="B135" s="18" t="str">
        <f xml:space="preserve"> TRIM( "9781576758021" )</f>
        <v>9781576758021</v>
      </c>
      <c r="C135" s="18" t="str">
        <f xml:space="preserve"> TRIM( "9781576758021" )</f>
        <v>9781576758021</v>
      </c>
      <c r="D135" s="18" t="s">
        <v>317</v>
      </c>
      <c r="E135" s="18" t="s">
        <v>37</v>
      </c>
      <c r="F135" s="18" t="s">
        <v>61</v>
      </c>
      <c r="G135" s="18" t="s">
        <v>39</v>
      </c>
      <c r="H135" s="18">
        <v>0.2</v>
      </c>
      <c r="I135" s="20">
        <v>2.19</v>
      </c>
      <c r="J135" s="21">
        <v>0.2</v>
      </c>
      <c r="K135" s="20">
        <f t="shared" ca="1" si="2"/>
        <v>0.44</v>
      </c>
    </row>
    <row r="136" spans="2:11">
      <c r="B136" s="18" t="str">
        <f xml:space="preserve"> TRIM( "9781576758021" )</f>
        <v>9781576758021</v>
      </c>
      <c r="C136" s="18" t="str">
        <f xml:space="preserve"> TRIM( "9781576758021" )</f>
        <v>9781576758021</v>
      </c>
      <c r="D136" s="18" t="s">
        <v>317</v>
      </c>
      <c r="E136" s="18" t="s">
        <v>37</v>
      </c>
      <c r="F136" s="18" t="s">
        <v>61</v>
      </c>
      <c r="G136" s="18" t="s">
        <v>40</v>
      </c>
      <c r="H136" s="18">
        <v>0.25</v>
      </c>
      <c r="I136" s="20">
        <v>1.34</v>
      </c>
      <c r="J136" s="21">
        <v>0.25</v>
      </c>
      <c r="K136" s="20">
        <f t="shared" ca="1" si="2"/>
        <v>0.34</v>
      </c>
    </row>
    <row r="137" spans="2:11">
      <c r="B137" s="18" t="str">
        <f xml:space="preserve"> TRIM( "9781576758557" )</f>
        <v>9781576758557</v>
      </c>
      <c r="C137" s="18" t="str">
        <f xml:space="preserve"> TRIM( "9781576758557" )</f>
        <v>9781576758557</v>
      </c>
      <c r="D137" s="18" t="s">
        <v>319</v>
      </c>
      <c r="E137" s="18" t="s">
        <v>37</v>
      </c>
      <c r="F137" s="18" t="s">
        <v>320</v>
      </c>
      <c r="G137" s="18" t="s">
        <v>39</v>
      </c>
      <c r="H137" s="18">
        <v>0.2</v>
      </c>
      <c r="I137" s="20">
        <v>1.98</v>
      </c>
      <c r="J137" s="21">
        <v>0.2</v>
      </c>
      <c r="K137" s="20">
        <f t="shared" ca="1" si="2"/>
        <v>0.4</v>
      </c>
    </row>
    <row r="138" spans="2:11">
      <c r="B138" s="18" t="str">
        <f xml:space="preserve"> TRIM( "9781576758557" )</f>
        <v>9781576758557</v>
      </c>
      <c r="C138" s="18" t="str">
        <f xml:space="preserve"> TRIM( "9781576758557" )</f>
        <v>9781576758557</v>
      </c>
      <c r="D138" s="18" t="s">
        <v>319</v>
      </c>
      <c r="E138" s="18" t="s">
        <v>37</v>
      </c>
      <c r="F138" s="18" t="s">
        <v>320</v>
      </c>
      <c r="G138" s="18" t="s">
        <v>40</v>
      </c>
      <c r="H138" s="18">
        <v>0.25</v>
      </c>
      <c r="I138" s="20">
        <v>0.01</v>
      </c>
      <c r="J138" s="21">
        <v>0.25</v>
      </c>
      <c r="K138" s="20">
        <f t="shared" ca="1" si="2"/>
        <v>0</v>
      </c>
    </row>
    <row r="139" spans="2:11">
      <c r="B139" s="18" t="str">
        <f xml:space="preserve"> TRIM( "9781576758687" )</f>
        <v>9781576758687</v>
      </c>
      <c r="C139" s="18" t="str">
        <f xml:space="preserve"> TRIM( "9781576758687" )</f>
        <v>9781576758687</v>
      </c>
      <c r="D139" s="18" t="s">
        <v>322</v>
      </c>
      <c r="E139" s="18" t="s">
        <v>37</v>
      </c>
      <c r="F139" s="18" t="s">
        <v>323</v>
      </c>
      <c r="G139" s="18" t="s">
        <v>39</v>
      </c>
      <c r="H139" s="18">
        <v>0.2</v>
      </c>
      <c r="I139" s="20">
        <v>1.95</v>
      </c>
      <c r="J139" s="21">
        <v>0.2</v>
      </c>
      <c r="K139" s="20">
        <f t="shared" ca="1" si="2"/>
        <v>0.39</v>
      </c>
    </row>
    <row r="140" spans="2:11">
      <c r="B140" s="18" t="str">
        <f xml:space="preserve"> TRIM( "9781576758748" )</f>
        <v>9781576758748</v>
      </c>
      <c r="C140" s="18" t="str">
        <f xml:space="preserve"> TRIM( "9781576758748" )</f>
        <v>9781576758748</v>
      </c>
      <c r="D140" s="18" t="s">
        <v>325</v>
      </c>
      <c r="E140" s="18" t="s">
        <v>37</v>
      </c>
      <c r="F140" s="18" t="s">
        <v>326</v>
      </c>
      <c r="G140" s="18" t="s">
        <v>39</v>
      </c>
      <c r="H140" s="18">
        <v>0.2</v>
      </c>
      <c r="I140" s="20">
        <v>2.57</v>
      </c>
      <c r="J140" s="21">
        <v>0.2</v>
      </c>
      <c r="K140" s="20">
        <f t="shared" ca="1" si="2"/>
        <v>0.51</v>
      </c>
    </row>
    <row r="141" spans="2:11">
      <c r="B141" s="18" t="str">
        <f xml:space="preserve"> TRIM( "9781576758762" )</f>
        <v>9781576758762</v>
      </c>
      <c r="C141" s="18" t="str">
        <f xml:space="preserve"> TRIM( "9781576758762" )</f>
        <v>9781576758762</v>
      </c>
      <c r="D141" s="18" t="s">
        <v>328</v>
      </c>
      <c r="E141" s="18" t="s">
        <v>37</v>
      </c>
      <c r="F141" s="18" t="s">
        <v>329</v>
      </c>
      <c r="G141" s="18" t="s">
        <v>39</v>
      </c>
      <c r="H141" s="18">
        <v>0.2</v>
      </c>
      <c r="I141" s="20">
        <v>4.49</v>
      </c>
      <c r="J141" s="21">
        <v>0.2</v>
      </c>
      <c r="K141" s="20">
        <f t="shared" ca="1" si="2"/>
        <v>0.9</v>
      </c>
    </row>
    <row r="142" spans="2:11">
      <c r="B142" s="18" t="str">
        <f xml:space="preserve"> TRIM( "9781576758779" )</f>
        <v>9781576758779</v>
      </c>
      <c r="C142" s="18" t="str">
        <f xml:space="preserve"> TRIM( "9781576758779" )</f>
        <v>9781576758779</v>
      </c>
      <c r="D142" s="18" t="s">
        <v>331</v>
      </c>
      <c r="E142" s="18" t="s">
        <v>37</v>
      </c>
      <c r="F142" s="18" t="s">
        <v>332</v>
      </c>
      <c r="G142" s="18" t="s">
        <v>39</v>
      </c>
      <c r="H142" s="18">
        <v>0.2</v>
      </c>
      <c r="I142" s="20">
        <v>2.39</v>
      </c>
      <c r="J142" s="21">
        <v>0.2</v>
      </c>
      <c r="K142" s="20">
        <f t="shared" ca="1" si="2"/>
        <v>0.48</v>
      </c>
    </row>
    <row r="143" spans="2:11">
      <c r="B143" s="18" t="str">
        <f xml:space="preserve"> TRIM( "9781576758793" )</f>
        <v>9781576758793</v>
      </c>
      <c r="C143" s="18" t="str">
        <f xml:space="preserve"> TRIM( "9781576758793" )</f>
        <v>9781576758793</v>
      </c>
      <c r="D143" s="18" t="s">
        <v>334</v>
      </c>
      <c r="E143" s="18" t="s">
        <v>37</v>
      </c>
      <c r="F143" s="18" t="s">
        <v>335</v>
      </c>
      <c r="G143" s="18" t="s">
        <v>39</v>
      </c>
      <c r="H143" s="18">
        <v>0.2</v>
      </c>
      <c r="I143" s="20">
        <v>2.98</v>
      </c>
      <c r="J143" s="21">
        <v>0.2</v>
      </c>
      <c r="K143" s="20">
        <f t="shared" ca="1" si="2"/>
        <v>0.6</v>
      </c>
    </row>
    <row r="144" spans="2:11">
      <c r="B144" s="18" t="str">
        <f xml:space="preserve"> TRIM( "9781576758809" )</f>
        <v>9781576758809</v>
      </c>
      <c r="C144" s="18" t="str">
        <f xml:space="preserve"> TRIM( "9781576758809" )</f>
        <v>9781576758809</v>
      </c>
      <c r="D144" s="18" t="s">
        <v>337</v>
      </c>
      <c r="E144" s="18" t="s">
        <v>37</v>
      </c>
      <c r="F144" s="18" t="s">
        <v>338</v>
      </c>
      <c r="G144" s="18" t="s">
        <v>39</v>
      </c>
      <c r="H144" s="18">
        <v>0.2</v>
      </c>
      <c r="I144" s="20">
        <v>2.3199999999999998</v>
      </c>
      <c r="J144" s="21">
        <v>0.2</v>
      </c>
      <c r="K144" s="20">
        <f t="shared" ref="K144:K207" ca="1" si="3" xml:space="preserve"> ROUND( ( INDIRECT( ADDRESS( ROW(), COLUMN()- 2 ))) * ( INDIRECT( ADDRESS( ROW(), COLUMN()- 1 ))), 2 )</f>
        <v>0.46</v>
      </c>
    </row>
    <row r="145" spans="2:11">
      <c r="B145" s="18" t="str">
        <f xml:space="preserve"> TRIM( "9781576758816" )</f>
        <v>9781576758816</v>
      </c>
      <c r="C145" s="18" t="str">
        <f xml:space="preserve"> TRIM( "9781576758816" )</f>
        <v>9781576758816</v>
      </c>
      <c r="D145" s="18" t="s">
        <v>340</v>
      </c>
      <c r="E145" s="18" t="s">
        <v>37</v>
      </c>
      <c r="F145" s="18" t="s">
        <v>341</v>
      </c>
      <c r="G145" s="18" t="s">
        <v>39</v>
      </c>
      <c r="H145" s="18">
        <v>0.2</v>
      </c>
      <c r="I145" s="20">
        <v>37.549999999999997</v>
      </c>
      <c r="J145" s="21">
        <v>0.2</v>
      </c>
      <c r="K145" s="20">
        <f t="shared" ca="1" si="3"/>
        <v>7.51</v>
      </c>
    </row>
    <row r="146" spans="2:11">
      <c r="B146" s="18" t="str">
        <f xml:space="preserve"> TRIM( "9781576758854" )</f>
        <v>9781576758854</v>
      </c>
      <c r="C146" s="18" t="str">
        <f xml:space="preserve"> TRIM( "9781576758854" )</f>
        <v>9781576758854</v>
      </c>
      <c r="D146" s="18" t="s">
        <v>343</v>
      </c>
      <c r="E146" s="18" t="s">
        <v>37</v>
      </c>
      <c r="F146" s="18" t="s">
        <v>344</v>
      </c>
      <c r="G146" s="18" t="s">
        <v>39</v>
      </c>
      <c r="H146" s="18">
        <v>0.2</v>
      </c>
      <c r="I146" s="20">
        <v>2.44</v>
      </c>
      <c r="J146" s="21">
        <v>0.2</v>
      </c>
      <c r="K146" s="20">
        <f t="shared" ca="1" si="3"/>
        <v>0.49</v>
      </c>
    </row>
    <row r="147" spans="2:11">
      <c r="B147" s="18" t="str">
        <f xml:space="preserve"> TRIM( "9781576758854" )</f>
        <v>9781576758854</v>
      </c>
      <c r="C147" s="18" t="str">
        <f xml:space="preserve"> TRIM( "9781576758854" )</f>
        <v>9781576758854</v>
      </c>
      <c r="D147" s="18" t="s">
        <v>343</v>
      </c>
      <c r="E147" s="18" t="s">
        <v>37</v>
      </c>
      <c r="F147" s="18" t="s">
        <v>344</v>
      </c>
      <c r="G147" s="18" t="s">
        <v>40</v>
      </c>
      <c r="H147" s="18">
        <v>0.25</v>
      </c>
      <c r="I147" s="20">
        <v>0.12</v>
      </c>
      <c r="J147" s="21">
        <v>0.25</v>
      </c>
      <c r="K147" s="20">
        <f t="shared" ca="1" si="3"/>
        <v>0.03</v>
      </c>
    </row>
    <row r="148" spans="2:11">
      <c r="B148" s="18" t="str">
        <f xml:space="preserve"> TRIM( "9781576758922" )</f>
        <v>9781576758922</v>
      </c>
      <c r="C148" s="18" t="str">
        <f xml:space="preserve"> TRIM( "9781576758922" )</f>
        <v>9781576758922</v>
      </c>
      <c r="D148" s="18" t="s">
        <v>346</v>
      </c>
      <c r="E148" s="18" t="s">
        <v>37</v>
      </c>
      <c r="F148" s="18" t="s">
        <v>347</v>
      </c>
      <c r="G148" s="18" t="s">
        <v>39</v>
      </c>
      <c r="H148" s="18">
        <v>0.2</v>
      </c>
      <c r="I148" s="20">
        <v>1.92</v>
      </c>
      <c r="J148" s="21">
        <v>0.2</v>
      </c>
      <c r="K148" s="20">
        <f t="shared" ca="1" si="3"/>
        <v>0.38</v>
      </c>
    </row>
    <row r="149" spans="2:11">
      <c r="B149" s="18" t="str">
        <f xml:space="preserve"> TRIM( "9781576758946" )</f>
        <v>9781576758946</v>
      </c>
      <c r="C149" s="18" t="str">
        <f xml:space="preserve"> TRIM( "9781576758946" )</f>
        <v>9781576758946</v>
      </c>
      <c r="D149" s="18" t="s">
        <v>349</v>
      </c>
      <c r="E149" s="18" t="s">
        <v>37</v>
      </c>
      <c r="F149" s="18" t="s">
        <v>350</v>
      </c>
      <c r="G149" s="18" t="s">
        <v>39</v>
      </c>
      <c r="H149" s="18">
        <v>0.2</v>
      </c>
      <c r="I149" s="20">
        <v>1.92</v>
      </c>
      <c r="J149" s="21">
        <v>0.2</v>
      </c>
      <c r="K149" s="20">
        <f t="shared" ca="1" si="3"/>
        <v>0.38</v>
      </c>
    </row>
    <row r="150" spans="2:11">
      <c r="B150" s="18" t="str">
        <f xml:space="preserve"> TRIM( "9781576758953" )</f>
        <v>9781576758953</v>
      </c>
      <c r="C150" s="18" t="str">
        <f xml:space="preserve"> TRIM( "9781576758953" )</f>
        <v>9781576758953</v>
      </c>
      <c r="D150" s="18" t="s">
        <v>352</v>
      </c>
      <c r="E150" s="18" t="s">
        <v>37</v>
      </c>
      <c r="F150" s="18" t="s">
        <v>172</v>
      </c>
      <c r="G150" s="18" t="s">
        <v>39</v>
      </c>
      <c r="H150" s="18">
        <v>0.2</v>
      </c>
      <c r="I150" s="20">
        <v>30.56</v>
      </c>
      <c r="J150" s="21">
        <v>0.2</v>
      </c>
      <c r="K150" s="20">
        <f t="shared" ca="1" si="3"/>
        <v>6.11</v>
      </c>
    </row>
    <row r="151" spans="2:11">
      <c r="B151" s="18" t="str">
        <f xml:space="preserve"> TRIM( "9781576758991" )</f>
        <v>9781576758991</v>
      </c>
      <c r="C151" s="18" t="str">
        <f xml:space="preserve"> TRIM( "9781576758991" )</f>
        <v>9781576758991</v>
      </c>
      <c r="D151" s="18" t="s">
        <v>354</v>
      </c>
      <c r="E151" s="18" t="s">
        <v>37</v>
      </c>
      <c r="F151" s="18" t="s">
        <v>355</v>
      </c>
      <c r="G151" s="18" t="s">
        <v>39</v>
      </c>
      <c r="H151" s="18">
        <v>0.2</v>
      </c>
      <c r="I151" s="20">
        <v>2.3199999999999998</v>
      </c>
      <c r="J151" s="21">
        <v>0.2</v>
      </c>
      <c r="K151" s="20">
        <f t="shared" ca="1" si="3"/>
        <v>0.46</v>
      </c>
    </row>
    <row r="152" spans="2:11">
      <c r="B152" s="18" t="str">
        <f xml:space="preserve"> TRIM( "9781576759004" )</f>
        <v>9781576759004</v>
      </c>
      <c r="C152" s="18" t="str">
        <f xml:space="preserve"> TRIM( "9781576759004" )</f>
        <v>9781576759004</v>
      </c>
      <c r="D152" s="18" t="s">
        <v>357</v>
      </c>
      <c r="E152" s="18" t="s">
        <v>37</v>
      </c>
      <c r="F152" s="18" t="s">
        <v>358</v>
      </c>
      <c r="G152" s="18" t="s">
        <v>39</v>
      </c>
      <c r="H152" s="18">
        <v>0.2</v>
      </c>
      <c r="I152" s="20">
        <v>2.0499999999999998</v>
      </c>
      <c r="J152" s="21">
        <v>0.2</v>
      </c>
      <c r="K152" s="20">
        <f t="shared" ca="1" si="3"/>
        <v>0.41</v>
      </c>
    </row>
    <row r="153" spans="2:11">
      <c r="B153" s="18" t="str">
        <f xml:space="preserve"> TRIM( "9781576759004" )</f>
        <v>9781576759004</v>
      </c>
      <c r="C153" s="18" t="str">
        <f xml:space="preserve"> TRIM( "9781576759004" )</f>
        <v>9781576759004</v>
      </c>
      <c r="D153" s="18" t="s">
        <v>357</v>
      </c>
      <c r="E153" s="18" t="s">
        <v>37</v>
      </c>
      <c r="F153" s="18" t="s">
        <v>358</v>
      </c>
      <c r="G153" s="18" t="s">
        <v>40</v>
      </c>
      <c r="H153" s="18">
        <v>0.25</v>
      </c>
      <c r="I153" s="20">
        <v>1.1399999999999999</v>
      </c>
      <c r="J153" s="21">
        <v>0.25</v>
      </c>
      <c r="K153" s="20">
        <f t="shared" ca="1" si="3"/>
        <v>0.28999999999999998</v>
      </c>
    </row>
    <row r="154" spans="2:11">
      <c r="B154" s="18" t="str">
        <f xml:space="preserve"> TRIM( "9781576759035" )</f>
        <v>9781576759035</v>
      </c>
      <c r="C154" s="18" t="str">
        <f xml:space="preserve"> TRIM( "9781576759035" )</f>
        <v>9781576759035</v>
      </c>
      <c r="D154" s="18" t="s">
        <v>360</v>
      </c>
      <c r="E154" s="18" t="s">
        <v>37</v>
      </c>
      <c r="F154" s="18" t="s">
        <v>329</v>
      </c>
      <c r="G154" s="18" t="s">
        <v>39</v>
      </c>
      <c r="H154" s="18">
        <v>0.2</v>
      </c>
      <c r="I154" s="20">
        <v>4.33</v>
      </c>
      <c r="J154" s="21">
        <v>0.2</v>
      </c>
      <c r="K154" s="20">
        <f t="shared" ca="1" si="3"/>
        <v>0.87</v>
      </c>
    </row>
    <row r="155" spans="2:11">
      <c r="B155" s="18" t="str">
        <f xml:space="preserve"> TRIM( "9781576759042" )</f>
        <v>9781576759042</v>
      </c>
      <c r="C155" s="18" t="str">
        <f xml:space="preserve"> TRIM( "9781576759059" )</f>
        <v>9781576759059</v>
      </c>
      <c r="D155" s="18" t="s">
        <v>363</v>
      </c>
      <c r="E155" s="18" t="s">
        <v>37</v>
      </c>
      <c r="F155" s="18" t="s">
        <v>364</v>
      </c>
      <c r="G155" s="18" t="s">
        <v>39</v>
      </c>
      <c r="H155" s="18">
        <v>0.2</v>
      </c>
      <c r="I155" s="20">
        <v>3.05</v>
      </c>
      <c r="J155" s="21">
        <v>0.2</v>
      </c>
      <c r="K155" s="20">
        <f t="shared" ca="1" si="3"/>
        <v>0.61</v>
      </c>
    </row>
    <row r="156" spans="2:11">
      <c r="B156" s="18" t="str">
        <f xml:space="preserve"> TRIM( "9781576759080" )</f>
        <v>9781576759080</v>
      </c>
      <c r="C156" s="18" t="str">
        <f xml:space="preserve"> TRIM( "9781576759080" )</f>
        <v>9781576759080</v>
      </c>
      <c r="D156" s="18" t="s">
        <v>366</v>
      </c>
      <c r="E156" s="18" t="s">
        <v>37</v>
      </c>
      <c r="F156" s="18" t="s">
        <v>367</v>
      </c>
      <c r="G156" s="18" t="s">
        <v>39</v>
      </c>
      <c r="H156" s="18">
        <v>0.2</v>
      </c>
      <c r="I156" s="20">
        <v>1.92</v>
      </c>
      <c r="J156" s="21">
        <v>0.2</v>
      </c>
      <c r="K156" s="20">
        <f t="shared" ca="1" si="3"/>
        <v>0.38</v>
      </c>
    </row>
    <row r="157" spans="2:11">
      <c r="B157" s="18" t="str">
        <f xml:space="preserve"> TRIM( "9781576759189" )</f>
        <v>9781576759189</v>
      </c>
      <c r="C157" s="18" t="str">
        <f xml:space="preserve"> TRIM( "9781576759189" )</f>
        <v>9781576759189</v>
      </c>
      <c r="D157" s="18" t="s">
        <v>369</v>
      </c>
      <c r="E157" s="18" t="s">
        <v>37</v>
      </c>
      <c r="F157" s="18" t="s">
        <v>61</v>
      </c>
      <c r="G157" s="18" t="s">
        <v>39</v>
      </c>
      <c r="H157" s="18">
        <v>0.2</v>
      </c>
      <c r="I157" s="20">
        <v>12.38</v>
      </c>
      <c r="J157" s="21">
        <v>0.2</v>
      </c>
      <c r="K157" s="20">
        <f t="shared" ca="1" si="3"/>
        <v>2.48</v>
      </c>
    </row>
    <row r="158" spans="2:11">
      <c r="B158" s="18" t="str">
        <f xml:space="preserve"> TRIM( "9781576759189" )</f>
        <v>9781576759189</v>
      </c>
      <c r="C158" s="18" t="str">
        <f xml:space="preserve"> TRIM( "9781576759189" )</f>
        <v>9781576759189</v>
      </c>
      <c r="D158" s="18" t="s">
        <v>369</v>
      </c>
      <c r="E158" s="18" t="s">
        <v>37</v>
      </c>
      <c r="F158" s="18" t="s">
        <v>61</v>
      </c>
      <c r="G158" s="18" t="s">
        <v>40</v>
      </c>
      <c r="H158" s="18">
        <v>0.25</v>
      </c>
      <c r="I158" s="20">
        <v>2.5499999999999998</v>
      </c>
      <c r="J158" s="21">
        <v>0.25</v>
      </c>
      <c r="K158" s="20">
        <f t="shared" ca="1" si="3"/>
        <v>0.64</v>
      </c>
    </row>
    <row r="159" spans="2:11">
      <c r="B159" s="18" t="str">
        <f xml:space="preserve"> TRIM( "9781576759219" )</f>
        <v>9781576759219</v>
      </c>
      <c r="C159" s="18" t="str">
        <f xml:space="preserve"> TRIM( "9781576759219" )</f>
        <v>9781576759219</v>
      </c>
      <c r="D159" s="18" t="s">
        <v>371</v>
      </c>
      <c r="E159" s="18" t="s">
        <v>37</v>
      </c>
      <c r="F159" s="18" t="s">
        <v>372</v>
      </c>
      <c r="G159" s="18" t="s">
        <v>39</v>
      </c>
      <c r="H159" s="18">
        <v>0.2</v>
      </c>
      <c r="I159" s="20">
        <v>5.88</v>
      </c>
      <c r="J159" s="21">
        <v>0.2</v>
      </c>
      <c r="K159" s="20">
        <f t="shared" ca="1" si="3"/>
        <v>1.18</v>
      </c>
    </row>
    <row r="160" spans="2:11">
      <c r="B160" s="18" t="str">
        <f xml:space="preserve"> TRIM( "9781576759219" )</f>
        <v>9781576759219</v>
      </c>
      <c r="C160" s="18" t="str">
        <f xml:space="preserve"> TRIM( "9781576759219" )</f>
        <v>9781576759219</v>
      </c>
      <c r="D160" s="18" t="s">
        <v>371</v>
      </c>
      <c r="E160" s="18" t="s">
        <v>37</v>
      </c>
      <c r="F160" s="18" t="s">
        <v>372</v>
      </c>
      <c r="G160" s="18" t="s">
        <v>40</v>
      </c>
      <c r="H160" s="18">
        <v>0.25</v>
      </c>
      <c r="I160" s="20">
        <v>0.7</v>
      </c>
      <c r="J160" s="21">
        <v>0.25</v>
      </c>
      <c r="K160" s="20">
        <f t="shared" ca="1" si="3"/>
        <v>0.18</v>
      </c>
    </row>
    <row r="161" spans="2:11">
      <c r="B161" s="18" t="str">
        <f xml:space="preserve"> TRIM( "9781576759356" )</f>
        <v>9781576759356</v>
      </c>
      <c r="C161" s="18" t="str">
        <f xml:space="preserve"> TRIM( "9781576759356" )</f>
        <v>9781576759356</v>
      </c>
      <c r="D161" s="18" t="s">
        <v>374</v>
      </c>
      <c r="E161" s="18" t="s">
        <v>37</v>
      </c>
      <c r="F161" s="18" t="s">
        <v>375</v>
      </c>
      <c r="G161" s="18" t="s">
        <v>39</v>
      </c>
      <c r="H161" s="18">
        <v>0.2</v>
      </c>
      <c r="I161" s="20">
        <v>1.99</v>
      </c>
      <c r="J161" s="21">
        <v>0.2</v>
      </c>
      <c r="K161" s="20">
        <f t="shared" ca="1" si="3"/>
        <v>0.4</v>
      </c>
    </row>
    <row r="162" spans="2:11">
      <c r="B162" s="18" t="str">
        <f xml:space="preserve"> TRIM( "9781576759356" )</f>
        <v>9781576759356</v>
      </c>
      <c r="C162" s="18" t="str">
        <f xml:space="preserve"> TRIM( "9781576759356" )</f>
        <v>9781576759356</v>
      </c>
      <c r="D162" s="18" t="s">
        <v>374</v>
      </c>
      <c r="E162" s="18" t="s">
        <v>37</v>
      </c>
      <c r="F162" s="18" t="s">
        <v>375</v>
      </c>
      <c r="G162" s="18" t="s">
        <v>40</v>
      </c>
      <c r="H162" s="18">
        <v>0.25</v>
      </c>
      <c r="I162" s="20">
        <v>6.69</v>
      </c>
      <c r="J162" s="21">
        <v>0.25</v>
      </c>
      <c r="K162" s="20">
        <f t="shared" ca="1" si="3"/>
        <v>1.67</v>
      </c>
    </row>
    <row r="163" spans="2:11">
      <c r="B163" s="18" t="str">
        <f xml:space="preserve"> TRIM( "9781576759363" )</f>
        <v>9781576759363</v>
      </c>
      <c r="C163" s="18" t="str">
        <f xml:space="preserve"> TRIM( "9781576759363" )</f>
        <v>9781576759363</v>
      </c>
      <c r="D163" s="18" t="s">
        <v>377</v>
      </c>
      <c r="E163" s="18" t="s">
        <v>37</v>
      </c>
      <c r="F163" s="18" t="s">
        <v>378</v>
      </c>
      <c r="G163" s="18" t="s">
        <v>39</v>
      </c>
      <c r="H163" s="18">
        <v>0.2</v>
      </c>
      <c r="I163" s="20">
        <v>2.4900000000000002</v>
      </c>
      <c r="J163" s="21">
        <v>0.2</v>
      </c>
      <c r="K163" s="20">
        <f t="shared" ca="1" si="3"/>
        <v>0.5</v>
      </c>
    </row>
    <row r="164" spans="2:11">
      <c r="B164" s="18" t="str">
        <f xml:space="preserve"> TRIM( "9781576759363" )</f>
        <v>9781576759363</v>
      </c>
      <c r="C164" s="18" t="str">
        <f xml:space="preserve"> TRIM( "9781576759363" )</f>
        <v>9781576759363</v>
      </c>
      <c r="D164" s="18" t="s">
        <v>377</v>
      </c>
      <c r="E164" s="18" t="s">
        <v>37</v>
      </c>
      <c r="F164" s="18" t="s">
        <v>378</v>
      </c>
      <c r="G164" s="18" t="s">
        <v>40</v>
      </c>
      <c r="H164" s="18">
        <v>0.25</v>
      </c>
      <c r="I164" s="20">
        <v>0.54</v>
      </c>
      <c r="J164" s="21">
        <v>0.25</v>
      </c>
      <c r="K164" s="20">
        <f t="shared" ca="1" si="3"/>
        <v>0.14000000000000001</v>
      </c>
    </row>
    <row r="165" spans="2:11">
      <c r="B165" s="18" t="str">
        <f xml:space="preserve"> TRIM( "9781576759479" )</f>
        <v>9781576759479</v>
      </c>
      <c r="C165" s="18" t="str">
        <f xml:space="preserve"> TRIM( "9781576759479" )</f>
        <v>9781576759479</v>
      </c>
      <c r="D165" s="18" t="s">
        <v>380</v>
      </c>
      <c r="E165" s="18" t="s">
        <v>37</v>
      </c>
      <c r="F165" s="18" t="s">
        <v>381</v>
      </c>
      <c r="G165" s="18" t="s">
        <v>39</v>
      </c>
      <c r="H165" s="18">
        <v>0.2</v>
      </c>
      <c r="I165" s="20">
        <v>2.42</v>
      </c>
      <c r="J165" s="21">
        <v>0.2</v>
      </c>
      <c r="K165" s="20">
        <f t="shared" ca="1" si="3"/>
        <v>0.48</v>
      </c>
    </row>
    <row r="166" spans="2:11">
      <c r="B166" s="18" t="str">
        <f xml:space="preserve"> TRIM( "9781576759486" )</f>
        <v>9781576759486</v>
      </c>
      <c r="C166" s="18" t="str">
        <f xml:space="preserve"> TRIM( "9781576759486" )</f>
        <v>9781576759486</v>
      </c>
      <c r="D166" s="18" t="s">
        <v>383</v>
      </c>
      <c r="E166" s="18" t="s">
        <v>37</v>
      </c>
      <c r="F166" s="18" t="s">
        <v>242</v>
      </c>
      <c r="G166" s="18" t="s">
        <v>39</v>
      </c>
      <c r="H166" s="18">
        <v>0.2</v>
      </c>
      <c r="I166" s="20">
        <v>1.92</v>
      </c>
      <c r="J166" s="21">
        <v>0.2</v>
      </c>
      <c r="K166" s="20">
        <f t="shared" ca="1" si="3"/>
        <v>0.38</v>
      </c>
    </row>
    <row r="167" spans="2:11">
      <c r="B167" s="18" t="str">
        <f xml:space="preserve"> TRIM( "9781576759493" )</f>
        <v>9781576759493</v>
      </c>
      <c r="C167" s="18" t="str">
        <f xml:space="preserve"> TRIM( "9781576759493" )</f>
        <v>9781576759493</v>
      </c>
      <c r="D167" s="18" t="s">
        <v>385</v>
      </c>
      <c r="E167" s="18" t="s">
        <v>37</v>
      </c>
      <c r="F167" s="18" t="s">
        <v>386</v>
      </c>
      <c r="G167" s="18" t="s">
        <v>39</v>
      </c>
      <c r="H167" s="18">
        <v>0.2</v>
      </c>
      <c r="I167" s="20">
        <v>4.0199999999999996</v>
      </c>
      <c r="J167" s="21">
        <v>0.2</v>
      </c>
      <c r="K167" s="20">
        <f t="shared" ca="1" si="3"/>
        <v>0.8</v>
      </c>
    </row>
    <row r="168" spans="2:11">
      <c r="B168" s="18" t="str">
        <f xml:space="preserve"> TRIM( "9781576759509" )</f>
        <v>9781576759509</v>
      </c>
      <c r="C168" s="18" t="str">
        <f xml:space="preserve"> TRIM( "9781576759509" )</f>
        <v>9781576759509</v>
      </c>
      <c r="D168" s="18" t="s">
        <v>388</v>
      </c>
      <c r="E168" s="18" t="s">
        <v>37</v>
      </c>
      <c r="F168" s="18" t="s">
        <v>389</v>
      </c>
      <c r="G168" s="18" t="s">
        <v>39</v>
      </c>
      <c r="H168" s="18">
        <v>0.2</v>
      </c>
      <c r="I168" s="20">
        <v>2.57</v>
      </c>
      <c r="J168" s="21">
        <v>0.2</v>
      </c>
      <c r="K168" s="20">
        <f t="shared" ca="1" si="3"/>
        <v>0.51</v>
      </c>
    </row>
    <row r="169" spans="2:11">
      <c r="B169" s="18" t="str">
        <f xml:space="preserve"> TRIM( "9781576759509" )</f>
        <v>9781576759509</v>
      </c>
      <c r="C169" s="18" t="str">
        <f xml:space="preserve"> TRIM( "9781576759509" )</f>
        <v>9781576759509</v>
      </c>
      <c r="D169" s="18" t="s">
        <v>388</v>
      </c>
      <c r="E169" s="18" t="s">
        <v>37</v>
      </c>
      <c r="F169" s="18" t="s">
        <v>389</v>
      </c>
      <c r="G169" s="18" t="s">
        <v>40</v>
      </c>
      <c r="H169" s="18">
        <v>0.25</v>
      </c>
      <c r="I169" s="20">
        <v>0.01</v>
      </c>
      <c r="J169" s="21">
        <v>0.25</v>
      </c>
      <c r="K169" s="20">
        <f t="shared" ca="1" si="3"/>
        <v>0</v>
      </c>
    </row>
    <row r="170" spans="2:11">
      <c r="B170" s="18" t="str">
        <f xml:space="preserve"> TRIM( "9781576759516" )</f>
        <v>9781576759516</v>
      </c>
      <c r="C170" s="18" t="str">
        <f xml:space="preserve"> TRIM( "9781576759516" )</f>
        <v>9781576759516</v>
      </c>
      <c r="D170" s="18" t="s">
        <v>391</v>
      </c>
      <c r="E170" s="18" t="s">
        <v>37</v>
      </c>
      <c r="F170" s="18" t="s">
        <v>392</v>
      </c>
      <c r="G170" s="18" t="s">
        <v>39</v>
      </c>
      <c r="H170" s="18">
        <v>0.2</v>
      </c>
      <c r="I170" s="20">
        <v>2.6</v>
      </c>
      <c r="J170" s="21">
        <v>0.2</v>
      </c>
      <c r="K170" s="20">
        <f t="shared" ca="1" si="3"/>
        <v>0.52</v>
      </c>
    </row>
    <row r="171" spans="2:11">
      <c r="B171" s="18" t="str">
        <f xml:space="preserve"> TRIM( "9781576759516" )</f>
        <v>9781576759516</v>
      </c>
      <c r="C171" s="18" t="str">
        <f xml:space="preserve"> TRIM( "9781576759516" )</f>
        <v>9781576759516</v>
      </c>
      <c r="D171" s="18" t="s">
        <v>391</v>
      </c>
      <c r="E171" s="18" t="s">
        <v>37</v>
      </c>
      <c r="F171" s="18" t="s">
        <v>392</v>
      </c>
      <c r="G171" s="18" t="s">
        <v>40</v>
      </c>
      <c r="H171" s="18">
        <v>0.25</v>
      </c>
      <c r="I171" s="20">
        <v>2.2000000000000002</v>
      </c>
      <c r="J171" s="21">
        <v>0.25</v>
      </c>
      <c r="K171" s="20">
        <f t="shared" ca="1" si="3"/>
        <v>0.55000000000000004</v>
      </c>
    </row>
    <row r="172" spans="2:11">
      <c r="B172" s="18" t="str">
        <f xml:space="preserve"> TRIM( "9781576759523" )</f>
        <v>9781576759523</v>
      </c>
      <c r="C172" s="18" t="str">
        <f xml:space="preserve"> TRIM( "9781576759523" )</f>
        <v>9781576759523</v>
      </c>
      <c r="D172" s="18" t="s">
        <v>394</v>
      </c>
      <c r="E172" s="18" t="s">
        <v>37</v>
      </c>
      <c r="F172" s="18" t="s">
        <v>329</v>
      </c>
      <c r="G172" s="18" t="s">
        <v>39</v>
      </c>
      <c r="H172" s="18">
        <v>0.2</v>
      </c>
      <c r="I172" s="20">
        <v>1.92</v>
      </c>
      <c r="J172" s="21">
        <v>0.2</v>
      </c>
      <c r="K172" s="20">
        <f t="shared" ca="1" si="3"/>
        <v>0.38</v>
      </c>
    </row>
    <row r="173" spans="2:11">
      <c r="B173" s="18" t="str">
        <f xml:space="preserve"> TRIM( "9781576759523" )</f>
        <v>9781576759523</v>
      </c>
      <c r="C173" s="18" t="str">
        <f xml:space="preserve"> TRIM( "9781576759523" )</f>
        <v>9781576759523</v>
      </c>
      <c r="D173" s="18" t="s">
        <v>394</v>
      </c>
      <c r="E173" s="18" t="s">
        <v>37</v>
      </c>
      <c r="F173" s="18" t="s">
        <v>329</v>
      </c>
      <c r="G173" s="18" t="s">
        <v>40</v>
      </c>
      <c r="H173" s="18">
        <v>0.25</v>
      </c>
      <c r="I173" s="20">
        <v>0.02</v>
      </c>
      <c r="J173" s="21">
        <v>0.25</v>
      </c>
      <c r="K173" s="20">
        <f t="shared" ca="1" si="3"/>
        <v>0.01</v>
      </c>
    </row>
    <row r="174" spans="2:11">
      <c r="B174" s="18" t="str">
        <f xml:space="preserve"> TRIM( "9781576759554" )</f>
        <v>9781576759554</v>
      </c>
      <c r="C174" s="18" t="str">
        <f xml:space="preserve"> TRIM( "9781605098999" )</f>
        <v>9781605098999</v>
      </c>
      <c r="D174" s="18" t="s">
        <v>397</v>
      </c>
      <c r="E174" s="18" t="s">
        <v>37</v>
      </c>
      <c r="F174" s="18" t="s">
        <v>398</v>
      </c>
      <c r="G174" s="18" t="s">
        <v>39</v>
      </c>
      <c r="H174" s="18">
        <v>0.2</v>
      </c>
      <c r="I174" s="20">
        <v>3.89</v>
      </c>
      <c r="J174" s="21">
        <v>0.2</v>
      </c>
      <c r="K174" s="20">
        <f t="shared" ca="1" si="3"/>
        <v>0.78</v>
      </c>
    </row>
    <row r="175" spans="2:11">
      <c r="B175" s="18" t="str">
        <f xml:space="preserve"> TRIM( "9781576759585" )</f>
        <v>9781576759585</v>
      </c>
      <c r="C175" s="18" t="str">
        <f xml:space="preserve"> TRIM( "9781576759585" )</f>
        <v>9781576759585</v>
      </c>
      <c r="D175" s="18" t="s">
        <v>400</v>
      </c>
      <c r="E175" s="18" t="s">
        <v>37</v>
      </c>
      <c r="F175" s="18" t="s">
        <v>401</v>
      </c>
      <c r="G175" s="18" t="s">
        <v>39</v>
      </c>
      <c r="H175" s="18">
        <v>0.2</v>
      </c>
      <c r="I175" s="20">
        <v>1.92</v>
      </c>
      <c r="J175" s="21">
        <v>0.2</v>
      </c>
      <c r="K175" s="20">
        <f t="shared" ca="1" si="3"/>
        <v>0.38</v>
      </c>
    </row>
    <row r="176" spans="2:11">
      <c r="B176" s="18" t="str">
        <f xml:space="preserve"> TRIM( "9781576759592" )</f>
        <v>9781576759592</v>
      </c>
      <c r="C176" s="18" t="str">
        <f xml:space="preserve"> TRIM( "9781576759592" )</f>
        <v>9781576759592</v>
      </c>
      <c r="D176" s="18" t="s">
        <v>403</v>
      </c>
      <c r="E176" s="18" t="s">
        <v>37</v>
      </c>
      <c r="F176" s="18" t="s">
        <v>404</v>
      </c>
      <c r="G176" s="18" t="s">
        <v>39</v>
      </c>
      <c r="H176" s="18">
        <v>0.2</v>
      </c>
      <c r="I176" s="20">
        <v>2.08</v>
      </c>
      <c r="J176" s="21">
        <v>0.2</v>
      </c>
      <c r="K176" s="20">
        <f t="shared" ca="1" si="3"/>
        <v>0.42</v>
      </c>
    </row>
    <row r="177" spans="2:11">
      <c r="B177" s="18" t="str">
        <f xml:space="preserve"> TRIM( "9781576759608" )</f>
        <v>9781576759608</v>
      </c>
      <c r="C177" s="18" t="str">
        <f xml:space="preserve"> TRIM( "9781576759608" )</f>
        <v>9781576759608</v>
      </c>
      <c r="D177" s="18" t="s">
        <v>406</v>
      </c>
      <c r="E177" s="18" t="s">
        <v>37</v>
      </c>
      <c r="F177" s="18" t="s">
        <v>407</v>
      </c>
      <c r="G177" s="18" t="s">
        <v>39</v>
      </c>
      <c r="H177" s="18">
        <v>0.2</v>
      </c>
      <c r="I177" s="20">
        <v>9.5</v>
      </c>
      <c r="J177" s="21">
        <v>0.2</v>
      </c>
      <c r="K177" s="20">
        <f t="shared" ca="1" si="3"/>
        <v>1.9</v>
      </c>
    </row>
    <row r="178" spans="2:11">
      <c r="B178" s="18" t="str">
        <f xml:space="preserve"> TRIM( "9781576759615" )</f>
        <v>9781576759615</v>
      </c>
      <c r="C178" s="18" t="str">
        <f xml:space="preserve"> TRIM( "9781576759615" )</f>
        <v>9781576759615</v>
      </c>
      <c r="D178" s="18" t="s">
        <v>409</v>
      </c>
      <c r="E178" s="18" t="s">
        <v>37</v>
      </c>
      <c r="F178" s="18" t="s">
        <v>410</v>
      </c>
      <c r="G178" s="18" t="s">
        <v>39</v>
      </c>
      <c r="H178" s="18">
        <v>0.2</v>
      </c>
      <c r="I178" s="20">
        <v>3.84</v>
      </c>
      <c r="J178" s="21">
        <v>0.2</v>
      </c>
      <c r="K178" s="20">
        <f t="shared" ca="1" si="3"/>
        <v>0.77</v>
      </c>
    </row>
    <row r="179" spans="2:11">
      <c r="B179" s="18" t="str">
        <f xml:space="preserve"> TRIM( "9781576759622" )</f>
        <v>9781576759622</v>
      </c>
      <c r="C179" s="18" t="str">
        <f xml:space="preserve"> TRIM( "9781576759622" )</f>
        <v>9781576759622</v>
      </c>
      <c r="D179" s="18" t="s">
        <v>412</v>
      </c>
      <c r="E179" s="18" t="s">
        <v>37</v>
      </c>
      <c r="F179" s="18" t="s">
        <v>413</v>
      </c>
      <c r="G179" s="18" t="s">
        <v>39</v>
      </c>
      <c r="H179" s="18">
        <v>0.2</v>
      </c>
      <c r="I179" s="20">
        <v>5.39</v>
      </c>
      <c r="J179" s="21">
        <v>0.2</v>
      </c>
      <c r="K179" s="20">
        <f t="shared" ca="1" si="3"/>
        <v>1.08</v>
      </c>
    </row>
    <row r="180" spans="2:11">
      <c r="B180" s="18" t="str">
        <f xml:space="preserve"> TRIM( "9781576759622" )</f>
        <v>9781576759622</v>
      </c>
      <c r="C180" s="18" t="str">
        <f xml:space="preserve"> TRIM( "9781576759622" )</f>
        <v>9781576759622</v>
      </c>
      <c r="D180" s="18" t="s">
        <v>412</v>
      </c>
      <c r="E180" s="18" t="s">
        <v>37</v>
      </c>
      <c r="F180" s="18" t="s">
        <v>413</v>
      </c>
      <c r="G180" s="18" t="s">
        <v>40</v>
      </c>
      <c r="H180" s="18">
        <v>0.25</v>
      </c>
      <c r="I180" s="20">
        <v>5.95</v>
      </c>
      <c r="J180" s="21">
        <v>0.25</v>
      </c>
      <c r="K180" s="20">
        <f t="shared" ca="1" si="3"/>
        <v>1.49</v>
      </c>
    </row>
    <row r="181" spans="2:11">
      <c r="B181" s="18" t="str">
        <f xml:space="preserve"> TRIM( "9781576759677" )</f>
        <v>9781576759677</v>
      </c>
      <c r="C181" s="18" t="str">
        <f xml:space="preserve"> TRIM( "9781576759677" )</f>
        <v>9781576759677</v>
      </c>
      <c r="D181" s="18" t="s">
        <v>415</v>
      </c>
      <c r="E181" s="18" t="s">
        <v>37</v>
      </c>
      <c r="F181" s="18" t="s">
        <v>416</v>
      </c>
      <c r="G181" s="18" t="s">
        <v>39</v>
      </c>
      <c r="H181" s="18">
        <v>0.2</v>
      </c>
      <c r="I181" s="20">
        <v>1.99</v>
      </c>
      <c r="J181" s="21">
        <v>0.2</v>
      </c>
      <c r="K181" s="20">
        <f t="shared" ca="1" si="3"/>
        <v>0.4</v>
      </c>
    </row>
    <row r="182" spans="2:11">
      <c r="B182" s="18" t="str">
        <f xml:space="preserve"> TRIM( "9781576759684" )</f>
        <v>9781576759684</v>
      </c>
      <c r="C182" s="18" t="str">
        <f xml:space="preserve"> TRIM( " " )</f>
        <v/>
      </c>
      <c r="D182" s="18" t="s">
        <v>418</v>
      </c>
      <c r="E182" s="18" t="s">
        <v>37</v>
      </c>
      <c r="F182" s="18" t="s">
        <v>419</v>
      </c>
      <c r="G182" s="18" t="s">
        <v>39</v>
      </c>
      <c r="H182" s="18">
        <v>0.2</v>
      </c>
      <c r="I182" s="20">
        <v>4.0599999999999996</v>
      </c>
      <c r="J182" s="21">
        <v>0.2</v>
      </c>
      <c r="K182" s="20">
        <f t="shared" ca="1" si="3"/>
        <v>0.81</v>
      </c>
    </row>
    <row r="183" spans="2:11">
      <c r="B183" s="18" t="str">
        <f xml:space="preserve"> TRIM( "9781576759721" )</f>
        <v>9781576759721</v>
      </c>
      <c r="C183" s="18" t="str">
        <f xml:space="preserve"> TRIM( "9781576759721" )</f>
        <v>9781576759721</v>
      </c>
      <c r="D183" s="18" t="s">
        <v>421</v>
      </c>
      <c r="E183" s="18" t="s">
        <v>37</v>
      </c>
      <c r="F183" s="18" t="s">
        <v>422</v>
      </c>
      <c r="G183" s="18" t="s">
        <v>39</v>
      </c>
      <c r="H183" s="18">
        <v>0.2</v>
      </c>
      <c r="I183" s="20">
        <v>2.0099999999999998</v>
      </c>
      <c r="J183" s="21">
        <v>0.2</v>
      </c>
      <c r="K183" s="20">
        <f t="shared" ca="1" si="3"/>
        <v>0.4</v>
      </c>
    </row>
    <row r="184" spans="2:11">
      <c r="B184" s="18" t="str">
        <f xml:space="preserve"> TRIM( "9781576759745" )</f>
        <v>9781576759745</v>
      </c>
      <c r="C184" s="18" t="str">
        <f xml:space="preserve"> TRIM( "9781576759745" )</f>
        <v>9781576759745</v>
      </c>
      <c r="D184" s="18" t="s">
        <v>424</v>
      </c>
      <c r="E184" s="18" t="s">
        <v>37</v>
      </c>
      <c r="F184" s="18" t="s">
        <v>425</v>
      </c>
      <c r="G184" s="18" t="s">
        <v>39</v>
      </c>
      <c r="H184" s="18">
        <v>0.2</v>
      </c>
      <c r="I184" s="20">
        <v>1.92</v>
      </c>
      <c r="J184" s="21">
        <v>0.2</v>
      </c>
      <c r="K184" s="20">
        <f t="shared" ca="1" si="3"/>
        <v>0.38</v>
      </c>
    </row>
    <row r="185" spans="2:11">
      <c r="B185" s="18" t="str">
        <f xml:space="preserve"> TRIM( "9781576759769" )</f>
        <v>9781576759769</v>
      </c>
      <c r="C185" s="18" t="str">
        <f xml:space="preserve"> TRIM( "9781576759769" )</f>
        <v>9781576759769</v>
      </c>
      <c r="D185" s="18" t="s">
        <v>427</v>
      </c>
      <c r="E185" s="18" t="s">
        <v>37</v>
      </c>
      <c r="F185" s="18" t="s">
        <v>428</v>
      </c>
      <c r="G185" s="18" t="s">
        <v>39</v>
      </c>
      <c r="H185" s="18">
        <v>0.2</v>
      </c>
      <c r="I185" s="20">
        <v>1.96</v>
      </c>
      <c r="J185" s="21">
        <v>0.2</v>
      </c>
      <c r="K185" s="20">
        <f t="shared" ca="1" si="3"/>
        <v>0.39</v>
      </c>
    </row>
    <row r="186" spans="2:11">
      <c r="B186" s="18" t="str">
        <f xml:space="preserve"> TRIM( "9781576759783" )</f>
        <v>9781576759783</v>
      </c>
      <c r="C186" s="18" t="str">
        <f xml:space="preserve"> TRIM( "9781576759783" )</f>
        <v>9781576759783</v>
      </c>
      <c r="D186" s="18" t="s">
        <v>430</v>
      </c>
      <c r="E186" s="18" t="s">
        <v>37</v>
      </c>
      <c r="F186" s="18" t="s">
        <v>398</v>
      </c>
      <c r="G186" s="18" t="s">
        <v>39</v>
      </c>
      <c r="H186" s="18">
        <v>0.2</v>
      </c>
      <c r="I186" s="20">
        <v>974.54</v>
      </c>
      <c r="J186" s="21">
        <v>0.2</v>
      </c>
      <c r="K186" s="20">
        <f t="shared" ca="1" si="3"/>
        <v>194.91</v>
      </c>
    </row>
    <row r="187" spans="2:11">
      <c r="B187" s="18" t="str">
        <f xml:space="preserve"> TRIM( "9781576759783" )</f>
        <v>9781576759783</v>
      </c>
      <c r="C187" s="18" t="str">
        <f xml:space="preserve"> TRIM( "9781576759783" )</f>
        <v>9781576759783</v>
      </c>
      <c r="D187" s="18" t="s">
        <v>430</v>
      </c>
      <c r="E187" s="18" t="s">
        <v>37</v>
      </c>
      <c r="F187" s="18" t="s">
        <v>398</v>
      </c>
      <c r="G187" s="18" t="s">
        <v>40</v>
      </c>
      <c r="H187" s="18">
        <v>0.25</v>
      </c>
      <c r="I187" s="20">
        <v>22.18</v>
      </c>
      <c r="J187" s="21">
        <v>0.25</v>
      </c>
      <c r="K187" s="20">
        <f t="shared" ca="1" si="3"/>
        <v>5.55</v>
      </c>
    </row>
    <row r="188" spans="2:11">
      <c r="B188" s="18" t="str">
        <f xml:space="preserve"> TRIM( "9781576759806" )</f>
        <v>9781576759806</v>
      </c>
      <c r="C188" s="18" t="str">
        <f xml:space="preserve"> TRIM( "9781605098906" )</f>
        <v>9781605098906</v>
      </c>
      <c r="D188" s="18" t="s">
        <v>433</v>
      </c>
      <c r="E188" s="18" t="s">
        <v>37</v>
      </c>
      <c r="F188" s="18" t="s">
        <v>434</v>
      </c>
      <c r="G188" s="18" t="s">
        <v>39</v>
      </c>
      <c r="H188" s="18">
        <v>0.2</v>
      </c>
      <c r="I188" s="20">
        <v>10.1</v>
      </c>
      <c r="J188" s="21">
        <v>0.2</v>
      </c>
      <c r="K188" s="20">
        <f t="shared" ca="1" si="3"/>
        <v>2.02</v>
      </c>
    </row>
    <row r="189" spans="2:11">
      <c r="B189" s="18" t="str">
        <f xml:space="preserve"> TRIM( "9781576759806" )</f>
        <v>9781576759806</v>
      </c>
      <c r="C189" s="18" t="str">
        <f xml:space="preserve"> TRIM( "9781605098906" )</f>
        <v>9781605098906</v>
      </c>
      <c r="D189" s="18" t="s">
        <v>433</v>
      </c>
      <c r="E189" s="18" t="s">
        <v>37</v>
      </c>
      <c r="F189" s="18" t="s">
        <v>434</v>
      </c>
      <c r="G189" s="18" t="s">
        <v>40</v>
      </c>
      <c r="H189" s="18">
        <v>0.25</v>
      </c>
      <c r="I189" s="20">
        <v>7.0000000000000007E-2</v>
      </c>
      <c r="J189" s="21">
        <v>0.25</v>
      </c>
      <c r="K189" s="20">
        <f t="shared" ca="1" si="3"/>
        <v>0.02</v>
      </c>
    </row>
    <row r="190" spans="2:11">
      <c r="B190" s="18" t="str">
        <f xml:space="preserve"> TRIM( "9781576759820" )</f>
        <v>9781576759820</v>
      </c>
      <c r="C190" s="18" t="str">
        <f xml:space="preserve"> TRIM( "9781576759820" )</f>
        <v>9781576759820</v>
      </c>
      <c r="D190" s="18" t="s">
        <v>436</v>
      </c>
      <c r="E190" s="18" t="s">
        <v>37</v>
      </c>
      <c r="F190" s="18" t="s">
        <v>344</v>
      </c>
      <c r="G190" s="18" t="s">
        <v>39</v>
      </c>
      <c r="H190" s="18">
        <v>0.2</v>
      </c>
      <c r="I190" s="20">
        <v>2.3199999999999998</v>
      </c>
      <c r="J190" s="21">
        <v>0.2</v>
      </c>
      <c r="K190" s="20">
        <f t="shared" ca="1" si="3"/>
        <v>0.46</v>
      </c>
    </row>
    <row r="191" spans="2:11">
      <c r="B191" s="18" t="str">
        <f xml:space="preserve"> TRIM( "9781576759837" )</f>
        <v>9781576759837</v>
      </c>
      <c r="C191" s="18" t="str">
        <f xml:space="preserve"> TRIM( "9781576759837" )</f>
        <v>9781576759837</v>
      </c>
      <c r="D191" s="18" t="s">
        <v>438</v>
      </c>
      <c r="E191" s="18" t="s">
        <v>37</v>
      </c>
      <c r="F191" s="18" t="s">
        <v>389</v>
      </c>
      <c r="G191" s="18" t="s">
        <v>39</v>
      </c>
      <c r="H191" s="18">
        <v>0.2</v>
      </c>
      <c r="I191" s="20">
        <v>7.15</v>
      </c>
      <c r="J191" s="21">
        <v>0.2</v>
      </c>
      <c r="K191" s="20">
        <f t="shared" ca="1" si="3"/>
        <v>1.43</v>
      </c>
    </row>
    <row r="192" spans="2:11">
      <c r="B192" s="18" t="str">
        <f xml:space="preserve"> TRIM( "9781576759875" )</f>
        <v>9781576759875</v>
      </c>
      <c r="C192" s="18" t="str">
        <f xml:space="preserve"> TRIM( "9781576759875" )</f>
        <v>9781576759875</v>
      </c>
      <c r="D192" s="18" t="s">
        <v>440</v>
      </c>
      <c r="E192" s="18" t="s">
        <v>37</v>
      </c>
      <c r="F192" s="18" t="s">
        <v>441</v>
      </c>
      <c r="G192" s="18" t="s">
        <v>39</v>
      </c>
      <c r="H192" s="18">
        <v>0.2</v>
      </c>
      <c r="I192" s="20">
        <v>2.1800000000000002</v>
      </c>
      <c r="J192" s="21">
        <v>0.2</v>
      </c>
      <c r="K192" s="20">
        <f t="shared" ca="1" si="3"/>
        <v>0.44</v>
      </c>
    </row>
    <row r="193" spans="2:11">
      <c r="B193" s="18" t="str">
        <f xml:space="preserve"> TRIM( "9781576759882" )</f>
        <v>9781576759882</v>
      </c>
      <c r="C193" s="18" t="str">
        <f xml:space="preserve"> TRIM( "9781576759882" )</f>
        <v>9781576759882</v>
      </c>
      <c r="D193" s="18" t="s">
        <v>443</v>
      </c>
      <c r="E193" s="18" t="s">
        <v>37</v>
      </c>
      <c r="F193" s="18" t="s">
        <v>444</v>
      </c>
      <c r="G193" s="18" t="s">
        <v>39</v>
      </c>
      <c r="H193" s="18">
        <v>0.2</v>
      </c>
      <c r="I193" s="20">
        <v>6.9</v>
      </c>
      <c r="J193" s="21">
        <v>0.2</v>
      </c>
      <c r="K193" s="20">
        <f t="shared" ca="1" si="3"/>
        <v>1.38</v>
      </c>
    </row>
    <row r="194" spans="2:11">
      <c r="B194" s="18" t="str">
        <f xml:space="preserve"> TRIM( "9781576759882" )</f>
        <v>9781576759882</v>
      </c>
      <c r="C194" s="18" t="str">
        <f xml:space="preserve"> TRIM( "9781576759882" )</f>
        <v>9781576759882</v>
      </c>
      <c r="D194" s="18" t="s">
        <v>443</v>
      </c>
      <c r="E194" s="18" t="s">
        <v>37</v>
      </c>
      <c r="F194" s="18" t="s">
        <v>444</v>
      </c>
      <c r="G194" s="18" t="s">
        <v>40</v>
      </c>
      <c r="H194" s="18">
        <v>0.25</v>
      </c>
      <c r="I194" s="20">
        <v>0.05</v>
      </c>
      <c r="J194" s="21">
        <v>0.25</v>
      </c>
      <c r="K194" s="20">
        <f t="shared" ca="1" si="3"/>
        <v>0.01</v>
      </c>
    </row>
    <row r="195" spans="2:11">
      <c r="B195" s="18" t="str">
        <f xml:space="preserve"> TRIM( "9781576759905" )</f>
        <v>9781576759905</v>
      </c>
      <c r="C195" s="18" t="str">
        <f xml:space="preserve"> TRIM( "9781576759905" )</f>
        <v>9781576759905</v>
      </c>
      <c r="D195" s="18" t="s">
        <v>446</v>
      </c>
      <c r="E195" s="18" t="s">
        <v>37</v>
      </c>
      <c r="F195" s="18" t="s">
        <v>447</v>
      </c>
      <c r="G195" s="18" t="s">
        <v>39</v>
      </c>
      <c r="H195" s="18">
        <v>0.2</v>
      </c>
      <c r="I195" s="20">
        <v>2.14</v>
      </c>
      <c r="J195" s="21">
        <v>0.2</v>
      </c>
      <c r="K195" s="20">
        <f t="shared" ca="1" si="3"/>
        <v>0.43</v>
      </c>
    </row>
    <row r="196" spans="2:11">
      <c r="B196" s="18" t="str">
        <f xml:space="preserve"> TRIM( "9781605090030" )</f>
        <v>9781605090030</v>
      </c>
      <c r="C196" s="18" t="str">
        <f xml:space="preserve"> TRIM( "9781605090030" )</f>
        <v>9781605090030</v>
      </c>
      <c r="D196" s="18" t="s">
        <v>449</v>
      </c>
      <c r="E196" s="18" t="s">
        <v>37</v>
      </c>
      <c r="F196" s="18" t="s">
        <v>450</v>
      </c>
      <c r="G196" s="18" t="s">
        <v>39</v>
      </c>
      <c r="H196" s="18">
        <v>0.2</v>
      </c>
      <c r="I196" s="20">
        <v>5.41</v>
      </c>
      <c r="J196" s="21">
        <v>0.2</v>
      </c>
      <c r="K196" s="20">
        <f t="shared" ca="1" si="3"/>
        <v>1.08</v>
      </c>
    </row>
    <row r="197" spans="2:11">
      <c r="B197" s="18" t="str">
        <f xml:space="preserve"> TRIM( "9781605090054" )</f>
        <v>9781605090054</v>
      </c>
      <c r="C197" s="18" t="str">
        <f xml:space="preserve"> TRIM( "9781605090054" )</f>
        <v>9781605090054</v>
      </c>
      <c r="D197" s="18" t="s">
        <v>452</v>
      </c>
      <c r="E197" s="18" t="s">
        <v>37</v>
      </c>
      <c r="F197" s="18" t="s">
        <v>453</v>
      </c>
      <c r="G197" s="18" t="s">
        <v>39</v>
      </c>
      <c r="H197" s="18">
        <v>0.2</v>
      </c>
      <c r="I197" s="20">
        <v>1.92</v>
      </c>
      <c r="J197" s="21">
        <v>0.2</v>
      </c>
      <c r="K197" s="20">
        <f t="shared" ca="1" si="3"/>
        <v>0.38</v>
      </c>
    </row>
    <row r="198" spans="2:11">
      <c r="B198" s="18" t="str">
        <f xml:space="preserve"> TRIM( "9781605090085" )</f>
        <v>9781605090085</v>
      </c>
      <c r="C198" s="18" t="str">
        <f xml:space="preserve"> TRIM( "9781605090085" )</f>
        <v>9781605090085</v>
      </c>
      <c r="D198" s="18" t="s">
        <v>455</v>
      </c>
      <c r="E198" s="18" t="s">
        <v>37</v>
      </c>
      <c r="F198" s="18" t="s">
        <v>456</v>
      </c>
      <c r="G198" s="18" t="s">
        <v>39</v>
      </c>
      <c r="H198" s="18">
        <v>0.2</v>
      </c>
      <c r="I198" s="20">
        <v>10.77</v>
      </c>
      <c r="J198" s="21">
        <v>0.2</v>
      </c>
      <c r="K198" s="20">
        <f t="shared" ca="1" si="3"/>
        <v>2.15</v>
      </c>
    </row>
    <row r="199" spans="2:11">
      <c r="B199" s="18" t="str">
        <f xml:space="preserve"> TRIM( "9781605090085" )</f>
        <v>9781605090085</v>
      </c>
      <c r="C199" s="18" t="str">
        <f xml:space="preserve"> TRIM( "9781605090085" )</f>
        <v>9781605090085</v>
      </c>
      <c r="D199" s="18" t="s">
        <v>455</v>
      </c>
      <c r="E199" s="18" t="s">
        <v>37</v>
      </c>
      <c r="F199" s="18" t="s">
        <v>456</v>
      </c>
      <c r="G199" s="18" t="s">
        <v>40</v>
      </c>
      <c r="H199" s="18">
        <v>0.25</v>
      </c>
      <c r="I199" s="20">
        <v>19.149999999999999</v>
      </c>
      <c r="J199" s="21">
        <v>0.25</v>
      </c>
      <c r="K199" s="20">
        <f t="shared" ca="1" si="3"/>
        <v>4.79</v>
      </c>
    </row>
    <row r="200" spans="2:11">
      <c r="B200" s="18" t="str">
        <f xml:space="preserve"> TRIM( "9781605090108" )</f>
        <v>9781605090108</v>
      </c>
      <c r="C200" s="18" t="str">
        <f xml:space="preserve"> TRIM( "9781605090108" )</f>
        <v>9781605090108</v>
      </c>
      <c r="D200" s="18" t="s">
        <v>458</v>
      </c>
      <c r="E200" s="18" t="s">
        <v>37</v>
      </c>
      <c r="F200" s="18" t="s">
        <v>459</v>
      </c>
      <c r="G200" s="18" t="s">
        <v>39</v>
      </c>
      <c r="H200" s="18">
        <v>0.2</v>
      </c>
      <c r="I200" s="20">
        <v>2.2200000000000002</v>
      </c>
      <c r="J200" s="21">
        <v>0.2</v>
      </c>
      <c r="K200" s="20">
        <f t="shared" ca="1" si="3"/>
        <v>0.44</v>
      </c>
    </row>
    <row r="201" spans="2:11">
      <c r="B201" s="18" t="str">
        <f xml:space="preserve"> TRIM( "9781605090108" )</f>
        <v>9781605090108</v>
      </c>
      <c r="C201" s="18" t="str">
        <f xml:space="preserve"> TRIM( "9781605090108" )</f>
        <v>9781605090108</v>
      </c>
      <c r="D201" s="18" t="s">
        <v>458</v>
      </c>
      <c r="E201" s="18" t="s">
        <v>37</v>
      </c>
      <c r="F201" s="18" t="s">
        <v>459</v>
      </c>
      <c r="G201" s="18" t="s">
        <v>40</v>
      </c>
      <c r="H201" s="18">
        <v>0.25</v>
      </c>
      <c r="I201" s="20">
        <v>1.05</v>
      </c>
      <c r="J201" s="21">
        <v>0.25</v>
      </c>
      <c r="K201" s="20">
        <f t="shared" ca="1" si="3"/>
        <v>0.26</v>
      </c>
    </row>
    <row r="202" spans="2:11">
      <c r="B202" s="18" t="str">
        <f xml:space="preserve"> TRIM( "9781605090153" )</f>
        <v>9781605090153</v>
      </c>
      <c r="C202" s="18" t="str">
        <f xml:space="preserve"> TRIM( "9781605090153" )</f>
        <v>9781605090153</v>
      </c>
      <c r="D202" s="18" t="s">
        <v>461</v>
      </c>
      <c r="E202" s="18" t="s">
        <v>37</v>
      </c>
      <c r="F202" s="18" t="s">
        <v>462</v>
      </c>
      <c r="G202" s="18" t="s">
        <v>39</v>
      </c>
      <c r="H202" s="18">
        <v>0.2</v>
      </c>
      <c r="I202" s="20">
        <v>1.92</v>
      </c>
      <c r="J202" s="21">
        <v>0.2</v>
      </c>
      <c r="K202" s="20">
        <f t="shared" ca="1" si="3"/>
        <v>0.38</v>
      </c>
    </row>
    <row r="203" spans="2:11">
      <c r="B203" s="18" t="str">
        <f xml:space="preserve"> TRIM( "9781605091365" )</f>
        <v>9781605091365</v>
      </c>
      <c r="C203" s="18" t="str">
        <f xml:space="preserve"> TRIM( "9781605091365" )</f>
        <v>9781605091365</v>
      </c>
      <c r="D203" s="18" t="s">
        <v>464</v>
      </c>
      <c r="E203" s="18" t="s">
        <v>37</v>
      </c>
      <c r="F203" s="18" t="s">
        <v>465</v>
      </c>
      <c r="G203" s="18" t="s">
        <v>39</v>
      </c>
      <c r="H203" s="18">
        <v>0.2</v>
      </c>
      <c r="I203" s="20">
        <v>2.15</v>
      </c>
      <c r="J203" s="21">
        <v>0.2</v>
      </c>
      <c r="K203" s="20">
        <f t="shared" ca="1" si="3"/>
        <v>0.43</v>
      </c>
    </row>
    <row r="204" spans="2:11">
      <c r="B204" s="18" t="str">
        <f xml:space="preserve"> TRIM( "9781605091389" )</f>
        <v>9781605091389</v>
      </c>
      <c r="C204" s="18" t="str">
        <f xml:space="preserve"> TRIM( "9781605091389" )</f>
        <v>9781605091389</v>
      </c>
      <c r="D204" s="18" t="s">
        <v>467</v>
      </c>
      <c r="E204" s="18" t="s">
        <v>37</v>
      </c>
      <c r="F204" s="18" t="s">
        <v>468</v>
      </c>
      <c r="G204" s="18" t="s">
        <v>39</v>
      </c>
      <c r="H204" s="18">
        <v>0.2</v>
      </c>
      <c r="I204" s="20">
        <v>2.0299999999999998</v>
      </c>
      <c r="J204" s="21">
        <v>0.2</v>
      </c>
      <c r="K204" s="20">
        <f t="shared" ca="1" si="3"/>
        <v>0.41</v>
      </c>
    </row>
    <row r="205" spans="2:11">
      <c r="B205" s="18" t="str">
        <f xml:space="preserve"> TRIM( "9781605091396" )</f>
        <v>9781605091396</v>
      </c>
      <c r="C205" s="18" t="str">
        <f xml:space="preserve"> TRIM( "9781605091396" )</f>
        <v>9781605091396</v>
      </c>
      <c r="D205" s="18" t="s">
        <v>470</v>
      </c>
      <c r="E205" s="18" t="s">
        <v>37</v>
      </c>
      <c r="F205" s="18" t="s">
        <v>471</v>
      </c>
      <c r="G205" s="18" t="s">
        <v>39</v>
      </c>
      <c r="H205" s="18">
        <v>0.2</v>
      </c>
      <c r="I205" s="20">
        <v>3.26</v>
      </c>
      <c r="J205" s="21">
        <v>0.2</v>
      </c>
      <c r="K205" s="20">
        <f t="shared" ca="1" si="3"/>
        <v>0.65</v>
      </c>
    </row>
    <row r="206" spans="2:11">
      <c r="B206" s="18" t="str">
        <f xml:space="preserve"> TRIM( "9781605091457" )</f>
        <v>9781605091457</v>
      </c>
      <c r="C206" s="18" t="str">
        <f xml:space="preserve"> TRIM( "9781605091457" )</f>
        <v>9781605091457</v>
      </c>
      <c r="D206" s="18" t="s">
        <v>473</v>
      </c>
      <c r="E206" s="18" t="s">
        <v>37</v>
      </c>
      <c r="F206" s="18" t="s">
        <v>474</v>
      </c>
      <c r="G206" s="18" t="s">
        <v>39</v>
      </c>
      <c r="H206" s="18">
        <v>0.2</v>
      </c>
      <c r="I206" s="20">
        <v>1.92</v>
      </c>
      <c r="J206" s="21">
        <v>0.2</v>
      </c>
      <c r="K206" s="20">
        <f t="shared" ca="1" si="3"/>
        <v>0.38</v>
      </c>
    </row>
    <row r="207" spans="2:11">
      <c r="B207" s="18" t="str">
        <f xml:space="preserve"> TRIM( "9781605091464" )</f>
        <v>9781605091464</v>
      </c>
      <c r="C207" s="18" t="str">
        <f xml:space="preserve"> TRIM( "9781605091464" )</f>
        <v>9781605091464</v>
      </c>
      <c r="D207" s="18" t="s">
        <v>476</v>
      </c>
      <c r="E207" s="18" t="s">
        <v>37</v>
      </c>
      <c r="F207" s="18" t="s">
        <v>477</v>
      </c>
      <c r="G207" s="18" t="s">
        <v>39</v>
      </c>
      <c r="H207" s="18">
        <v>0.2</v>
      </c>
      <c r="I207" s="20">
        <v>2.0299999999999998</v>
      </c>
      <c r="J207" s="21">
        <v>0.2</v>
      </c>
      <c r="K207" s="20">
        <f t="shared" ca="1" si="3"/>
        <v>0.41</v>
      </c>
    </row>
    <row r="208" spans="2:11">
      <c r="B208" s="18" t="str">
        <f xml:space="preserve"> TRIM( "9781605091464" )</f>
        <v>9781605091464</v>
      </c>
      <c r="C208" s="18" t="str">
        <f xml:space="preserve"> TRIM( "9781605091464" )</f>
        <v>9781605091464</v>
      </c>
      <c r="D208" s="18" t="s">
        <v>476</v>
      </c>
      <c r="E208" s="18" t="s">
        <v>37</v>
      </c>
      <c r="F208" s="18" t="s">
        <v>477</v>
      </c>
      <c r="G208" s="18" t="s">
        <v>40</v>
      </c>
      <c r="H208" s="18">
        <v>0.25</v>
      </c>
      <c r="I208" s="20">
        <v>0.04</v>
      </c>
      <c r="J208" s="21">
        <v>0.25</v>
      </c>
      <c r="K208" s="20">
        <f t="shared" ref="K208:K271" ca="1" si="4" xml:space="preserve"> ROUND( ( INDIRECT( ADDRESS( ROW(), COLUMN()- 2 ))) * ( INDIRECT( ADDRESS( ROW(), COLUMN()- 1 ))), 2 )</f>
        <v>0.01</v>
      </c>
    </row>
    <row r="209" spans="2:11">
      <c r="B209" s="18" t="str">
        <f xml:space="preserve"> TRIM( "9781605091471" )</f>
        <v>9781605091471</v>
      </c>
      <c r="C209" s="18" t="str">
        <f xml:space="preserve"> TRIM( "9781605091471" )</f>
        <v>9781605091471</v>
      </c>
      <c r="D209" s="18" t="s">
        <v>479</v>
      </c>
      <c r="E209" s="18" t="s">
        <v>37</v>
      </c>
      <c r="F209" s="18" t="s">
        <v>477</v>
      </c>
      <c r="G209" s="18" t="s">
        <v>39</v>
      </c>
      <c r="H209" s="18">
        <v>0.2</v>
      </c>
      <c r="I209" s="20">
        <v>3.67</v>
      </c>
      <c r="J209" s="21">
        <v>0.2</v>
      </c>
      <c r="K209" s="20">
        <f t="shared" ca="1" si="4"/>
        <v>0.73</v>
      </c>
    </row>
    <row r="210" spans="2:11">
      <c r="B210" s="18" t="str">
        <f xml:space="preserve"> TRIM( "9781605091471" )</f>
        <v>9781605091471</v>
      </c>
      <c r="C210" s="18" t="str">
        <f xml:space="preserve"> TRIM( "9781605091471" )</f>
        <v>9781605091471</v>
      </c>
      <c r="D210" s="18" t="s">
        <v>479</v>
      </c>
      <c r="E210" s="18" t="s">
        <v>37</v>
      </c>
      <c r="F210" s="18" t="s">
        <v>477</v>
      </c>
      <c r="G210" s="18" t="s">
        <v>40</v>
      </c>
      <c r="H210" s="18">
        <v>0.25</v>
      </c>
      <c r="I210" s="20">
        <v>0.57999999999999996</v>
      </c>
      <c r="J210" s="21">
        <v>0.25</v>
      </c>
      <c r="K210" s="20">
        <f t="shared" ca="1" si="4"/>
        <v>0.15</v>
      </c>
    </row>
    <row r="211" spans="2:11">
      <c r="B211" s="18" t="str">
        <f xml:space="preserve"> TRIM( "9781605091501" )</f>
        <v>9781605091501</v>
      </c>
      <c r="C211" s="18" t="str">
        <f xml:space="preserve"> TRIM( "9781605091501" )</f>
        <v>9781605091501</v>
      </c>
      <c r="D211" s="18" t="s">
        <v>481</v>
      </c>
      <c r="E211" s="18" t="s">
        <v>37</v>
      </c>
      <c r="F211" s="18" t="s">
        <v>482</v>
      </c>
      <c r="G211" s="18" t="s">
        <v>39</v>
      </c>
      <c r="H211" s="18">
        <v>0.2</v>
      </c>
      <c r="I211" s="20">
        <v>11.78</v>
      </c>
      <c r="J211" s="21">
        <v>0.2</v>
      </c>
      <c r="K211" s="20">
        <f t="shared" ca="1" si="4"/>
        <v>2.36</v>
      </c>
    </row>
    <row r="212" spans="2:11">
      <c r="B212" s="18" t="str">
        <f xml:space="preserve"> TRIM( "9781605091501" )</f>
        <v>9781605091501</v>
      </c>
      <c r="C212" s="18" t="str">
        <f xml:space="preserve"> TRIM( "9781605091501" )</f>
        <v>9781605091501</v>
      </c>
      <c r="D212" s="18" t="s">
        <v>481</v>
      </c>
      <c r="E212" s="18" t="s">
        <v>37</v>
      </c>
      <c r="F212" s="18" t="s">
        <v>482</v>
      </c>
      <c r="G212" s="18" t="s">
        <v>40</v>
      </c>
      <c r="H212" s="18">
        <v>0.25</v>
      </c>
      <c r="I212" s="20">
        <v>0.02</v>
      </c>
      <c r="J212" s="21">
        <v>0.25</v>
      </c>
      <c r="K212" s="20">
        <f t="shared" ca="1" si="4"/>
        <v>0.01</v>
      </c>
    </row>
    <row r="213" spans="2:11">
      <c r="B213" s="18" t="str">
        <f xml:space="preserve"> TRIM( "9781605092515" )</f>
        <v>9781605092515</v>
      </c>
      <c r="C213" s="18" t="str">
        <f xml:space="preserve"> TRIM( "9781605092515" )</f>
        <v>9781605092515</v>
      </c>
      <c r="D213" s="18" t="s">
        <v>484</v>
      </c>
      <c r="E213" s="18" t="s">
        <v>37</v>
      </c>
      <c r="F213" s="18" t="s">
        <v>485</v>
      </c>
      <c r="G213" s="18" t="s">
        <v>39</v>
      </c>
      <c r="H213" s="18">
        <v>0.2</v>
      </c>
      <c r="I213" s="20">
        <v>12.12</v>
      </c>
      <c r="J213" s="21">
        <v>0.2</v>
      </c>
      <c r="K213" s="20">
        <f t="shared" ca="1" si="4"/>
        <v>2.42</v>
      </c>
    </row>
    <row r="214" spans="2:11">
      <c r="B214" s="18" t="str">
        <f xml:space="preserve"> TRIM( "9781605092515" )</f>
        <v>9781605092515</v>
      </c>
      <c r="C214" s="18" t="str">
        <f xml:space="preserve"> TRIM( "9781605092515" )</f>
        <v>9781605092515</v>
      </c>
      <c r="D214" s="18" t="s">
        <v>484</v>
      </c>
      <c r="E214" s="18" t="s">
        <v>37</v>
      </c>
      <c r="F214" s="18" t="s">
        <v>485</v>
      </c>
      <c r="G214" s="18" t="s">
        <v>40</v>
      </c>
      <c r="H214" s="18">
        <v>0.25</v>
      </c>
      <c r="I214" s="20">
        <v>4.09</v>
      </c>
      <c r="J214" s="21">
        <v>0.25</v>
      </c>
      <c r="K214" s="20">
        <f t="shared" ca="1" si="4"/>
        <v>1.02</v>
      </c>
    </row>
    <row r="215" spans="2:11">
      <c r="B215" s="18" t="str">
        <f xml:space="preserve"> TRIM( "9781605092539" )</f>
        <v>9781605092539</v>
      </c>
      <c r="C215" s="18" t="str">
        <f xml:space="preserve"> TRIM( "9781605092539" )</f>
        <v>9781605092539</v>
      </c>
      <c r="D215" s="18" t="s">
        <v>487</v>
      </c>
      <c r="E215" s="18" t="s">
        <v>37</v>
      </c>
      <c r="F215" s="18" t="s">
        <v>488</v>
      </c>
      <c r="G215" s="18" t="s">
        <v>39</v>
      </c>
      <c r="H215" s="18">
        <v>0.2</v>
      </c>
      <c r="I215" s="20">
        <v>1.92</v>
      </c>
      <c r="J215" s="21">
        <v>0.2</v>
      </c>
      <c r="K215" s="20">
        <f t="shared" ca="1" si="4"/>
        <v>0.38</v>
      </c>
    </row>
    <row r="216" spans="2:11">
      <c r="B216" s="18" t="str">
        <f xml:space="preserve"> TRIM( "9781605092584" )</f>
        <v>9781605092584</v>
      </c>
      <c r="C216" s="18" t="str">
        <f xml:space="preserve"> TRIM( "9781605092584" )</f>
        <v>9781605092584</v>
      </c>
      <c r="D216" s="18" t="s">
        <v>490</v>
      </c>
      <c r="E216" s="18" t="s">
        <v>37</v>
      </c>
      <c r="F216" s="18" t="s">
        <v>491</v>
      </c>
      <c r="G216" s="18" t="s">
        <v>39</v>
      </c>
      <c r="H216" s="18">
        <v>0.2</v>
      </c>
      <c r="I216" s="20">
        <v>2.2400000000000002</v>
      </c>
      <c r="J216" s="21">
        <v>0.2</v>
      </c>
      <c r="K216" s="20">
        <f t="shared" ca="1" si="4"/>
        <v>0.45</v>
      </c>
    </row>
    <row r="217" spans="2:11">
      <c r="B217" s="18" t="str">
        <f xml:space="preserve"> TRIM( "9781605092638" )</f>
        <v>9781605092638</v>
      </c>
      <c r="C217" s="18" t="str">
        <f xml:space="preserve"> TRIM( "9781605092638" )</f>
        <v>9781605092638</v>
      </c>
      <c r="D217" s="18" t="s">
        <v>493</v>
      </c>
      <c r="E217" s="18" t="s">
        <v>37</v>
      </c>
      <c r="F217" s="18" t="s">
        <v>494</v>
      </c>
      <c r="G217" s="18" t="s">
        <v>39</v>
      </c>
      <c r="H217" s="18">
        <v>0.2</v>
      </c>
      <c r="I217" s="20">
        <v>16.27</v>
      </c>
      <c r="J217" s="21">
        <v>0.2</v>
      </c>
      <c r="K217" s="20">
        <f t="shared" ca="1" si="4"/>
        <v>3.25</v>
      </c>
    </row>
    <row r="218" spans="2:11">
      <c r="B218" s="18" t="str">
        <f xml:space="preserve"> TRIM( "9781605092669" )</f>
        <v>9781605092669</v>
      </c>
      <c r="C218" s="18" t="str">
        <f xml:space="preserve"> TRIM( "9781605092669" )</f>
        <v>9781605092669</v>
      </c>
      <c r="D218" s="18" t="s">
        <v>496</v>
      </c>
      <c r="E218" s="18" t="s">
        <v>37</v>
      </c>
      <c r="F218" s="18" t="s">
        <v>497</v>
      </c>
      <c r="G218" s="18" t="s">
        <v>39</v>
      </c>
      <c r="H218" s="18">
        <v>0.2</v>
      </c>
      <c r="I218" s="20">
        <v>2.08</v>
      </c>
      <c r="J218" s="21">
        <v>0.2</v>
      </c>
      <c r="K218" s="20">
        <f t="shared" ca="1" si="4"/>
        <v>0.42</v>
      </c>
    </row>
    <row r="219" spans="2:11">
      <c r="B219" s="18" t="str">
        <f xml:space="preserve"> TRIM( "9781605092690" )</f>
        <v>9781605092690</v>
      </c>
      <c r="C219" s="18" t="str">
        <f xml:space="preserve"> TRIM( "9781605092690" )</f>
        <v>9781605092690</v>
      </c>
      <c r="D219" s="18" t="s">
        <v>499</v>
      </c>
      <c r="E219" s="18" t="s">
        <v>37</v>
      </c>
      <c r="F219" s="18" t="s">
        <v>500</v>
      </c>
      <c r="G219" s="18" t="s">
        <v>39</v>
      </c>
      <c r="H219" s="18">
        <v>0.2</v>
      </c>
      <c r="I219" s="20">
        <v>1.92</v>
      </c>
      <c r="J219" s="21">
        <v>0.2</v>
      </c>
      <c r="K219" s="20">
        <f t="shared" ca="1" si="4"/>
        <v>0.38</v>
      </c>
    </row>
    <row r="220" spans="2:11">
      <c r="B220" s="18" t="str">
        <f xml:space="preserve"> TRIM( "9781605092690" )</f>
        <v>9781605092690</v>
      </c>
      <c r="C220" s="18" t="str">
        <f xml:space="preserve"> TRIM( "9781605092690" )</f>
        <v>9781605092690</v>
      </c>
      <c r="D220" s="18" t="s">
        <v>499</v>
      </c>
      <c r="E220" s="18" t="s">
        <v>37</v>
      </c>
      <c r="F220" s="18" t="s">
        <v>500</v>
      </c>
      <c r="G220" s="18" t="s">
        <v>40</v>
      </c>
      <c r="H220" s="18">
        <v>0.25</v>
      </c>
      <c r="I220" s="20">
        <v>1.1399999999999999</v>
      </c>
      <c r="J220" s="21">
        <v>0.25</v>
      </c>
      <c r="K220" s="20">
        <f t="shared" ca="1" si="4"/>
        <v>0.28999999999999998</v>
      </c>
    </row>
    <row r="221" spans="2:11">
      <c r="B221" s="18" t="str">
        <f xml:space="preserve"> TRIM( "9781605092713" )</f>
        <v>9781605092713</v>
      </c>
      <c r="C221" s="18" t="str">
        <f xml:space="preserve"> TRIM( "9781605092713" )</f>
        <v>9781605092713</v>
      </c>
      <c r="D221" s="18" t="s">
        <v>502</v>
      </c>
      <c r="E221" s="18" t="s">
        <v>37</v>
      </c>
      <c r="F221" s="18" t="s">
        <v>503</v>
      </c>
      <c r="G221" s="18" t="s">
        <v>39</v>
      </c>
      <c r="H221" s="18">
        <v>0.2</v>
      </c>
      <c r="I221" s="20">
        <v>1.43</v>
      </c>
      <c r="J221" s="21">
        <v>0.2</v>
      </c>
      <c r="K221" s="20">
        <f t="shared" ca="1" si="4"/>
        <v>0.28999999999999998</v>
      </c>
    </row>
    <row r="222" spans="2:11">
      <c r="B222" s="18" t="str">
        <f xml:space="preserve"> TRIM( "9781605092744" )</f>
        <v>9781605092744</v>
      </c>
      <c r="C222" s="18" t="str">
        <f xml:space="preserve"> TRIM( "9781605092744" )</f>
        <v>9781605092744</v>
      </c>
      <c r="D222" s="18" t="s">
        <v>505</v>
      </c>
      <c r="E222" s="18" t="s">
        <v>37</v>
      </c>
      <c r="F222" s="18" t="s">
        <v>506</v>
      </c>
      <c r="G222" s="18" t="s">
        <v>39</v>
      </c>
      <c r="H222" s="18">
        <v>0.2</v>
      </c>
      <c r="I222" s="20">
        <v>2.52</v>
      </c>
      <c r="J222" s="21">
        <v>0.2</v>
      </c>
      <c r="K222" s="20">
        <f t="shared" ca="1" si="4"/>
        <v>0.5</v>
      </c>
    </row>
    <row r="223" spans="2:11">
      <c r="B223" s="18" t="str">
        <f xml:space="preserve"> TRIM( "9781605092782" )</f>
        <v>9781605092782</v>
      </c>
      <c r="C223" s="18" t="str">
        <f xml:space="preserve"> TRIM( "9781605092782" )</f>
        <v>9781605092782</v>
      </c>
      <c r="D223" s="18" t="s">
        <v>508</v>
      </c>
      <c r="E223" s="18" t="s">
        <v>37</v>
      </c>
      <c r="F223" s="18" t="s">
        <v>509</v>
      </c>
      <c r="G223" s="18" t="s">
        <v>39</v>
      </c>
      <c r="H223" s="18">
        <v>0.2</v>
      </c>
      <c r="I223" s="20">
        <v>1.92</v>
      </c>
      <c r="J223" s="21">
        <v>0.2</v>
      </c>
      <c r="K223" s="20">
        <f t="shared" ca="1" si="4"/>
        <v>0.38</v>
      </c>
    </row>
    <row r="224" spans="2:11">
      <c r="B224" s="18" t="str">
        <f xml:space="preserve"> TRIM( "9781605092812" )</f>
        <v>9781605092812</v>
      </c>
      <c r="C224" s="18" t="str">
        <f xml:space="preserve"> TRIM( "9781605092812" )</f>
        <v>9781605092812</v>
      </c>
      <c r="D224" s="18" t="s">
        <v>511</v>
      </c>
      <c r="E224" s="18" t="s">
        <v>37</v>
      </c>
      <c r="F224" s="18" t="s">
        <v>512</v>
      </c>
      <c r="G224" s="18" t="s">
        <v>39</v>
      </c>
      <c r="H224" s="18">
        <v>0.2</v>
      </c>
      <c r="I224" s="20">
        <v>14.59</v>
      </c>
      <c r="J224" s="21">
        <v>0.2</v>
      </c>
      <c r="K224" s="20">
        <f t="shared" ca="1" si="4"/>
        <v>2.92</v>
      </c>
    </row>
    <row r="225" spans="2:11">
      <c r="B225" s="18" t="str">
        <f xml:space="preserve"> TRIM( "9781605092829" )</f>
        <v>9781605092829</v>
      </c>
      <c r="C225" s="18" t="str">
        <f xml:space="preserve"> TRIM( "9781605092829" )</f>
        <v>9781605092829</v>
      </c>
      <c r="D225" s="18" t="s">
        <v>514</v>
      </c>
      <c r="E225" s="18" t="s">
        <v>37</v>
      </c>
      <c r="F225" s="18" t="s">
        <v>245</v>
      </c>
      <c r="G225" s="18" t="s">
        <v>39</v>
      </c>
      <c r="H225" s="18">
        <v>0.2</v>
      </c>
      <c r="I225" s="20">
        <v>2.04</v>
      </c>
      <c r="J225" s="21">
        <v>0.2</v>
      </c>
      <c r="K225" s="20">
        <f t="shared" ca="1" si="4"/>
        <v>0.41</v>
      </c>
    </row>
    <row r="226" spans="2:11">
      <c r="B226" s="18" t="str">
        <f xml:space="preserve"> TRIM( "9781605092836" )</f>
        <v>9781605092836</v>
      </c>
      <c r="C226" s="18" t="str">
        <f xml:space="preserve"> TRIM( "9781605092836" )</f>
        <v>9781605092836</v>
      </c>
      <c r="D226" s="18" t="s">
        <v>516</v>
      </c>
      <c r="E226" s="18" t="s">
        <v>37</v>
      </c>
      <c r="F226" s="18" t="s">
        <v>517</v>
      </c>
      <c r="G226" s="18" t="s">
        <v>39</v>
      </c>
      <c r="H226" s="18">
        <v>0.2</v>
      </c>
      <c r="I226" s="20">
        <v>3.13</v>
      </c>
      <c r="J226" s="21">
        <v>0.2</v>
      </c>
      <c r="K226" s="20">
        <f t="shared" ca="1" si="4"/>
        <v>0.63</v>
      </c>
    </row>
    <row r="227" spans="2:11">
      <c r="B227" s="18" t="str">
        <f xml:space="preserve"> TRIM( "9781605092850" )</f>
        <v>9781605092850</v>
      </c>
      <c r="C227" s="18" t="str">
        <f xml:space="preserve"> TRIM( "9781605092850" )</f>
        <v>9781605092850</v>
      </c>
      <c r="D227" s="18" t="s">
        <v>519</v>
      </c>
      <c r="E227" s="18" t="s">
        <v>37</v>
      </c>
      <c r="F227" s="18" t="s">
        <v>520</v>
      </c>
      <c r="G227" s="18" t="s">
        <v>39</v>
      </c>
      <c r="H227" s="18">
        <v>0.2</v>
      </c>
      <c r="I227" s="20">
        <v>1.92</v>
      </c>
      <c r="J227" s="21">
        <v>0.2</v>
      </c>
      <c r="K227" s="20">
        <f t="shared" ca="1" si="4"/>
        <v>0.38</v>
      </c>
    </row>
    <row r="228" spans="2:11">
      <c r="B228" s="18" t="str">
        <f xml:space="preserve"> TRIM( "9781605092874" )</f>
        <v>9781605092874</v>
      </c>
      <c r="C228" s="18" t="str">
        <f xml:space="preserve"> TRIM( "9781605092874" )</f>
        <v>9781605092874</v>
      </c>
      <c r="D228" s="18" t="s">
        <v>522</v>
      </c>
      <c r="E228" s="18" t="s">
        <v>37</v>
      </c>
      <c r="F228" s="18" t="s">
        <v>523</v>
      </c>
      <c r="G228" s="18" t="s">
        <v>39</v>
      </c>
      <c r="H228" s="18">
        <v>0.2</v>
      </c>
      <c r="I228" s="20">
        <v>7.85</v>
      </c>
      <c r="J228" s="21">
        <v>0.2</v>
      </c>
      <c r="K228" s="20">
        <f t="shared" ca="1" si="4"/>
        <v>1.57</v>
      </c>
    </row>
    <row r="229" spans="2:11">
      <c r="B229" s="18" t="str">
        <f xml:space="preserve"> TRIM( "9781605092911" )</f>
        <v>9781605092911</v>
      </c>
      <c r="C229" s="18" t="str">
        <f xml:space="preserve"> TRIM( "9781605092911" )</f>
        <v>9781605092911</v>
      </c>
      <c r="D229" s="18" t="s">
        <v>525</v>
      </c>
      <c r="E229" s="18" t="s">
        <v>37</v>
      </c>
      <c r="F229" s="18" t="s">
        <v>526</v>
      </c>
      <c r="G229" s="18" t="s">
        <v>39</v>
      </c>
      <c r="H229" s="18">
        <v>0.2</v>
      </c>
      <c r="I229" s="20">
        <v>10.72</v>
      </c>
      <c r="J229" s="21">
        <v>0.2</v>
      </c>
      <c r="K229" s="20">
        <f t="shared" ca="1" si="4"/>
        <v>2.14</v>
      </c>
    </row>
    <row r="230" spans="2:11">
      <c r="B230" s="18" t="str">
        <f xml:space="preserve"> TRIM( "9781605092935" )</f>
        <v>9781605092935</v>
      </c>
      <c r="C230" s="18" t="str">
        <f xml:space="preserve"> TRIM( "9781605092935" )</f>
        <v>9781605092935</v>
      </c>
      <c r="D230" s="18" t="s">
        <v>528</v>
      </c>
      <c r="E230" s="18" t="s">
        <v>37</v>
      </c>
      <c r="F230" s="18" t="s">
        <v>529</v>
      </c>
      <c r="G230" s="18" t="s">
        <v>39</v>
      </c>
      <c r="H230" s="18">
        <v>0.2</v>
      </c>
      <c r="I230" s="20">
        <v>3.03</v>
      </c>
      <c r="J230" s="21">
        <v>0.2</v>
      </c>
      <c r="K230" s="20">
        <f t="shared" ca="1" si="4"/>
        <v>0.61</v>
      </c>
    </row>
    <row r="231" spans="2:11">
      <c r="B231" s="18" t="str">
        <f xml:space="preserve"> TRIM( "9781605092942" )</f>
        <v>9781605092942</v>
      </c>
      <c r="C231" s="18" t="str">
        <f xml:space="preserve"> TRIM( "9781605092942" )</f>
        <v>9781605092942</v>
      </c>
      <c r="D231" s="18" t="s">
        <v>531</v>
      </c>
      <c r="E231" s="18" t="s">
        <v>37</v>
      </c>
      <c r="F231" s="18" t="s">
        <v>532</v>
      </c>
      <c r="G231" s="18" t="s">
        <v>39</v>
      </c>
      <c r="H231" s="18">
        <v>0.2</v>
      </c>
      <c r="I231" s="20">
        <v>1.92</v>
      </c>
      <c r="J231" s="21">
        <v>0.2</v>
      </c>
      <c r="K231" s="20">
        <f t="shared" ca="1" si="4"/>
        <v>0.38</v>
      </c>
    </row>
    <row r="232" spans="2:11">
      <c r="B232" s="18" t="str">
        <f xml:space="preserve"> TRIM( "9781605092959" )</f>
        <v>9781605092959</v>
      </c>
      <c r="C232" s="18" t="str">
        <f xml:space="preserve"> TRIM( "9781605092959" )</f>
        <v>9781605092959</v>
      </c>
      <c r="D232" s="18" t="s">
        <v>534</v>
      </c>
      <c r="E232" s="18" t="s">
        <v>37</v>
      </c>
      <c r="F232" s="18" t="s">
        <v>532</v>
      </c>
      <c r="G232" s="18" t="s">
        <v>39</v>
      </c>
      <c r="H232" s="18">
        <v>0.2</v>
      </c>
      <c r="I232" s="20">
        <v>1.92</v>
      </c>
      <c r="J232" s="21">
        <v>0.2</v>
      </c>
      <c r="K232" s="20">
        <f t="shared" ca="1" si="4"/>
        <v>0.38</v>
      </c>
    </row>
    <row r="233" spans="2:11">
      <c r="B233" s="18" t="str">
        <f xml:space="preserve"> TRIM( "9781605092973" )</f>
        <v>9781605092973</v>
      </c>
      <c r="C233" s="18" t="str">
        <f xml:space="preserve"> TRIM( "9781605092973" )</f>
        <v>9781605092973</v>
      </c>
      <c r="D233" s="18" t="s">
        <v>536</v>
      </c>
      <c r="E233" s="18" t="s">
        <v>37</v>
      </c>
      <c r="F233" s="18" t="s">
        <v>537</v>
      </c>
      <c r="G233" s="18" t="s">
        <v>39</v>
      </c>
      <c r="H233" s="18">
        <v>0.2</v>
      </c>
      <c r="I233" s="20">
        <v>2.9</v>
      </c>
      <c r="J233" s="21">
        <v>0.2</v>
      </c>
      <c r="K233" s="20">
        <f t="shared" ca="1" si="4"/>
        <v>0.57999999999999996</v>
      </c>
    </row>
    <row r="234" spans="2:11">
      <c r="B234" s="18" t="str">
        <f xml:space="preserve"> TRIM( "9781605092980" )</f>
        <v>9781605092980</v>
      </c>
      <c r="C234" s="18" t="str">
        <f xml:space="preserve"> TRIM( "9781605092980" )</f>
        <v>9781605092980</v>
      </c>
      <c r="D234" s="18" t="s">
        <v>539</v>
      </c>
      <c r="E234" s="18" t="s">
        <v>37</v>
      </c>
      <c r="F234" s="18" t="s">
        <v>540</v>
      </c>
      <c r="G234" s="18" t="s">
        <v>39</v>
      </c>
      <c r="H234" s="18">
        <v>0.2</v>
      </c>
      <c r="I234" s="20">
        <v>1.95</v>
      </c>
      <c r="J234" s="21">
        <v>0.2</v>
      </c>
      <c r="K234" s="20">
        <f t="shared" ca="1" si="4"/>
        <v>0.39</v>
      </c>
    </row>
    <row r="235" spans="2:11">
      <c r="B235" s="18" t="str">
        <f xml:space="preserve"> TRIM( "9781605093000" )</f>
        <v>9781605093000</v>
      </c>
      <c r="C235" s="18" t="str">
        <f xml:space="preserve"> TRIM( "9781605093000" )</f>
        <v>9781605093000</v>
      </c>
      <c r="D235" s="18" t="s">
        <v>542</v>
      </c>
      <c r="E235" s="18" t="s">
        <v>37</v>
      </c>
      <c r="F235" s="18" t="s">
        <v>543</v>
      </c>
      <c r="G235" s="18" t="s">
        <v>39</v>
      </c>
      <c r="H235" s="18">
        <v>0.2</v>
      </c>
      <c r="I235" s="20">
        <v>3.18</v>
      </c>
      <c r="J235" s="21">
        <v>0.2</v>
      </c>
      <c r="K235" s="20">
        <f t="shared" ca="1" si="4"/>
        <v>0.64</v>
      </c>
    </row>
    <row r="236" spans="2:11">
      <c r="B236" s="18" t="str">
        <f xml:space="preserve"> TRIM( "9781605093017" )</f>
        <v>9781605093017</v>
      </c>
      <c r="C236" s="18" t="str">
        <f xml:space="preserve"> TRIM( "9781605093017" )</f>
        <v>9781605093017</v>
      </c>
      <c r="D236" s="18" t="s">
        <v>545</v>
      </c>
      <c r="E236" s="18" t="s">
        <v>37</v>
      </c>
      <c r="F236" s="18" t="s">
        <v>546</v>
      </c>
      <c r="G236" s="18" t="s">
        <v>39</v>
      </c>
      <c r="H236" s="18">
        <v>0.2</v>
      </c>
      <c r="I236" s="20">
        <v>40.03</v>
      </c>
      <c r="J236" s="21">
        <v>0.2</v>
      </c>
      <c r="K236" s="20">
        <f t="shared" ca="1" si="4"/>
        <v>8.01</v>
      </c>
    </row>
    <row r="237" spans="2:11">
      <c r="B237" s="18" t="str">
        <f xml:space="preserve"> TRIM( "9781605093017" )</f>
        <v>9781605093017</v>
      </c>
      <c r="C237" s="18" t="str">
        <f xml:space="preserve"> TRIM( "9781605093017" )</f>
        <v>9781605093017</v>
      </c>
      <c r="D237" s="18" t="s">
        <v>545</v>
      </c>
      <c r="E237" s="18" t="s">
        <v>37</v>
      </c>
      <c r="F237" s="18" t="s">
        <v>546</v>
      </c>
      <c r="G237" s="18" t="s">
        <v>40</v>
      </c>
      <c r="H237" s="18">
        <v>0.25</v>
      </c>
      <c r="I237" s="20">
        <v>2.2799999999999998</v>
      </c>
      <c r="J237" s="21">
        <v>0.25</v>
      </c>
      <c r="K237" s="20">
        <f t="shared" ca="1" si="4"/>
        <v>0.56999999999999995</v>
      </c>
    </row>
    <row r="238" spans="2:11">
      <c r="B238" s="18" t="str">
        <f xml:space="preserve"> TRIM( "9781605093055" )</f>
        <v>9781605093055</v>
      </c>
      <c r="C238" s="18" t="str">
        <f xml:space="preserve"> TRIM( "9781605093055" )</f>
        <v>9781605093055</v>
      </c>
      <c r="D238" s="18" t="s">
        <v>548</v>
      </c>
      <c r="E238" s="18" t="s">
        <v>37</v>
      </c>
      <c r="F238" s="18" t="s">
        <v>549</v>
      </c>
      <c r="G238" s="18" t="s">
        <v>39</v>
      </c>
      <c r="H238" s="18">
        <v>0.2</v>
      </c>
      <c r="I238" s="20">
        <v>5.91</v>
      </c>
      <c r="J238" s="21">
        <v>0.2</v>
      </c>
      <c r="K238" s="20">
        <f t="shared" ca="1" si="4"/>
        <v>1.18</v>
      </c>
    </row>
    <row r="239" spans="2:11">
      <c r="B239" s="18" t="str">
        <f xml:space="preserve"> TRIM( "9781605093086" )</f>
        <v>9781605093086</v>
      </c>
      <c r="C239" s="18" t="str">
        <f xml:space="preserve"> TRIM( "9781605093086" )</f>
        <v>9781605093086</v>
      </c>
      <c r="D239" s="18" t="s">
        <v>551</v>
      </c>
      <c r="E239" s="18" t="s">
        <v>37</v>
      </c>
      <c r="F239" s="18" t="s">
        <v>552</v>
      </c>
      <c r="G239" s="18" t="s">
        <v>39</v>
      </c>
      <c r="H239" s="18">
        <v>0.2</v>
      </c>
      <c r="I239" s="20">
        <v>2.77</v>
      </c>
      <c r="J239" s="21">
        <v>0.2</v>
      </c>
      <c r="K239" s="20">
        <f t="shared" ca="1" si="4"/>
        <v>0.55000000000000004</v>
      </c>
    </row>
    <row r="240" spans="2:11">
      <c r="B240" s="18" t="str">
        <f xml:space="preserve"> TRIM( "9781605093109" )</f>
        <v>9781605093109</v>
      </c>
      <c r="C240" s="18" t="str">
        <f xml:space="preserve"> TRIM( "9781609945220" )</f>
        <v>9781609945220</v>
      </c>
      <c r="D240" s="18" t="s">
        <v>555</v>
      </c>
      <c r="E240" s="18" t="s">
        <v>37</v>
      </c>
      <c r="F240" s="18" t="s">
        <v>556</v>
      </c>
      <c r="G240" s="18" t="s">
        <v>39</v>
      </c>
      <c r="H240" s="18">
        <v>0.2</v>
      </c>
      <c r="I240" s="20">
        <v>1.93</v>
      </c>
      <c r="J240" s="21">
        <v>0.2</v>
      </c>
      <c r="K240" s="20">
        <f t="shared" ca="1" si="4"/>
        <v>0.39</v>
      </c>
    </row>
    <row r="241" spans="2:11">
      <c r="B241" s="18" t="str">
        <f xml:space="preserve"> TRIM( "9781605093291" )</f>
        <v>9781605093291</v>
      </c>
      <c r="C241" s="18" t="str">
        <f xml:space="preserve"> TRIM( "9781605093291" )</f>
        <v>9781605093291</v>
      </c>
      <c r="D241" s="18" t="s">
        <v>558</v>
      </c>
      <c r="E241" s="18" t="s">
        <v>37</v>
      </c>
      <c r="F241" s="18" t="s">
        <v>559</v>
      </c>
      <c r="G241" s="18" t="s">
        <v>39</v>
      </c>
      <c r="H241" s="18">
        <v>0.2</v>
      </c>
      <c r="I241" s="20">
        <v>33.19</v>
      </c>
      <c r="J241" s="21">
        <v>0.2</v>
      </c>
      <c r="K241" s="20">
        <f t="shared" ca="1" si="4"/>
        <v>6.64</v>
      </c>
    </row>
    <row r="242" spans="2:11">
      <c r="B242" s="18" t="str">
        <f xml:space="preserve"> TRIM( "9781605093314" )</f>
        <v>9781605093314</v>
      </c>
      <c r="C242" s="18" t="str">
        <f xml:space="preserve"> TRIM( "9781605093314" )</f>
        <v>9781605093314</v>
      </c>
      <c r="D242" s="18">
        <v>2048</v>
      </c>
      <c r="E242" s="18" t="s">
        <v>37</v>
      </c>
      <c r="F242" s="18" t="s">
        <v>562</v>
      </c>
      <c r="G242" s="18" t="s">
        <v>39</v>
      </c>
      <c r="H242" s="18">
        <v>0.2</v>
      </c>
      <c r="I242" s="20">
        <v>1.92</v>
      </c>
      <c r="J242" s="21">
        <v>0.2</v>
      </c>
      <c r="K242" s="20">
        <f t="shared" ca="1" si="4"/>
        <v>0.38</v>
      </c>
    </row>
    <row r="243" spans="2:11">
      <c r="B243" s="18" t="str">
        <f xml:space="preserve"> TRIM( "9781605093352" )</f>
        <v>9781605093352</v>
      </c>
      <c r="C243" s="18" t="str">
        <f xml:space="preserve"> TRIM( "9781605093352" )</f>
        <v>9781605093352</v>
      </c>
      <c r="D243" s="18" t="s">
        <v>564</v>
      </c>
      <c r="E243" s="18" t="s">
        <v>37</v>
      </c>
      <c r="F243" s="18" t="s">
        <v>303</v>
      </c>
      <c r="G243" s="18" t="s">
        <v>39</v>
      </c>
      <c r="H243" s="18">
        <v>0.2</v>
      </c>
      <c r="I243" s="20">
        <v>2.2400000000000002</v>
      </c>
      <c r="J243" s="21">
        <v>0.2</v>
      </c>
      <c r="K243" s="20">
        <f t="shared" ca="1" si="4"/>
        <v>0.45</v>
      </c>
    </row>
    <row r="244" spans="2:11">
      <c r="B244" s="18" t="str">
        <f xml:space="preserve"> TRIM( "9781605093352" )</f>
        <v>9781605093352</v>
      </c>
      <c r="C244" s="18" t="str">
        <f xml:space="preserve"> TRIM( "9781605093352" )</f>
        <v>9781605093352</v>
      </c>
      <c r="D244" s="18" t="s">
        <v>564</v>
      </c>
      <c r="E244" s="18" t="s">
        <v>37</v>
      </c>
      <c r="F244" s="18" t="s">
        <v>303</v>
      </c>
      <c r="G244" s="18" t="s">
        <v>40</v>
      </c>
      <c r="H244" s="18">
        <v>0.25</v>
      </c>
      <c r="I244" s="20">
        <v>12.29</v>
      </c>
      <c r="J244" s="21">
        <v>0.25</v>
      </c>
      <c r="K244" s="20">
        <f t="shared" ca="1" si="4"/>
        <v>3.07</v>
      </c>
    </row>
    <row r="245" spans="2:11">
      <c r="B245" s="18" t="str">
        <f xml:space="preserve"> TRIM( "9781605093369" )</f>
        <v>9781605093369</v>
      </c>
      <c r="C245" s="18" t="str">
        <f xml:space="preserve"> TRIM( "9781605093369" )</f>
        <v>9781605093369</v>
      </c>
      <c r="D245" s="18" t="s">
        <v>566</v>
      </c>
      <c r="E245" s="18" t="s">
        <v>37</v>
      </c>
      <c r="F245" s="18" t="s">
        <v>546</v>
      </c>
      <c r="G245" s="18" t="s">
        <v>39</v>
      </c>
      <c r="H245" s="18">
        <v>0.2</v>
      </c>
      <c r="I245" s="20">
        <v>1.92</v>
      </c>
      <c r="J245" s="21">
        <v>0.2</v>
      </c>
      <c r="K245" s="20">
        <f t="shared" ca="1" si="4"/>
        <v>0.38</v>
      </c>
    </row>
    <row r="246" spans="2:11">
      <c r="B246" s="18" t="str">
        <f xml:space="preserve"> TRIM( "9781605093376" )</f>
        <v>9781605093376</v>
      </c>
      <c r="C246" s="18" t="str">
        <f xml:space="preserve"> TRIM( "9781605093376" )</f>
        <v>9781605093376</v>
      </c>
      <c r="D246" s="18" t="s">
        <v>568</v>
      </c>
      <c r="E246" s="18" t="s">
        <v>37</v>
      </c>
      <c r="F246" s="18" t="s">
        <v>569</v>
      </c>
      <c r="G246" s="18" t="s">
        <v>39</v>
      </c>
      <c r="H246" s="18">
        <v>0.2</v>
      </c>
      <c r="I246" s="20">
        <v>2.19</v>
      </c>
      <c r="J246" s="21">
        <v>0.2</v>
      </c>
      <c r="K246" s="20">
        <f t="shared" ca="1" si="4"/>
        <v>0.44</v>
      </c>
    </row>
    <row r="247" spans="2:11">
      <c r="B247" s="18" t="str">
        <f xml:space="preserve"> TRIM( "9781605093376" )</f>
        <v>9781605093376</v>
      </c>
      <c r="C247" s="18" t="str">
        <f xml:space="preserve"> TRIM( "9781605093376" )</f>
        <v>9781605093376</v>
      </c>
      <c r="D247" s="18" t="s">
        <v>568</v>
      </c>
      <c r="E247" s="18" t="s">
        <v>37</v>
      </c>
      <c r="F247" s="18" t="s">
        <v>569</v>
      </c>
      <c r="G247" s="18" t="s">
        <v>40</v>
      </c>
      <c r="H247" s="18">
        <v>0.25</v>
      </c>
      <c r="I247" s="20">
        <v>3.64</v>
      </c>
      <c r="J247" s="21">
        <v>0.25</v>
      </c>
      <c r="K247" s="20">
        <f t="shared" ca="1" si="4"/>
        <v>0.91</v>
      </c>
    </row>
    <row r="248" spans="2:11">
      <c r="B248" s="18" t="str">
        <f xml:space="preserve"> TRIM( "9781605093390" )</f>
        <v>9781605093390</v>
      </c>
      <c r="C248" s="18" t="str">
        <f xml:space="preserve"> TRIM( "9781605093390" )</f>
        <v>9781605093390</v>
      </c>
      <c r="D248" s="18" t="s">
        <v>571</v>
      </c>
      <c r="E248" s="18" t="s">
        <v>37</v>
      </c>
      <c r="F248" s="18" t="s">
        <v>572</v>
      </c>
      <c r="G248" s="18" t="s">
        <v>39</v>
      </c>
      <c r="H248" s="18">
        <v>0.2</v>
      </c>
      <c r="I248" s="20">
        <v>7.62</v>
      </c>
      <c r="J248" s="21">
        <v>0.2</v>
      </c>
      <c r="K248" s="20">
        <f t="shared" ca="1" si="4"/>
        <v>1.52</v>
      </c>
    </row>
    <row r="249" spans="2:11">
      <c r="B249" s="18" t="str">
        <f xml:space="preserve"> TRIM( "9781605093406" )</f>
        <v>9781605093406</v>
      </c>
      <c r="C249" s="18" t="str">
        <f xml:space="preserve"> TRIM( "9781605093406" )</f>
        <v>9781605093406</v>
      </c>
      <c r="D249" s="18" t="s">
        <v>574</v>
      </c>
      <c r="E249" s="18" t="s">
        <v>37</v>
      </c>
      <c r="F249" s="18" t="s">
        <v>572</v>
      </c>
      <c r="G249" s="18" t="s">
        <v>39</v>
      </c>
      <c r="H249" s="18">
        <v>0.2</v>
      </c>
      <c r="I249" s="20">
        <v>5.99</v>
      </c>
      <c r="J249" s="21">
        <v>0.2</v>
      </c>
      <c r="K249" s="20">
        <f t="shared" ca="1" si="4"/>
        <v>1.2</v>
      </c>
    </row>
    <row r="250" spans="2:11">
      <c r="B250" s="18" t="str">
        <f xml:space="preserve"> TRIM( "9781605093413" )</f>
        <v>9781605093413</v>
      </c>
      <c r="C250" s="18" t="str">
        <f xml:space="preserve"> TRIM( "9781605093413" )</f>
        <v>9781605093413</v>
      </c>
      <c r="D250" s="18" t="s">
        <v>576</v>
      </c>
      <c r="E250" s="18" t="s">
        <v>37</v>
      </c>
      <c r="F250" s="18" t="s">
        <v>577</v>
      </c>
      <c r="G250" s="18" t="s">
        <v>39</v>
      </c>
      <c r="H250" s="18">
        <v>0.2</v>
      </c>
      <c r="I250" s="20">
        <v>2.2599999999999998</v>
      </c>
      <c r="J250" s="21">
        <v>0.2</v>
      </c>
      <c r="K250" s="20">
        <f t="shared" ca="1" si="4"/>
        <v>0.45</v>
      </c>
    </row>
    <row r="251" spans="2:11">
      <c r="B251" s="18" t="str">
        <f xml:space="preserve"> TRIM( "9781605093475" )</f>
        <v>9781605093475</v>
      </c>
      <c r="C251" s="18" t="str">
        <f xml:space="preserve"> TRIM( "9781605093475" )</f>
        <v>9781605093475</v>
      </c>
      <c r="D251" s="18" t="s">
        <v>579</v>
      </c>
      <c r="E251" s="18" t="s">
        <v>37</v>
      </c>
      <c r="F251" s="18" t="s">
        <v>580</v>
      </c>
      <c r="G251" s="18" t="s">
        <v>39</v>
      </c>
      <c r="H251" s="18">
        <v>0.2</v>
      </c>
      <c r="I251" s="20">
        <v>14.6</v>
      </c>
      <c r="J251" s="21">
        <v>0.2</v>
      </c>
      <c r="K251" s="20">
        <f t="shared" ca="1" si="4"/>
        <v>2.92</v>
      </c>
    </row>
    <row r="252" spans="2:11">
      <c r="B252" s="18" t="str">
        <f xml:space="preserve"> TRIM( "9781605093475" )</f>
        <v>9781605093475</v>
      </c>
      <c r="C252" s="18" t="str">
        <f xml:space="preserve"> TRIM( "9781605093475" )</f>
        <v>9781605093475</v>
      </c>
      <c r="D252" s="18" t="s">
        <v>579</v>
      </c>
      <c r="E252" s="18" t="s">
        <v>37</v>
      </c>
      <c r="F252" s="18" t="s">
        <v>580</v>
      </c>
      <c r="G252" s="18" t="s">
        <v>40</v>
      </c>
      <c r="H252" s="18">
        <v>0.25</v>
      </c>
      <c r="I252" s="20">
        <v>0.02</v>
      </c>
      <c r="J252" s="21">
        <v>0.25</v>
      </c>
      <c r="K252" s="20">
        <f t="shared" ca="1" si="4"/>
        <v>0.01</v>
      </c>
    </row>
    <row r="253" spans="2:11">
      <c r="B253" s="18" t="str">
        <f xml:space="preserve"> TRIM( "9781605093505" )</f>
        <v>9781605093505</v>
      </c>
      <c r="C253" s="18" t="str">
        <f xml:space="preserve"> TRIM( "9781605093505" )</f>
        <v>9781605093505</v>
      </c>
      <c r="D253" s="18" t="s">
        <v>582</v>
      </c>
      <c r="E253" s="18" t="s">
        <v>37</v>
      </c>
      <c r="F253" s="18" t="s">
        <v>583</v>
      </c>
      <c r="G253" s="18" t="s">
        <v>39</v>
      </c>
      <c r="H253" s="18">
        <v>0.2</v>
      </c>
      <c r="I253" s="20">
        <v>4.18</v>
      </c>
      <c r="J253" s="21">
        <v>0.2</v>
      </c>
      <c r="K253" s="20">
        <f t="shared" ca="1" si="4"/>
        <v>0.84</v>
      </c>
    </row>
    <row r="254" spans="2:11">
      <c r="B254" s="18" t="str">
        <f xml:space="preserve"> TRIM( "9781605093536" )</f>
        <v>9781605093536</v>
      </c>
      <c r="C254" s="18" t="str">
        <f xml:space="preserve"> TRIM( "9781605093536" )</f>
        <v>9781605093536</v>
      </c>
      <c r="D254" s="18" t="s">
        <v>585</v>
      </c>
      <c r="E254" s="18" t="s">
        <v>37</v>
      </c>
      <c r="F254" s="18" t="s">
        <v>586</v>
      </c>
      <c r="G254" s="18" t="s">
        <v>39</v>
      </c>
      <c r="H254" s="18">
        <v>0.2</v>
      </c>
      <c r="I254" s="20">
        <v>3.7</v>
      </c>
      <c r="J254" s="21">
        <v>0.2</v>
      </c>
      <c r="K254" s="20">
        <f t="shared" ca="1" si="4"/>
        <v>0.74</v>
      </c>
    </row>
    <row r="255" spans="2:11">
      <c r="B255" s="18" t="str">
        <f xml:space="preserve"> TRIM( "9781605093741" )</f>
        <v>9781605093741</v>
      </c>
      <c r="C255" s="18" t="str">
        <f xml:space="preserve"> TRIM( "9781605093741" )</f>
        <v>9781605093741</v>
      </c>
      <c r="D255" s="18" t="s">
        <v>588</v>
      </c>
      <c r="E255" s="18" t="s">
        <v>37</v>
      </c>
      <c r="F255" s="18" t="s">
        <v>589</v>
      </c>
      <c r="G255" s="18" t="s">
        <v>39</v>
      </c>
      <c r="H255" s="18">
        <v>0.2</v>
      </c>
      <c r="I255" s="20">
        <v>2.42</v>
      </c>
      <c r="J255" s="21">
        <v>0.2</v>
      </c>
      <c r="K255" s="20">
        <f t="shared" ca="1" si="4"/>
        <v>0.48</v>
      </c>
    </row>
    <row r="256" spans="2:11">
      <c r="B256" s="18" t="str">
        <f xml:space="preserve"> TRIM( "9781605093765" )</f>
        <v>9781605093765</v>
      </c>
      <c r="C256" s="18" t="str">
        <f xml:space="preserve"> TRIM( "9781605093765" )</f>
        <v>9781605093765</v>
      </c>
      <c r="D256" s="18" t="s">
        <v>591</v>
      </c>
      <c r="E256" s="18" t="s">
        <v>37</v>
      </c>
      <c r="F256" s="18" t="s">
        <v>221</v>
      </c>
      <c r="G256" s="18" t="s">
        <v>39</v>
      </c>
      <c r="H256" s="18">
        <v>0.2</v>
      </c>
      <c r="I256" s="20">
        <v>2.14</v>
      </c>
      <c r="J256" s="21">
        <v>0.2</v>
      </c>
      <c r="K256" s="20">
        <f t="shared" ca="1" si="4"/>
        <v>0.43</v>
      </c>
    </row>
    <row r="257" spans="2:11">
      <c r="B257" s="18" t="str">
        <f xml:space="preserve"> TRIM( "9781605093796" )</f>
        <v>9781605093796</v>
      </c>
      <c r="C257" s="18" t="str">
        <f xml:space="preserve"> TRIM( "9781605093796" )</f>
        <v>9781605093796</v>
      </c>
      <c r="D257" s="18" t="s">
        <v>593</v>
      </c>
      <c r="E257" s="18" t="s">
        <v>37</v>
      </c>
      <c r="F257" s="18" t="s">
        <v>594</v>
      </c>
      <c r="G257" s="18" t="s">
        <v>39</v>
      </c>
      <c r="H257" s="18">
        <v>0.2</v>
      </c>
      <c r="I257" s="20">
        <v>1.92</v>
      </c>
      <c r="J257" s="21">
        <v>0.2</v>
      </c>
      <c r="K257" s="20">
        <f t="shared" ca="1" si="4"/>
        <v>0.38</v>
      </c>
    </row>
    <row r="258" spans="2:11">
      <c r="B258" s="18" t="str">
        <f xml:space="preserve"> TRIM( "9781605093802" )</f>
        <v>9781605093802</v>
      </c>
      <c r="C258" s="18" t="str">
        <f xml:space="preserve"> TRIM( "9781605093802" )</f>
        <v>9781605093802</v>
      </c>
      <c r="D258" s="18" t="s">
        <v>596</v>
      </c>
      <c r="E258" s="18" t="s">
        <v>37</v>
      </c>
      <c r="F258" s="18" t="s">
        <v>597</v>
      </c>
      <c r="G258" s="18" t="s">
        <v>39</v>
      </c>
      <c r="H258" s="18">
        <v>0.2</v>
      </c>
      <c r="I258" s="20">
        <v>1.92</v>
      </c>
      <c r="J258" s="21">
        <v>0.2</v>
      </c>
      <c r="K258" s="20">
        <f t="shared" ca="1" si="4"/>
        <v>0.38</v>
      </c>
    </row>
    <row r="259" spans="2:11">
      <c r="B259" s="18" t="str">
        <f xml:space="preserve"> TRIM( "9781605093826" )</f>
        <v>9781605093826</v>
      </c>
      <c r="C259" s="18" t="str">
        <f xml:space="preserve"> TRIM( "9781605093826" )</f>
        <v>9781605093826</v>
      </c>
      <c r="D259" s="18" t="s">
        <v>599</v>
      </c>
      <c r="E259" s="18" t="s">
        <v>37</v>
      </c>
      <c r="F259" s="18" t="s">
        <v>600</v>
      </c>
      <c r="G259" s="18" t="s">
        <v>39</v>
      </c>
      <c r="H259" s="18">
        <v>0.2</v>
      </c>
      <c r="I259" s="20">
        <v>14.55</v>
      </c>
      <c r="J259" s="21">
        <v>0.2</v>
      </c>
      <c r="K259" s="20">
        <f t="shared" ca="1" si="4"/>
        <v>2.91</v>
      </c>
    </row>
    <row r="260" spans="2:11">
      <c r="B260" s="18" t="str">
        <f xml:space="preserve"> TRIM( "9781605093833" )</f>
        <v>9781605093833</v>
      </c>
      <c r="C260" s="18" t="str">
        <f xml:space="preserve"> TRIM( "9781605093833" )</f>
        <v>9781605093833</v>
      </c>
      <c r="D260" s="18" t="s">
        <v>602</v>
      </c>
      <c r="E260" s="18" t="s">
        <v>37</v>
      </c>
      <c r="F260" s="18" t="s">
        <v>603</v>
      </c>
      <c r="G260" s="18" t="s">
        <v>39</v>
      </c>
      <c r="H260" s="18">
        <v>0.2</v>
      </c>
      <c r="I260" s="20">
        <v>1.92</v>
      </c>
      <c r="J260" s="21">
        <v>0.2</v>
      </c>
      <c r="K260" s="20">
        <f t="shared" ca="1" si="4"/>
        <v>0.38</v>
      </c>
    </row>
    <row r="261" spans="2:11">
      <c r="B261" s="18" t="str">
        <f xml:space="preserve"> TRIM( "9781605093840" )</f>
        <v>9781605093840</v>
      </c>
      <c r="C261" s="18" t="str">
        <f xml:space="preserve"> TRIM( "9781605093840" )</f>
        <v>9781605093840</v>
      </c>
      <c r="D261" s="18" t="s">
        <v>605</v>
      </c>
      <c r="E261" s="18" t="s">
        <v>37</v>
      </c>
      <c r="F261" s="18" t="s">
        <v>606</v>
      </c>
      <c r="G261" s="18" t="s">
        <v>39</v>
      </c>
      <c r="H261" s="18">
        <v>0.2</v>
      </c>
      <c r="I261" s="20">
        <v>2.4700000000000002</v>
      </c>
      <c r="J261" s="21">
        <v>0.2</v>
      </c>
      <c r="K261" s="20">
        <f t="shared" ca="1" si="4"/>
        <v>0.49</v>
      </c>
    </row>
    <row r="262" spans="2:11">
      <c r="B262" s="18" t="str">
        <f xml:space="preserve"> TRIM( "9781605093840" )</f>
        <v>9781605093840</v>
      </c>
      <c r="C262" s="18" t="str">
        <f xml:space="preserve"> TRIM( "9781605093840" )</f>
        <v>9781605093840</v>
      </c>
      <c r="D262" s="18" t="s">
        <v>605</v>
      </c>
      <c r="E262" s="18" t="s">
        <v>37</v>
      </c>
      <c r="F262" s="18" t="s">
        <v>606</v>
      </c>
      <c r="G262" s="18" t="s">
        <v>40</v>
      </c>
      <c r="H262" s="18">
        <v>0.25</v>
      </c>
      <c r="I262" s="20">
        <v>0.14000000000000001</v>
      </c>
      <c r="J262" s="21">
        <v>0.25</v>
      </c>
      <c r="K262" s="20">
        <f t="shared" ca="1" si="4"/>
        <v>0.04</v>
      </c>
    </row>
    <row r="263" spans="2:11">
      <c r="B263" s="18" t="str">
        <f xml:space="preserve"> TRIM( "9781605093857" )</f>
        <v>9781605093857</v>
      </c>
      <c r="C263" s="18" t="str">
        <f xml:space="preserve"> TRIM( "9781605093857" )</f>
        <v>9781605093857</v>
      </c>
      <c r="D263" s="18" t="s">
        <v>608</v>
      </c>
      <c r="E263" s="18" t="s">
        <v>37</v>
      </c>
      <c r="F263" s="18" t="s">
        <v>609</v>
      </c>
      <c r="G263" s="18" t="s">
        <v>39</v>
      </c>
      <c r="H263" s="18">
        <v>0.2</v>
      </c>
      <c r="I263" s="20">
        <v>8.44</v>
      </c>
      <c r="J263" s="21">
        <v>0.2</v>
      </c>
      <c r="K263" s="20">
        <f t="shared" ca="1" si="4"/>
        <v>1.69</v>
      </c>
    </row>
    <row r="264" spans="2:11">
      <c r="B264" s="18" t="str">
        <f xml:space="preserve"> TRIM( "9781605093857" )</f>
        <v>9781605093857</v>
      </c>
      <c r="C264" s="18" t="str">
        <f xml:space="preserve"> TRIM( "9781605093857" )</f>
        <v>9781605093857</v>
      </c>
      <c r="D264" s="18" t="s">
        <v>608</v>
      </c>
      <c r="E264" s="18" t="s">
        <v>37</v>
      </c>
      <c r="F264" s="18" t="s">
        <v>609</v>
      </c>
      <c r="G264" s="18" t="s">
        <v>40</v>
      </c>
      <c r="H264" s="18">
        <v>0.25</v>
      </c>
      <c r="I264" s="20">
        <v>2.79</v>
      </c>
      <c r="J264" s="21">
        <v>0.25</v>
      </c>
      <c r="K264" s="20">
        <f t="shared" ca="1" si="4"/>
        <v>0.7</v>
      </c>
    </row>
    <row r="265" spans="2:11">
      <c r="B265" s="18" t="str">
        <f xml:space="preserve"> TRIM( "9781605093864" )</f>
        <v>9781605093864</v>
      </c>
      <c r="C265" s="18" t="str">
        <f xml:space="preserve"> TRIM( "9781605093864" )</f>
        <v>9781605093864</v>
      </c>
      <c r="D265" s="18" t="s">
        <v>611</v>
      </c>
      <c r="E265" s="18" t="s">
        <v>37</v>
      </c>
      <c r="F265" s="18" t="s">
        <v>612</v>
      </c>
      <c r="G265" s="18" t="s">
        <v>39</v>
      </c>
      <c r="H265" s="18">
        <v>0.2</v>
      </c>
      <c r="I265" s="20">
        <v>1.92</v>
      </c>
      <c r="J265" s="21">
        <v>0.2</v>
      </c>
      <c r="K265" s="20">
        <f t="shared" ca="1" si="4"/>
        <v>0.38</v>
      </c>
    </row>
    <row r="266" spans="2:11">
      <c r="B266" s="18" t="str">
        <f xml:space="preserve"> TRIM( "9781605093895" )</f>
        <v>9781605093895</v>
      </c>
      <c r="C266" s="18" t="str">
        <f xml:space="preserve"> TRIM( "9781605093895" )</f>
        <v>9781605093895</v>
      </c>
      <c r="D266" s="18" t="s">
        <v>614</v>
      </c>
      <c r="E266" s="18" t="s">
        <v>37</v>
      </c>
      <c r="F266" s="18" t="s">
        <v>413</v>
      </c>
      <c r="G266" s="18" t="s">
        <v>39</v>
      </c>
      <c r="H266" s="18">
        <v>0.2</v>
      </c>
      <c r="I266" s="20">
        <v>43.66</v>
      </c>
      <c r="J266" s="21">
        <v>0.2</v>
      </c>
      <c r="K266" s="20">
        <f t="shared" ca="1" si="4"/>
        <v>8.73</v>
      </c>
    </row>
    <row r="267" spans="2:11">
      <c r="B267" s="18" t="str">
        <f xml:space="preserve"> TRIM( "9781605093918" )</f>
        <v>9781605093918</v>
      </c>
      <c r="C267" s="18" t="str">
        <f xml:space="preserve"> TRIM( "9781605093918" )</f>
        <v>9781605093918</v>
      </c>
      <c r="D267" s="18" t="s">
        <v>616</v>
      </c>
      <c r="E267" s="18" t="s">
        <v>37</v>
      </c>
      <c r="F267" s="18" t="s">
        <v>617</v>
      </c>
      <c r="G267" s="18" t="s">
        <v>39</v>
      </c>
      <c r="H267" s="18">
        <v>0.2</v>
      </c>
      <c r="I267" s="20">
        <v>2.41</v>
      </c>
      <c r="J267" s="21">
        <v>0.2</v>
      </c>
      <c r="K267" s="20">
        <f t="shared" ca="1" si="4"/>
        <v>0.48</v>
      </c>
    </row>
    <row r="268" spans="2:11">
      <c r="B268" s="18" t="str">
        <f xml:space="preserve"> TRIM( "9781605093949" )</f>
        <v>9781605093949</v>
      </c>
      <c r="C268" s="18" t="str">
        <f xml:space="preserve"> TRIM( "9781605093949" )</f>
        <v>9781605093949</v>
      </c>
      <c r="D268" s="18" t="s">
        <v>619</v>
      </c>
      <c r="E268" s="18" t="s">
        <v>37</v>
      </c>
      <c r="F268" s="18" t="s">
        <v>277</v>
      </c>
      <c r="G268" s="18" t="s">
        <v>39</v>
      </c>
      <c r="H268" s="18">
        <v>0.2</v>
      </c>
      <c r="I268" s="20">
        <v>17.829999999999998</v>
      </c>
      <c r="J268" s="21">
        <v>0.2</v>
      </c>
      <c r="K268" s="20">
        <f t="shared" ca="1" si="4"/>
        <v>3.57</v>
      </c>
    </row>
    <row r="269" spans="2:11">
      <c r="B269" s="18" t="str">
        <f xml:space="preserve"> TRIM( "9781605093949" )</f>
        <v>9781605093949</v>
      </c>
      <c r="C269" s="18" t="str">
        <f xml:space="preserve"> TRIM( "9781605093949" )</f>
        <v>9781605093949</v>
      </c>
      <c r="D269" s="18" t="s">
        <v>619</v>
      </c>
      <c r="E269" s="18" t="s">
        <v>37</v>
      </c>
      <c r="F269" s="18" t="s">
        <v>277</v>
      </c>
      <c r="G269" s="18" t="s">
        <v>40</v>
      </c>
      <c r="H269" s="18">
        <v>0.25</v>
      </c>
      <c r="I269" s="20">
        <v>0.05</v>
      </c>
      <c r="J269" s="21">
        <v>0.25</v>
      </c>
      <c r="K269" s="20">
        <f t="shared" ca="1" si="4"/>
        <v>0.01</v>
      </c>
    </row>
    <row r="270" spans="2:11">
      <c r="B270" s="18" t="str">
        <f xml:space="preserve"> TRIM( "9781605093956" )</f>
        <v>9781605093956</v>
      </c>
      <c r="C270" s="18" t="str">
        <f xml:space="preserve"> TRIM( "9781605093956" )</f>
        <v>9781605093956</v>
      </c>
      <c r="D270" s="18" t="s">
        <v>621</v>
      </c>
      <c r="E270" s="18" t="s">
        <v>37</v>
      </c>
      <c r="F270" s="18" t="s">
        <v>622</v>
      </c>
      <c r="G270" s="18" t="s">
        <v>39</v>
      </c>
      <c r="H270" s="18">
        <v>0.2</v>
      </c>
      <c r="I270" s="20">
        <v>5.71</v>
      </c>
      <c r="J270" s="21">
        <v>0.2</v>
      </c>
      <c r="K270" s="20">
        <f t="shared" ca="1" si="4"/>
        <v>1.1399999999999999</v>
      </c>
    </row>
    <row r="271" spans="2:11">
      <c r="B271" s="18" t="str">
        <f xml:space="preserve"> TRIM( "9781605093956" )</f>
        <v>9781605093956</v>
      </c>
      <c r="C271" s="18" t="str">
        <f xml:space="preserve"> TRIM( "9781605093956" )</f>
        <v>9781605093956</v>
      </c>
      <c r="D271" s="18" t="s">
        <v>621</v>
      </c>
      <c r="E271" s="18" t="s">
        <v>37</v>
      </c>
      <c r="F271" s="18" t="s">
        <v>622</v>
      </c>
      <c r="G271" s="18" t="s">
        <v>40</v>
      </c>
      <c r="H271" s="18">
        <v>0.25</v>
      </c>
      <c r="I271" s="20">
        <v>1.65</v>
      </c>
      <c r="J271" s="21">
        <v>0.25</v>
      </c>
      <c r="K271" s="20">
        <f t="shared" ca="1" si="4"/>
        <v>0.41</v>
      </c>
    </row>
    <row r="272" spans="2:11">
      <c r="B272" s="18" t="str">
        <f xml:space="preserve"> TRIM( "9781605094069" )</f>
        <v>9781605094069</v>
      </c>
      <c r="C272" s="18" t="str">
        <f xml:space="preserve"> TRIM( "9781605094069" )</f>
        <v>9781605094069</v>
      </c>
      <c r="D272" s="18" t="s">
        <v>624</v>
      </c>
      <c r="E272" s="18" t="s">
        <v>37</v>
      </c>
      <c r="F272" s="18" t="s">
        <v>625</v>
      </c>
      <c r="G272" s="18" t="s">
        <v>39</v>
      </c>
      <c r="H272" s="18">
        <v>0.2</v>
      </c>
      <c r="I272" s="20">
        <v>7.21</v>
      </c>
      <c r="J272" s="21">
        <v>0.2</v>
      </c>
      <c r="K272" s="20">
        <f t="shared" ref="K272:K335" ca="1" si="5" xml:space="preserve"> ROUND( ( INDIRECT( ADDRESS( ROW(), COLUMN()- 2 ))) * ( INDIRECT( ADDRESS( ROW(), COLUMN()- 1 ))), 2 )</f>
        <v>1.44</v>
      </c>
    </row>
    <row r="273" spans="2:11">
      <c r="B273" s="18" t="str">
        <f xml:space="preserve"> TRIM( "9781605094076" )</f>
        <v>9781605094076</v>
      </c>
      <c r="C273" s="18" t="str">
        <f xml:space="preserve"> TRIM( "9781605094076" )</f>
        <v>9781605094076</v>
      </c>
      <c r="D273" s="18" t="s">
        <v>627</v>
      </c>
      <c r="E273" s="18" t="s">
        <v>37</v>
      </c>
      <c r="F273" s="18" t="s">
        <v>628</v>
      </c>
      <c r="G273" s="18" t="s">
        <v>39</v>
      </c>
      <c r="H273" s="18">
        <v>0.2</v>
      </c>
      <c r="I273" s="20">
        <v>1.92</v>
      </c>
      <c r="J273" s="21">
        <v>0.2</v>
      </c>
      <c r="K273" s="20">
        <f t="shared" ca="1" si="5"/>
        <v>0.38</v>
      </c>
    </row>
    <row r="274" spans="2:11">
      <c r="B274" s="18" t="str">
        <f xml:space="preserve"> TRIM( "9781605094083" )</f>
        <v>9781605094083</v>
      </c>
      <c r="C274" s="18" t="str">
        <f xml:space="preserve"> TRIM( "9781605094083" )</f>
        <v>9781605094083</v>
      </c>
      <c r="D274" s="18" t="s">
        <v>630</v>
      </c>
      <c r="E274" s="18" t="s">
        <v>37</v>
      </c>
      <c r="F274" s="18" t="s">
        <v>631</v>
      </c>
      <c r="G274" s="18" t="s">
        <v>39</v>
      </c>
      <c r="H274" s="18">
        <v>0.2</v>
      </c>
      <c r="I274" s="20">
        <v>3.08</v>
      </c>
      <c r="J274" s="21">
        <v>0.2</v>
      </c>
      <c r="K274" s="20">
        <f t="shared" ca="1" si="5"/>
        <v>0.62</v>
      </c>
    </row>
    <row r="275" spans="2:11">
      <c r="B275" s="18" t="str">
        <f xml:space="preserve"> TRIM( "9781605094083" )</f>
        <v>9781605094083</v>
      </c>
      <c r="C275" s="18" t="str">
        <f xml:space="preserve"> TRIM( "9781605094083" )</f>
        <v>9781605094083</v>
      </c>
      <c r="D275" s="18" t="s">
        <v>630</v>
      </c>
      <c r="E275" s="18" t="s">
        <v>37</v>
      </c>
      <c r="F275" s="18" t="s">
        <v>631</v>
      </c>
      <c r="G275" s="18" t="s">
        <v>40</v>
      </c>
      <c r="H275" s="18">
        <v>0.25</v>
      </c>
      <c r="I275" s="20">
        <v>0.12</v>
      </c>
      <c r="J275" s="21">
        <v>0.25</v>
      </c>
      <c r="K275" s="20">
        <f t="shared" ca="1" si="5"/>
        <v>0.03</v>
      </c>
    </row>
    <row r="276" spans="2:11">
      <c r="B276" s="18" t="str">
        <f xml:space="preserve"> TRIM( "9781605094090" )</f>
        <v>9781605094090</v>
      </c>
      <c r="C276" s="18" t="str">
        <f xml:space="preserve"> TRIM( "9781605094090" )</f>
        <v>9781605094090</v>
      </c>
      <c r="D276" s="18" t="s">
        <v>633</v>
      </c>
      <c r="E276" s="18" t="s">
        <v>37</v>
      </c>
      <c r="F276" s="18" t="s">
        <v>634</v>
      </c>
      <c r="G276" s="18" t="s">
        <v>39</v>
      </c>
      <c r="H276" s="18">
        <v>0.2</v>
      </c>
      <c r="I276" s="20">
        <v>2.44</v>
      </c>
      <c r="J276" s="21">
        <v>0.2</v>
      </c>
      <c r="K276" s="20">
        <f t="shared" ca="1" si="5"/>
        <v>0.49</v>
      </c>
    </row>
    <row r="277" spans="2:11">
      <c r="B277" s="18" t="str">
        <f xml:space="preserve"> TRIM( "9781605094106" )</f>
        <v>9781605094106</v>
      </c>
      <c r="C277" s="18" t="str">
        <f xml:space="preserve"> TRIM( "9781605094106" )</f>
        <v>9781605094106</v>
      </c>
      <c r="D277" s="18" t="s">
        <v>636</v>
      </c>
      <c r="E277" s="18" t="s">
        <v>37</v>
      </c>
      <c r="F277" s="18" t="s">
        <v>637</v>
      </c>
      <c r="G277" s="18" t="s">
        <v>39</v>
      </c>
      <c r="H277" s="18">
        <v>0.2</v>
      </c>
      <c r="I277" s="20">
        <v>11.52</v>
      </c>
      <c r="J277" s="21">
        <v>0.2</v>
      </c>
      <c r="K277" s="20">
        <f t="shared" ca="1" si="5"/>
        <v>2.2999999999999998</v>
      </c>
    </row>
    <row r="278" spans="2:11">
      <c r="B278" s="18" t="str">
        <f xml:space="preserve"> TRIM( "9781605094106" )</f>
        <v>9781605094106</v>
      </c>
      <c r="C278" s="18" t="str">
        <f xml:space="preserve"> TRIM( "9781605094106" )</f>
        <v>9781605094106</v>
      </c>
      <c r="D278" s="18" t="s">
        <v>636</v>
      </c>
      <c r="E278" s="18" t="s">
        <v>37</v>
      </c>
      <c r="F278" s="18" t="s">
        <v>637</v>
      </c>
      <c r="G278" s="18" t="s">
        <v>40</v>
      </c>
      <c r="H278" s="18">
        <v>0.25</v>
      </c>
      <c r="I278" s="20">
        <v>40.57</v>
      </c>
      <c r="J278" s="21">
        <v>0.25</v>
      </c>
      <c r="K278" s="20">
        <f t="shared" ca="1" si="5"/>
        <v>10.14</v>
      </c>
    </row>
    <row r="279" spans="2:11">
      <c r="B279" s="18" t="str">
        <f xml:space="preserve"> TRIM( "9781605094120" )</f>
        <v>9781605094120</v>
      </c>
      <c r="C279" s="18" t="str">
        <f xml:space="preserve"> TRIM( "9781605094120" )</f>
        <v>9781605094120</v>
      </c>
      <c r="D279" s="18" t="s">
        <v>639</v>
      </c>
      <c r="E279" s="18" t="s">
        <v>37</v>
      </c>
      <c r="F279" s="18" t="s">
        <v>61</v>
      </c>
      <c r="G279" s="18" t="s">
        <v>39</v>
      </c>
      <c r="H279" s="18">
        <v>0.2</v>
      </c>
      <c r="I279" s="20">
        <v>21.1</v>
      </c>
      <c r="J279" s="21">
        <v>0.2</v>
      </c>
      <c r="K279" s="20">
        <f t="shared" ca="1" si="5"/>
        <v>4.22</v>
      </c>
    </row>
    <row r="280" spans="2:11">
      <c r="B280" s="18" t="str">
        <f xml:space="preserve"> TRIM( "9781605094120" )</f>
        <v>9781605094120</v>
      </c>
      <c r="C280" s="18" t="str">
        <f xml:space="preserve"> TRIM( "9781605094120" )</f>
        <v>9781605094120</v>
      </c>
      <c r="D280" s="18" t="s">
        <v>639</v>
      </c>
      <c r="E280" s="18" t="s">
        <v>37</v>
      </c>
      <c r="F280" s="18" t="s">
        <v>61</v>
      </c>
      <c r="G280" s="18" t="s">
        <v>40</v>
      </c>
      <c r="H280" s="18">
        <v>0.25</v>
      </c>
      <c r="I280" s="20">
        <v>14.72</v>
      </c>
      <c r="J280" s="21">
        <v>0.25</v>
      </c>
      <c r="K280" s="20">
        <f t="shared" ca="1" si="5"/>
        <v>3.68</v>
      </c>
    </row>
    <row r="281" spans="2:11">
      <c r="B281" s="18" t="str">
        <f xml:space="preserve"> TRIM( "9781605094144" )</f>
        <v>9781605094144</v>
      </c>
      <c r="C281" s="18" t="str">
        <f xml:space="preserve"> TRIM( "9781605094144" )</f>
        <v>9781605094144</v>
      </c>
      <c r="D281" s="18" t="s">
        <v>641</v>
      </c>
      <c r="E281" s="18" t="s">
        <v>37</v>
      </c>
      <c r="F281" s="18" t="s">
        <v>642</v>
      </c>
      <c r="G281" s="18" t="s">
        <v>39</v>
      </c>
      <c r="H281" s="18">
        <v>0.2</v>
      </c>
      <c r="I281" s="20">
        <v>28.42</v>
      </c>
      <c r="J281" s="21">
        <v>0.2</v>
      </c>
      <c r="K281" s="20">
        <f t="shared" ca="1" si="5"/>
        <v>5.68</v>
      </c>
    </row>
    <row r="282" spans="2:11">
      <c r="B282" s="18" t="str">
        <f xml:space="preserve"> TRIM( "9781605094144" )</f>
        <v>9781605094144</v>
      </c>
      <c r="C282" s="18" t="str">
        <f xml:space="preserve"> TRIM( "9781605094144" )</f>
        <v>9781605094144</v>
      </c>
      <c r="D282" s="18" t="s">
        <v>641</v>
      </c>
      <c r="E282" s="18" t="s">
        <v>37</v>
      </c>
      <c r="F282" s="18" t="s">
        <v>642</v>
      </c>
      <c r="G282" s="18" t="s">
        <v>40</v>
      </c>
      <c r="H282" s="18">
        <v>0.25</v>
      </c>
      <c r="I282" s="20">
        <v>4.1900000000000004</v>
      </c>
      <c r="J282" s="21">
        <v>0.25</v>
      </c>
      <c r="K282" s="20">
        <f t="shared" ca="1" si="5"/>
        <v>1.05</v>
      </c>
    </row>
    <row r="283" spans="2:11">
      <c r="B283" s="18" t="str">
        <f xml:space="preserve"> TRIM( "9781605094175" )</f>
        <v>9781605094175</v>
      </c>
      <c r="C283" s="18" t="str">
        <f xml:space="preserve"> TRIM( "9781605094175" )</f>
        <v>9781605094175</v>
      </c>
      <c r="D283" s="18" t="s">
        <v>644</v>
      </c>
      <c r="E283" s="18" t="s">
        <v>37</v>
      </c>
      <c r="F283" s="18" t="s">
        <v>645</v>
      </c>
      <c r="G283" s="18" t="s">
        <v>39</v>
      </c>
      <c r="H283" s="18">
        <v>0.2</v>
      </c>
      <c r="I283" s="20">
        <v>2.1</v>
      </c>
      <c r="J283" s="21">
        <v>0.2</v>
      </c>
      <c r="K283" s="20">
        <f t="shared" ca="1" si="5"/>
        <v>0.42</v>
      </c>
    </row>
    <row r="284" spans="2:11">
      <c r="B284" s="18" t="str">
        <f xml:space="preserve"> TRIM( "9781605094236" )</f>
        <v>9781605094236</v>
      </c>
      <c r="C284" s="18" t="str">
        <f xml:space="preserve"> TRIM( "9781605094236" )</f>
        <v>9781605094236</v>
      </c>
      <c r="D284" s="18" t="s">
        <v>647</v>
      </c>
      <c r="E284" s="18" t="s">
        <v>37</v>
      </c>
      <c r="F284" s="18" t="s">
        <v>648</v>
      </c>
      <c r="G284" s="18" t="s">
        <v>39</v>
      </c>
      <c r="H284" s="18">
        <v>0.2</v>
      </c>
      <c r="I284" s="20">
        <v>1.93</v>
      </c>
      <c r="J284" s="21">
        <v>0.2</v>
      </c>
      <c r="K284" s="20">
        <f t="shared" ca="1" si="5"/>
        <v>0.39</v>
      </c>
    </row>
    <row r="285" spans="2:11">
      <c r="B285" s="18" t="str">
        <f xml:space="preserve"> TRIM( "9781605094250" )</f>
        <v>9781605094250</v>
      </c>
      <c r="C285" s="18" t="str">
        <f xml:space="preserve"> TRIM( "9781605094250" )</f>
        <v>9781605094250</v>
      </c>
      <c r="D285" s="18" t="s">
        <v>650</v>
      </c>
      <c r="E285" s="18" t="s">
        <v>37</v>
      </c>
      <c r="F285" s="18" t="s">
        <v>651</v>
      </c>
      <c r="G285" s="18" t="s">
        <v>39</v>
      </c>
      <c r="H285" s="18">
        <v>0.2</v>
      </c>
      <c r="I285" s="20">
        <v>1.93</v>
      </c>
      <c r="J285" s="21">
        <v>0.2</v>
      </c>
      <c r="K285" s="20">
        <f t="shared" ca="1" si="5"/>
        <v>0.39</v>
      </c>
    </row>
    <row r="286" spans="2:11">
      <c r="B286" s="18" t="str">
        <f xml:space="preserve"> TRIM( "9781605094267" )</f>
        <v>9781605094267</v>
      </c>
      <c r="C286" s="18" t="str">
        <f xml:space="preserve"> TRIM( "9781605094267" )</f>
        <v>9781605094267</v>
      </c>
      <c r="D286" s="18" t="s">
        <v>653</v>
      </c>
      <c r="E286" s="18" t="s">
        <v>37</v>
      </c>
      <c r="F286" s="18" t="s">
        <v>654</v>
      </c>
      <c r="G286" s="18" t="s">
        <v>39</v>
      </c>
      <c r="H286" s="18">
        <v>0.2</v>
      </c>
      <c r="I286" s="20">
        <v>2.86</v>
      </c>
      <c r="J286" s="21">
        <v>0.2</v>
      </c>
      <c r="K286" s="20">
        <f t="shared" ca="1" si="5"/>
        <v>0.56999999999999995</v>
      </c>
    </row>
    <row r="287" spans="2:11">
      <c r="B287" s="18" t="str">
        <f xml:space="preserve"> TRIM( "9781605094274" )</f>
        <v>9781605094274</v>
      </c>
      <c r="C287" s="18" t="str">
        <f xml:space="preserve"> TRIM( "9781605094274" )</f>
        <v>9781605094274</v>
      </c>
      <c r="D287" s="18" t="s">
        <v>656</v>
      </c>
      <c r="E287" s="18" t="s">
        <v>37</v>
      </c>
      <c r="F287" s="18" t="s">
        <v>657</v>
      </c>
      <c r="G287" s="18" t="s">
        <v>39</v>
      </c>
      <c r="H287" s="18">
        <v>0.2</v>
      </c>
      <c r="I287" s="20">
        <v>4.28</v>
      </c>
      <c r="J287" s="21">
        <v>0.2</v>
      </c>
      <c r="K287" s="20">
        <f t="shared" ca="1" si="5"/>
        <v>0.86</v>
      </c>
    </row>
    <row r="288" spans="2:11">
      <c r="B288" s="18" t="str">
        <f xml:space="preserve"> TRIM( "9781605094274" )</f>
        <v>9781605094274</v>
      </c>
      <c r="C288" s="18" t="str">
        <f xml:space="preserve"> TRIM( "9781605094274" )</f>
        <v>9781605094274</v>
      </c>
      <c r="D288" s="18" t="s">
        <v>656</v>
      </c>
      <c r="E288" s="18" t="s">
        <v>37</v>
      </c>
      <c r="F288" s="18" t="s">
        <v>657</v>
      </c>
      <c r="G288" s="18" t="s">
        <v>40</v>
      </c>
      <c r="H288" s="18">
        <v>0.25</v>
      </c>
      <c r="I288" s="20">
        <v>0.51</v>
      </c>
      <c r="J288" s="21">
        <v>0.25</v>
      </c>
      <c r="K288" s="20">
        <f t="shared" ca="1" si="5"/>
        <v>0.13</v>
      </c>
    </row>
    <row r="289" spans="2:11">
      <c r="B289" s="18" t="str">
        <f xml:space="preserve"> TRIM( "9781605094298" )</f>
        <v>9781605094298</v>
      </c>
      <c r="C289" s="18" t="str">
        <f xml:space="preserve"> TRIM( "9781605094298" )</f>
        <v>9781605094298</v>
      </c>
      <c r="D289" s="18" t="s">
        <v>659</v>
      </c>
      <c r="E289" s="18" t="s">
        <v>37</v>
      </c>
      <c r="F289" s="18" t="s">
        <v>185</v>
      </c>
      <c r="G289" s="18" t="s">
        <v>39</v>
      </c>
      <c r="H289" s="18">
        <v>0.2</v>
      </c>
      <c r="I289" s="20">
        <v>2.5</v>
      </c>
      <c r="J289" s="21">
        <v>0.2</v>
      </c>
      <c r="K289" s="20">
        <f t="shared" ca="1" si="5"/>
        <v>0.5</v>
      </c>
    </row>
    <row r="290" spans="2:11">
      <c r="B290" s="18" t="str">
        <f xml:space="preserve"> TRIM( "9781605094298" )</f>
        <v>9781605094298</v>
      </c>
      <c r="C290" s="18" t="str">
        <f xml:space="preserve"> TRIM( "9781605094298" )</f>
        <v>9781605094298</v>
      </c>
      <c r="D290" s="18" t="s">
        <v>659</v>
      </c>
      <c r="E290" s="18" t="s">
        <v>37</v>
      </c>
      <c r="F290" s="18" t="s">
        <v>185</v>
      </c>
      <c r="G290" s="18" t="s">
        <v>40</v>
      </c>
      <c r="H290" s="18">
        <v>0.25</v>
      </c>
      <c r="I290" s="20">
        <v>0.28000000000000003</v>
      </c>
      <c r="J290" s="21">
        <v>0.25</v>
      </c>
      <c r="K290" s="20">
        <f t="shared" ca="1" si="5"/>
        <v>7.0000000000000007E-2</v>
      </c>
    </row>
    <row r="291" spans="2:11">
      <c r="B291" s="18" t="str">
        <f xml:space="preserve"> TRIM( "9781605094311" )</f>
        <v>9781605094311</v>
      </c>
      <c r="C291" s="18" t="str">
        <f xml:space="preserve"> TRIM( "9781605094311" )</f>
        <v>9781605094311</v>
      </c>
      <c r="D291" s="18" t="s">
        <v>661</v>
      </c>
      <c r="E291" s="18" t="s">
        <v>37</v>
      </c>
      <c r="F291" s="18" t="s">
        <v>662</v>
      </c>
      <c r="G291" s="18" t="s">
        <v>39</v>
      </c>
      <c r="H291" s="18">
        <v>0.2</v>
      </c>
      <c r="I291" s="20">
        <v>8.94</v>
      </c>
      <c r="J291" s="21">
        <v>0.2</v>
      </c>
      <c r="K291" s="20">
        <f t="shared" ca="1" si="5"/>
        <v>1.79</v>
      </c>
    </row>
    <row r="292" spans="2:11">
      <c r="B292" s="18" t="str">
        <f xml:space="preserve"> TRIM( "9781605094311" )</f>
        <v>9781605094311</v>
      </c>
      <c r="C292" s="18" t="str">
        <f xml:space="preserve"> TRIM( "9781605094311" )</f>
        <v>9781605094311</v>
      </c>
      <c r="D292" s="18" t="s">
        <v>661</v>
      </c>
      <c r="E292" s="18" t="s">
        <v>37</v>
      </c>
      <c r="F292" s="18" t="s">
        <v>662</v>
      </c>
      <c r="G292" s="18" t="s">
        <v>40</v>
      </c>
      <c r="H292" s="18">
        <v>0.25</v>
      </c>
      <c r="I292" s="20">
        <v>0.02</v>
      </c>
      <c r="J292" s="21">
        <v>0.25</v>
      </c>
      <c r="K292" s="20">
        <f t="shared" ca="1" si="5"/>
        <v>0.01</v>
      </c>
    </row>
    <row r="293" spans="2:11">
      <c r="B293" s="18" t="str">
        <f xml:space="preserve"> TRIM( "9781605094458" )</f>
        <v>9781605094458</v>
      </c>
      <c r="C293" s="18" t="str">
        <f xml:space="preserve"> TRIM( "9781605094458" )</f>
        <v>9781605094458</v>
      </c>
      <c r="D293" s="18" t="s">
        <v>664</v>
      </c>
      <c r="E293" s="18" t="s">
        <v>37</v>
      </c>
      <c r="F293" s="18" t="s">
        <v>665</v>
      </c>
      <c r="G293" s="18" t="s">
        <v>39</v>
      </c>
      <c r="H293" s="18">
        <v>0.2</v>
      </c>
      <c r="I293" s="20">
        <v>17</v>
      </c>
      <c r="J293" s="21">
        <v>0.2</v>
      </c>
      <c r="K293" s="20">
        <f t="shared" ca="1" si="5"/>
        <v>3.4</v>
      </c>
    </row>
    <row r="294" spans="2:11">
      <c r="B294" s="18" t="str">
        <f xml:space="preserve"> TRIM( "9781605094489" )</f>
        <v>9781605094489</v>
      </c>
      <c r="C294" s="18" t="str">
        <f xml:space="preserve"> TRIM( "9781605094489" )</f>
        <v>9781605094489</v>
      </c>
      <c r="D294" s="18" t="s">
        <v>667</v>
      </c>
      <c r="E294" s="18" t="s">
        <v>37</v>
      </c>
      <c r="F294" s="18" t="s">
        <v>335</v>
      </c>
      <c r="G294" s="18" t="s">
        <v>39</v>
      </c>
      <c r="H294" s="18">
        <v>0.2</v>
      </c>
      <c r="I294" s="20">
        <v>2.3199999999999998</v>
      </c>
      <c r="J294" s="21">
        <v>0.2</v>
      </c>
      <c r="K294" s="20">
        <f t="shared" ca="1" si="5"/>
        <v>0.46</v>
      </c>
    </row>
    <row r="295" spans="2:11">
      <c r="B295" s="18" t="str">
        <f xml:space="preserve"> TRIM( "9781605094519" )</f>
        <v>9781605094519</v>
      </c>
      <c r="C295" s="18" t="str">
        <f xml:space="preserve"> TRIM( "9781605094519" )</f>
        <v>9781605094519</v>
      </c>
      <c r="D295" s="18" t="s">
        <v>669</v>
      </c>
      <c r="E295" s="18" t="s">
        <v>37</v>
      </c>
      <c r="F295" s="18" t="s">
        <v>670</v>
      </c>
      <c r="G295" s="18" t="s">
        <v>39</v>
      </c>
      <c r="H295" s="18">
        <v>0.2</v>
      </c>
      <c r="I295" s="20">
        <v>3.73</v>
      </c>
      <c r="J295" s="21">
        <v>0.2</v>
      </c>
      <c r="K295" s="20">
        <f t="shared" ca="1" si="5"/>
        <v>0.75</v>
      </c>
    </row>
    <row r="296" spans="2:11">
      <c r="B296" s="18" t="str">
        <f xml:space="preserve"> TRIM( "9781605094663" )</f>
        <v>9781605094663</v>
      </c>
      <c r="C296" s="18" t="str">
        <f xml:space="preserve"> TRIM( "9781605094663" )</f>
        <v>9781605094663</v>
      </c>
      <c r="D296" s="18" t="s">
        <v>672</v>
      </c>
      <c r="E296" s="18" t="s">
        <v>37</v>
      </c>
      <c r="F296" s="18" t="s">
        <v>673</v>
      </c>
      <c r="G296" s="18" t="s">
        <v>39</v>
      </c>
      <c r="H296" s="18">
        <v>0.2</v>
      </c>
      <c r="I296" s="20">
        <v>2.21</v>
      </c>
      <c r="J296" s="21">
        <v>0.2</v>
      </c>
      <c r="K296" s="20">
        <f t="shared" ca="1" si="5"/>
        <v>0.44</v>
      </c>
    </row>
    <row r="297" spans="2:11">
      <c r="B297" s="18" t="str">
        <f xml:space="preserve"> TRIM( "9781605094687" )</f>
        <v>9781605094687</v>
      </c>
      <c r="C297" s="18" t="str">
        <f xml:space="preserve"> TRIM( "9781605094687" )</f>
        <v>9781605094687</v>
      </c>
      <c r="D297" s="18" t="s">
        <v>675</v>
      </c>
      <c r="E297" s="18" t="s">
        <v>37</v>
      </c>
      <c r="F297" s="18" t="s">
        <v>676</v>
      </c>
      <c r="G297" s="18" t="s">
        <v>39</v>
      </c>
      <c r="H297" s="18">
        <v>0.2</v>
      </c>
      <c r="I297" s="20">
        <v>1.92</v>
      </c>
      <c r="J297" s="21">
        <v>0.2</v>
      </c>
      <c r="K297" s="20">
        <f t="shared" ca="1" si="5"/>
        <v>0.38</v>
      </c>
    </row>
    <row r="298" spans="2:11">
      <c r="B298" s="18" t="str">
        <f xml:space="preserve"> TRIM( "9781605094700" )</f>
        <v>9781605094700</v>
      </c>
      <c r="C298" s="18" t="str">
        <f xml:space="preserve"> TRIM( "9781605094700" )</f>
        <v>9781605094700</v>
      </c>
      <c r="D298" s="18" t="s">
        <v>678</v>
      </c>
      <c r="E298" s="18" t="s">
        <v>37</v>
      </c>
      <c r="F298" s="18" t="s">
        <v>679</v>
      </c>
      <c r="G298" s="18" t="s">
        <v>39</v>
      </c>
      <c r="H298" s="18">
        <v>0.2</v>
      </c>
      <c r="I298" s="20">
        <v>12.62</v>
      </c>
      <c r="J298" s="21">
        <v>0.2</v>
      </c>
      <c r="K298" s="20">
        <f t="shared" ca="1" si="5"/>
        <v>2.52</v>
      </c>
    </row>
    <row r="299" spans="2:11">
      <c r="B299" s="18" t="str">
        <f xml:space="preserve"> TRIM( "9781605094700" )</f>
        <v>9781605094700</v>
      </c>
      <c r="C299" s="18" t="str">
        <f xml:space="preserve"> TRIM( "9781605094700" )</f>
        <v>9781605094700</v>
      </c>
      <c r="D299" s="18" t="s">
        <v>678</v>
      </c>
      <c r="E299" s="18" t="s">
        <v>37</v>
      </c>
      <c r="F299" s="18" t="s">
        <v>679</v>
      </c>
      <c r="G299" s="18" t="s">
        <v>40</v>
      </c>
      <c r="H299" s="18">
        <v>0.25</v>
      </c>
      <c r="I299" s="20">
        <v>1.51</v>
      </c>
      <c r="J299" s="21">
        <v>0.25</v>
      </c>
      <c r="K299" s="20">
        <f t="shared" ca="1" si="5"/>
        <v>0.38</v>
      </c>
    </row>
    <row r="300" spans="2:11">
      <c r="B300" s="18" t="str">
        <f xml:space="preserve"> TRIM( "9781605095264" )</f>
        <v>9781605095264</v>
      </c>
      <c r="C300" s="18" t="str">
        <f xml:space="preserve"> TRIM( "9781605095264" )</f>
        <v>9781605095264</v>
      </c>
      <c r="D300" s="18" t="s">
        <v>681</v>
      </c>
      <c r="E300" s="18" t="s">
        <v>37</v>
      </c>
      <c r="F300" s="18" t="s">
        <v>682</v>
      </c>
      <c r="G300" s="18" t="s">
        <v>39</v>
      </c>
      <c r="H300" s="18">
        <v>0.2</v>
      </c>
      <c r="I300" s="20">
        <v>30.7</v>
      </c>
      <c r="J300" s="21">
        <v>0.2</v>
      </c>
      <c r="K300" s="20">
        <f t="shared" ca="1" si="5"/>
        <v>6.14</v>
      </c>
    </row>
    <row r="301" spans="2:11">
      <c r="B301" s="18" t="str">
        <f xml:space="preserve"> TRIM( "9781605095264" )</f>
        <v>9781605095264</v>
      </c>
      <c r="C301" s="18" t="str">
        <f xml:space="preserve"> TRIM( "9781605095264" )</f>
        <v>9781605095264</v>
      </c>
      <c r="D301" s="18" t="s">
        <v>681</v>
      </c>
      <c r="E301" s="18" t="s">
        <v>37</v>
      </c>
      <c r="F301" s="18" t="s">
        <v>682</v>
      </c>
      <c r="G301" s="18" t="s">
        <v>40</v>
      </c>
      <c r="H301" s="18">
        <v>0.25</v>
      </c>
      <c r="I301" s="20">
        <v>0.03</v>
      </c>
      <c r="J301" s="21">
        <v>0.25</v>
      </c>
      <c r="K301" s="20">
        <f t="shared" ca="1" si="5"/>
        <v>0.01</v>
      </c>
    </row>
    <row r="302" spans="2:11">
      <c r="B302" s="18" t="str">
        <f xml:space="preserve"> TRIM( "9781605095271" )</f>
        <v>9781605095271</v>
      </c>
      <c r="C302" s="18" t="str">
        <f xml:space="preserve"> TRIM( "9781605095271" )</f>
        <v>9781605095271</v>
      </c>
      <c r="D302" s="18" t="s">
        <v>684</v>
      </c>
      <c r="E302" s="18" t="s">
        <v>37</v>
      </c>
      <c r="F302" s="18" t="s">
        <v>685</v>
      </c>
      <c r="G302" s="18" t="s">
        <v>39</v>
      </c>
      <c r="H302" s="18">
        <v>0.2</v>
      </c>
      <c r="I302" s="20">
        <v>5.85</v>
      </c>
      <c r="J302" s="21">
        <v>0.2</v>
      </c>
      <c r="K302" s="20">
        <f t="shared" ca="1" si="5"/>
        <v>1.17</v>
      </c>
    </row>
    <row r="303" spans="2:11">
      <c r="B303" s="18" t="str">
        <f xml:space="preserve"> TRIM( "9781605095271" )</f>
        <v>9781605095271</v>
      </c>
      <c r="C303" s="18" t="str">
        <f xml:space="preserve"> TRIM( "9781605095271" )</f>
        <v>9781605095271</v>
      </c>
      <c r="D303" s="18" t="s">
        <v>684</v>
      </c>
      <c r="E303" s="18" t="s">
        <v>37</v>
      </c>
      <c r="F303" s="18" t="s">
        <v>685</v>
      </c>
      <c r="G303" s="18" t="s">
        <v>40</v>
      </c>
      <c r="H303" s="18">
        <v>0.25</v>
      </c>
      <c r="I303" s="20">
        <v>0.08</v>
      </c>
      <c r="J303" s="21">
        <v>0.25</v>
      </c>
      <c r="K303" s="20">
        <f t="shared" ca="1" si="5"/>
        <v>0.02</v>
      </c>
    </row>
    <row r="304" spans="2:11">
      <c r="B304" s="18" t="str">
        <f xml:space="preserve"> TRIM( "9781605095608" )</f>
        <v>9781605095608</v>
      </c>
      <c r="C304" s="18" t="str">
        <f xml:space="preserve"> TRIM( "9781605095608" )</f>
        <v>9781605095608</v>
      </c>
      <c r="D304" s="18" t="s">
        <v>687</v>
      </c>
      <c r="E304" s="18" t="s">
        <v>37</v>
      </c>
      <c r="F304" s="18" t="s">
        <v>215</v>
      </c>
      <c r="G304" s="18" t="s">
        <v>39</v>
      </c>
      <c r="H304" s="18">
        <v>0.2</v>
      </c>
      <c r="I304" s="20">
        <v>3.63</v>
      </c>
      <c r="J304" s="21">
        <v>0.2</v>
      </c>
      <c r="K304" s="20">
        <f t="shared" ca="1" si="5"/>
        <v>0.73</v>
      </c>
    </row>
    <row r="305" spans="2:11">
      <c r="B305" s="18" t="str">
        <f xml:space="preserve"> TRIM( "9781605095646" )</f>
        <v>9781605095646</v>
      </c>
      <c r="C305" s="18" t="str">
        <f xml:space="preserve"> TRIM( "9781605095646" )</f>
        <v>9781605095646</v>
      </c>
      <c r="D305" s="18" t="s">
        <v>689</v>
      </c>
      <c r="E305" s="18" t="s">
        <v>37</v>
      </c>
      <c r="F305" s="18" t="s">
        <v>690</v>
      </c>
      <c r="G305" s="18" t="s">
        <v>39</v>
      </c>
      <c r="H305" s="18">
        <v>0.2</v>
      </c>
      <c r="I305" s="20">
        <v>3.9</v>
      </c>
      <c r="J305" s="21">
        <v>0.2</v>
      </c>
      <c r="K305" s="20">
        <f t="shared" ca="1" si="5"/>
        <v>0.78</v>
      </c>
    </row>
    <row r="306" spans="2:11">
      <c r="B306" s="18" t="str">
        <f xml:space="preserve"> TRIM( "9781605095646" )</f>
        <v>9781605095646</v>
      </c>
      <c r="C306" s="18" t="str">
        <f xml:space="preserve"> TRIM( "9781605095646" )</f>
        <v>9781605095646</v>
      </c>
      <c r="D306" s="18" t="s">
        <v>689</v>
      </c>
      <c r="E306" s="18" t="s">
        <v>37</v>
      </c>
      <c r="F306" s="18" t="s">
        <v>690</v>
      </c>
      <c r="G306" s="18" t="s">
        <v>40</v>
      </c>
      <c r="H306" s="18">
        <v>0.25</v>
      </c>
      <c r="I306" s="20">
        <v>0.13</v>
      </c>
      <c r="J306" s="21">
        <v>0.25</v>
      </c>
      <c r="K306" s="20">
        <f t="shared" ca="1" si="5"/>
        <v>0.03</v>
      </c>
    </row>
    <row r="307" spans="2:11">
      <c r="B307" s="18" t="str">
        <f xml:space="preserve"> TRIM( "9781605095677" )</f>
        <v>9781605095677</v>
      </c>
      <c r="C307" s="18" t="str">
        <f xml:space="preserve"> TRIM( "9781605095677" )</f>
        <v>9781605095677</v>
      </c>
      <c r="D307" s="18" t="s">
        <v>692</v>
      </c>
      <c r="E307" s="18" t="s">
        <v>37</v>
      </c>
      <c r="F307" s="18" t="s">
        <v>693</v>
      </c>
      <c r="G307" s="18" t="s">
        <v>39</v>
      </c>
      <c r="H307" s="18">
        <v>0.2</v>
      </c>
      <c r="I307" s="20">
        <v>3.39</v>
      </c>
      <c r="J307" s="21">
        <v>0.2</v>
      </c>
      <c r="K307" s="20">
        <f t="shared" ca="1" si="5"/>
        <v>0.68</v>
      </c>
    </row>
    <row r="308" spans="2:11">
      <c r="B308" s="18" t="str">
        <f xml:space="preserve"> TRIM( "9781605095677" )</f>
        <v>9781605095677</v>
      </c>
      <c r="C308" s="18" t="str">
        <f xml:space="preserve"> TRIM( "9781605095677" )</f>
        <v>9781605095677</v>
      </c>
      <c r="D308" s="18" t="s">
        <v>692</v>
      </c>
      <c r="E308" s="18" t="s">
        <v>37</v>
      </c>
      <c r="F308" s="18" t="s">
        <v>693</v>
      </c>
      <c r="G308" s="18" t="s">
        <v>40</v>
      </c>
      <c r="H308" s="18">
        <v>0.25</v>
      </c>
      <c r="I308" s="20">
        <v>0.05</v>
      </c>
      <c r="J308" s="21">
        <v>0.25</v>
      </c>
      <c r="K308" s="20">
        <f t="shared" ca="1" si="5"/>
        <v>0.01</v>
      </c>
    </row>
    <row r="309" spans="2:11">
      <c r="B309" s="18" t="str">
        <f xml:space="preserve"> TRIM( "9781605095707" )</f>
        <v>9781605095707</v>
      </c>
      <c r="C309" s="18" t="str">
        <f xml:space="preserve"> TRIM( "9781605095707" )</f>
        <v>9781605095707</v>
      </c>
      <c r="D309" s="18" t="s">
        <v>695</v>
      </c>
      <c r="E309" s="18" t="s">
        <v>37</v>
      </c>
      <c r="F309" s="18" t="s">
        <v>696</v>
      </c>
      <c r="G309" s="18" t="s">
        <v>39</v>
      </c>
      <c r="H309" s="18">
        <v>0.2</v>
      </c>
      <c r="I309" s="20">
        <v>2.1</v>
      </c>
      <c r="J309" s="21">
        <v>0.2</v>
      </c>
      <c r="K309" s="20">
        <f t="shared" ca="1" si="5"/>
        <v>0.42</v>
      </c>
    </row>
    <row r="310" spans="2:11">
      <c r="B310" s="18" t="str">
        <f xml:space="preserve"> TRIM( "9781605096018" )</f>
        <v>9781605096018</v>
      </c>
      <c r="C310" s="18" t="str">
        <f xml:space="preserve"> TRIM( "9781605096018" )</f>
        <v>9781605096018</v>
      </c>
      <c r="D310" s="18" t="s">
        <v>698</v>
      </c>
      <c r="E310" s="18" t="s">
        <v>37</v>
      </c>
      <c r="F310" s="18" t="s">
        <v>699</v>
      </c>
      <c r="G310" s="18" t="s">
        <v>39</v>
      </c>
      <c r="H310" s="18">
        <v>0.2</v>
      </c>
      <c r="I310" s="20">
        <v>4.08</v>
      </c>
      <c r="J310" s="21">
        <v>0.2</v>
      </c>
      <c r="K310" s="20">
        <f t="shared" ca="1" si="5"/>
        <v>0.82</v>
      </c>
    </row>
    <row r="311" spans="2:11">
      <c r="B311" s="18" t="str">
        <f xml:space="preserve"> TRIM( "9781605096049" )</f>
        <v>9781605096049</v>
      </c>
      <c r="C311" s="18" t="str">
        <f xml:space="preserve"> TRIM( "9781605096049" )</f>
        <v>9781605096049</v>
      </c>
      <c r="D311" s="18" t="s">
        <v>701</v>
      </c>
      <c r="E311" s="18" t="s">
        <v>37</v>
      </c>
      <c r="F311" s="18" t="s">
        <v>702</v>
      </c>
      <c r="G311" s="18" t="s">
        <v>39</v>
      </c>
      <c r="H311" s="18">
        <v>0.2</v>
      </c>
      <c r="I311" s="20">
        <v>2.89</v>
      </c>
      <c r="J311" s="21">
        <v>0.2</v>
      </c>
      <c r="K311" s="20">
        <f t="shared" ca="1" si="5"/>
        <v>0.57999999999999996</v>
      </c>
    </row>
    <row r="312" spans="2:11">
      <c r="B312" s="18" t="str">
        <f xml:space="preserve"> TRIM( "9781605096070" )</f>
        <v>9781605096070</v>
      </c>
      <c r="C312" s="18" t="str">
        <f xml:space="preserve"> TRIM( "9781605096070" )</f>
        <v>9781605096070</v>
      </c>
      <c r="D312" s="18" t="s">
        <v>704</v>
      </c>
      <c r="E312" s="18" t="s">
        <v>37</v>
      </c>
      <c r="F312" s="18" t="s">
        <v>705</v>
      </c>
      <c r="G312" s="18" t="s">
        <v>39</v>
      </c>
      <c r="H312" s="18">
        <v>0.2</v>
      </c>
      <c r="I312" s="20">
        <v>121.97</v>
      </c>
      <c r="J312" s="21">
        <v>0.2</v>
      </c>
      <c r="K312" s="20">
        <f t="shared" ca="1" si="5"/>
        <v>24.39</v>
      </c>
    </row>
    <row r="313" spans="2:11">
      <c r="B313" s="18" t="str">
        <f xml:space="preserve"> TRIM( "9781605096070" )</f>
        <v>9781605096070</v>
      </c>
      <c r="C313" s="18" t="str">
        <f xml:space="preserve"> TRIM( "9781605096070" )</f>
        <v>9781605096070</v>
      </c>
      <c r="D313" s="18" t="s">
        <v>704</v>
      </c>
      <c r="E313" s="18" t="s">
        <v>37</v>
      </c>
      <c r="F313" s="18" t="s">
        <v>705</v>
      </c>
      <c r="G313" s="18" t="s">
        <v>40</v>
      </c>
      <c r="H313" s="18">
        <v>0.25</v>
      </c>
      <c r="I313" s="20">
        <v>20.3</v>
      </c>
      <c r="J313" s="21">
        <v>0.25</v>
      </c>
      <c r="K313" s="20">
        <f t="shared" ca="1" si="5"/>
        <v>5.08</v>
      </c>
    </row>
    <row r="314" spans="2:11">
      <c r="B314" s="18" t="str">
        <f xml:space="preserve"> TRIM( "9781605096117" )</f>
        <v>9781605096117</v>
      </c>
      <c r="C314" s="18" t="str">
        <f xml:space="preserve"> TRIM( "9781605096117" )</f>
        <v>9781605096117</v>
      </c>
      <c r="D314" s="18" t="s">
        <v>707</v>
      </c>
      <c r="E314" s="18" t="s">
        <v>37</v>
      </c>
      <c r="F314" s="18" t="s">
        <v>708</v>
      </c>
      <c r="G314" s="18" t="s">
        <v>39</v>
      </c>
      <c r="H314" s="18">
        <v>0.2</v>
      </c>
      <c r="I314" s="20">
        <v>2.0299999999999998</v>
      </c>
      <c r="J314" s="21">
        <v>0.2</v>
      </c>
      <c r="K314" s="20">
        <f t="shared" ca="1" si="5"/>
        <v>0.41</v>
      </c>
    </row>
    <row r="315" spans="2:11">
      <c r="B315" s="18" t="str">
        <f xml:space="preserve"> TRIM( "9781605096124" )</f>
        <v>9781605096124</v>
      </c>
      <c r="C315" s="18" t="str">
        <f xml:space="preserve"> TRIM( "9781605096124" )</f>
        <v>9781605096124</v>
      </c>
      <c r="D315" s="18" t="s">
        <v>710</v>
      </c>
      <c r="E315" s="18" t="s">
        <v>37</v>
      </c>
      <c r="F315" s="18" t="s">
        <v>711</v>
      </c>
      <c r="G315" s="18" t="s">
        <v>39</v>
      </c>
      <c r="H315" s="18">
        <v>0.2</v>
      </c>
      <c r="I315" s="20">
        <v>2.44</v>
      </c>
      <c r="J315" s="21">
        <v>0.2</v>
      </c>
      <c r="K315" s="20">
        <f t="shared" ca="1" si="5"/>
        <v>0.49</v>
      </c>
    </row>
    <row r="316" spans="2:11">
      <c r="B316" s="18" t="str">
        <f xml:space="preserve"> TRIM( "9781605096124" )</f>
        <v>9781605096124</v>
      </c>
      <c r="C316" s="18" t="str">
        <f xml:space="preserve"> TRIM( "9781605096124" )</f>
        <v>9781605096124</v>
      </c>
      <c r="D316" s="18" t="s">
        <v>710</v>
      </c>
      <c r="E316" s="18" t="s">
        <v>37</v>
      </c>
      <c r="F316" s="18" t="s">
        <v>711</v>
      </c>
      <c r="G316" s="18" t="s">
        <v>40</v>
      </c>
      <c r="H316" s="18">
        <v>0.25</v>
      </c>
      <c r="I316" s="20">
        <v>14.98</v>
      </c>
      <c r="J316" s="21">
        <v>0.25</v>
      </c>
      <c r="K316" s="20">
        <f t="shared" ca="1" si="5"/>
        <v>3.75</v>
      </c>
    </row>
    <row r="317" spans="2:11">
      <c r="B317" s="18" t="str">
        <f xml:space="preserve"> TRIM( "9781605096148" )</f>
        <v>9781605096148</v>
      </c>
      <c r="C317" s="18" t="str">
        <f xml:space="preserve"> TRIM( "9781605096148" )</f>
        <v>9781605096148</v>
      </c>
      <c r="D317" s="18" t="s">
        <v>713</v>
      </c>
      <c r="E317" s="18" t="s">
        <v>37</v>
      </c>
      <c r="F317" s="18" t="s">
        <v>714</v>
      </c>
      <c r="G317" s="18" t="s">
        <v>39</v>
      </c>
      <c r="H317" s="18">
        <v>0.2</v>
      </c>
      <c r="I317" s="20">
        <v>2.69</v>
      </c>
      <c r="J317" s="21">
        <v>0.2</v>
      </c>
      <c r="K317" s="20">
        <f t="shared" ca="1" si="5"/>
        <v>0.54</v>
      </c>
    </row>
    <row r="318" spans="2:11">
      <c r="B318" s="18" t="str">
        <f xml:space="preserve"> TRIM( "9781605096162" )</f>
        <v>9781605096162</v>
      </c>
      <c r="C318" s="18" t="str">
        <f xml:space="preserve"> TRIM( "9781605096162" )</f>
        <v>9781605096162</v>
      </c>
      <c r="D318" s="18" t="s">
        <v>716</v>
      </c>
      <c r="E318" s="18" t="s">
        <v>37</v>
      </c>
      <c r="F318" s="18" t="s">
        <v>717</v>
      </c>
      <c r="G318" s="18" t="s">
        <v>39</v>
      </c>
      <c r="H318" s="18">
        <v>0.2</v>
      </c>
      <c r="I318" s="20">
        <v>1.92</v>
      </c>
      <c r="J318" s="21">
        <v>0.2</v>
      </c>
      <c r="K318" s="20">
        <f t="shared" ca="1" si="5"/>
        <v>0.38</v>
      </c>
    </row>
    <row r="319" spans="2:11">
      <c r="B319" s="18" t="str">
        <f xml:space="preserve"> TRIM( "9781605096179" )</f>
        <v>9781605096179</v>
      </c>
      <c r="C319" s="18" t="str">
        <f xml:space="preserve"> TRIM( "9781605096179" )</f>
        <v>9781605096179</v>
      </c>
      <c r="D319" s="18" t="s">
        <v>719</v>
      </c>
      <c r="E319" s="18" t="s">
        <v>37</v>
      </c>
      <c r="F319" s="18" t="s">
        <v>720</v>
      </c>
      <c r="G319" s="18" t="s">
        <v>39</v>
      </c>
      <c r="H319" s="18">
        <v>0.2</v>
      </c>
      <c r="I319" s="20">
        <v>2.0499999999999998</v>
      </c>
      <c r="J319" s="21">
        <v>0.2</v>
      </c>
      <c r="K319" s="20">
        <f t="shared" ca="1" si="5"/>
        <v>0.41</v>
      </c>
    </row>
    <row r="320" spans="2:11">
      <c r="B320" s="18" t="str">
        <f xml:space="preserve"> TRIM( "9781605096186" )</f>
        <v>9781605096186</v>
      </c>
      <c r="C320" s="18" t="str">
        <f xml:space="preserve"> TRIM( "9781605096186" )</f>
        <v>9781605096186</v>
      </c>
      <c r="D320" s="18" t="s">
        <v>722</v>
      </c>
      <c r="E320" s="18" t="s">
        <v>37</v>
      </c>
      <c r="F320" s="18" t="s">
        <v>723</v>
      </c>
      <c r="G320" s="18" t="s">
        <v>39</v>
      </c>
      <c r="H320" s="18">
        <v>0.2</v>
      </c>
      <c r="I320" s="20">
        <v>2.74</v>
      </c>
      <c r="J320" s="21">
        <v>0.2</v>
      </c>
      <c r="K320" s="20">
        <f t="shared" ca="1" si="5"/>
        <v>0.55000000000000004</v>
      </c>
    </row>
    <row r="321" spans="2:11">
      <c r="B321" s="18" t="str">
        <f xml:space="preserve"> TRIM( "9781605096209" )</f>
        <v>9781605096209</v>
      </c>
      <c r="C321" s="18" t="str">
        <f xml:space="preserve"> TRIM( "9781605096209" )</f>
        <v>9781605096209</v>
      </c>
      <c r="D321" s="18" t="s">
        <v>725</v>
      </c>
      <c r="E321" s="18" t="s">
        <v>37</v>
      </c>
      <c r="F321" s="18" t="s">
        <v>726</v>
      </c>
      <c r="G321" s="18" t="s">
        <v>39</v>
      </c>
      <c r="H321" s="18">
        <v>0.2</v>
      </c>
      <c r="I321" s="20">
        <v>3.87</v>
      </c>
      <c r="J321" s="21">
        <v>0.2</v>
      </c>
      <c r="K321" s="20">
        <f t="shared" ca="1" si="5"/>
        <v>0.77</v>
      </c>
    </row>
    <row r="322" spans="2:11">
      <c r="B322" s="18" t="str">
        <f xml:space="preserve"> TRIM( "9781605096209" )</f>
        <v>9781605096209</v>
      </c>
      <c r="C322" s="18" t="str">
        <f xml:space="preserve"> TRIM( "9781605096209" )</f>
        <v>9781605096209</v>
      </c>
      <c r="D322" s="18" t="s">
        <v>725</v>
      </c>
      <c r="E322" s="18" t="s">
        <v>37</v>
      </c>
      <c r="F322" s="18" t="s">
        <v>726</v>
      </c>
      <c r="G322" s="18" t="s">
        <v>40</v>
      </c>
      <c r="H322" s="18">
        <v>0.25</v>
      </c>
      <c r="I322" s="20">
        <v>16.239999999999998</v>
      </c>
      <c r="J322" s="21">
        <v>0.25</v>
      </c>
      <c r="K322" s="20">
        <f t="shared" ca="1" si="5"/>
        <v>4.0599999999999996</v>
      </c>
    </row>
    <row r="323" spans="2:11">
      <c r="B323" s="18" t="str">
        <f xml:space="preserve"> TRIM( "9781605096230" )</f>
        <v>9781605096230</v>
      </c>
      <c r="C323" s="18" t="str">
        <f xml:space="preserve"> TRIM( "9781605096230" )</f>
        <v>9781605096230</v>
      </c>
      <c r="D323" s="18" t="s">
        <v>728</v>
      </c>
      <c r="E323" s="18" t="s">
        <v>37</v>
      </c>
      <c r="F323" s="18" t="s">
        <v>283</v>
      </c>
      <c r="G323" s="18" t="s">
        <v>39</v>
      </c>
      <c r="H323" s="18">
        <v>0.2</v>
      </c>
      <c r="I323" s="20">
        <v>1.97</v>
      </c>
      <c r="J323" s="21">
        <v>0.2</v>
      </c>
      <c r="K323" s="20">
        <f t="shared" ca="1" si="5"/>
        <v>0.39</v>
      </c>
    </row>
    <row r="324" spans="2:11">
      <c r="B324" s="18" t="str">
        <f xml:space="preserve"> TRIM( "9781605096247" )</f>
        <v>9781605096247</v>
      </c>
      <c r="C324" s="18" t="str">
        <f xml:space="preserve"> TRIM( "9781605096247" )</f>
        <v>9781605096247</v>
      </c>
      <c r="D324" s="18" t="s">
        <v>730</v>
      </c>
      <c r="E324" s="18" t="s">
        <v>37</v>
      </c>
      <c r="F324" s="18" t="s">
        <v>441</v>
      </c>
      <c r="G324" s="18" t="s">
        <v>39</v>
      </c>
      <c r="H324" s="18">
        <v>0.2</v>
      </c>
      <c r="I324" s="20">
        <v>2.08</v>
      </c>
      <c r="J324" s="21">
        <v>0.2</v>
      </c>
      <c r="K324" s="20">
        <f t="shared" ca="1" si="5"/>
        <v>0.42</v>
      </c>
    </row>
    <row r="325" spans="2:11">
      <c r="B325" s="18" t="str">
        <f xml:space="preserve"> TRIM( "9781605096254" )</f>
        <v>9781605096254</v>
      </c>
      <c r="C325" s="18" t="str">
        <f xml:space="preserve"> TRIM( "9781605096254" )</f>
        <v>9781605096254</v>
      </c>
      <c r="D325" s="18" t="s">
        <v>732</v>
      </c>
      <c r="E325" s="18" t="s">
        <v>37</v>
      </c>
      <c r="F325" s="18" t="s">
        <v>441</v>
      </c>
      <c r="G325" s="18" t="s">
        <v>39</v>
      </c>
      <c r="H325" s="18">
        <v>0.2</v>
      </c>
      <c r="I325" s="20">
        <v>7.56</v>
      </c>
      <c r="J325" s="21">
        <v>0.2</v>
      </c>
      <c r="K325" s="20">
        <f t="shared" ca="1" si="5"/>
        <v>1.51</v>
      </c>
    </row>
    <row r="326" spans="2:11">
      <c r="B326" s="18" t="str">
        <f xml:space="preserve"> TRIM( "9781605096261" )</f>
        <v>9781605096261</v>
      </c>
      <c r="C326" s="18" t="str">
        <f xml:space="preserve"> TRIM( "9781605096261" )</f>
        <v>9781605096261</v>
      </c>
      <c r="D326" s="18" t="s">
        <v>734</v>
      </c>
      <c r="E326" s="18" t="s">
        <v>37</v>
      </c>
      <c r="F326" s="18" t="s">
        <v>735</v>
      </c>
      <c r="G326" s="18" t="s">
        <v>39</v>
      </c>
      <c r="H326" s="18">
        <v>0.2</v>
      </c>
      <c r="I326" s="20">
        <v>10.63</v>
      </c>
      <c r="J326" s="21">
        <v>0.2</v>
      </c>
      <c r="K326" s="20">
        <f t="shared" ca="1" si="5"/>
        <v>2.13</v>
      </c>
    </row>
    <row r="327" spans="2:11">
      <c r="B327" s="18" t="str">
        <f xml:space="preserve"> TRIM( "9781605096308" )</f>
        <v>9781605096308</v>
      </c>
      <c r="C327" s="18" t="str">
        <f xml:space="preserve"> TRIM( "9781605096308" )</f>
        <v>9781605096308</v>
      </c>
      <c r="D327" s="18" t="s">
        <v>737</v>
      </c>
      <c r="E327" s="18" t="s">
        <v>37</v>
      </c>
      <c r="F327" s="18" t="s">
        <v>738</v>
      </c>
      <c r="G327" s="18" t="s">
        <v>39</v>
      </c>
      <c r="H327" s="18">
        <v>0.2</v>
      </c>
      <c r="I327" s="20">
        <v>2.67</v>
      </c>
      <c r="J327" s="21">
        <v>0.2</v>
      </c>
      <c r="K327" s="20">
        <f t="shared" ca="1" si="5"/>
        <v>0.53</v>
      </c>
    </row>
    <row r="328" spans="2:11">
      <c r="B328" s="18" t="str">
        <f xml:space="preserve"> TRIM( "9781605096339" )</f>
        <v>9781605096339</v>
      </c>
      <c r="C328" s="18" t="str">
        <f xml:space="preserve"> TRIM( "9781605096339" )</f>
        <v>9781605096339</v>
      </c>
      <c r="D328" s="18" t="s">
        <v>740</v>
      </c>
      <c r="E328" s="18" t="s">
        <v>37</v>
      </c>
      <c r="F328" s="18" t="s">
        <v>741</v>
      </c>
      <c r="G328" s="18" t="s">
        <v>39</v>
      </c>
      <c r="H328" s="18">
        <v>0.2</v>
      </c>
      <c r="I328" s="20">
        <v>2.78</v>
      </c>
      <c r="J328" s="21">
        <v>0.2</v>
      </c>
      <c r="K328" s="20">
        <f t="shared" ca="1" si="5"/>
        <v>0.56000000000000005</v>
      </c>
    </row>
    <row r="329" spans="2:11">
      <c r="B329" s="18" t="str">
        <f xml:space="preserve"> TRIM( "9781605096339" )</f>
        <v>9781605096339</v>
      </c>
      <c r="C329" s="18" t="str">
        <f xml:space="preserve"> TRIM( "9781605096339" )</f>
        <v>9781605096339</v>
      </c>
      <c r="D329" s="18" t="s">
        <v>740</v>
      </c>
      <c r="E329" s="18" t="s">
        <v>37</v>
      </c>
      <c r="F329" s="18" t="s">
        <v>741</v>
      </c>
      <c r="G329" s="18" t="s">
        <v>40</v>
      </c>
      <c r="H329" s="18">
        <v>0.25</v>
      </c>
      <c r="I329" s="20">
        <v>0.03</v>
      </c>
      <c r="J329" s="21">
        <v>0.25</v>
      </c>
      <c r="K329" s="20">
        <f t="shared" ca="1" si="5"/>
        <v>0.01</v>
      </c>
    </row>
    <row r="330" spans="2:11">
      <c r="B330" s="18" t="str">
        <f xml:space="preserve"> TRIM( "9781605096353" )</f>
        <v>9781605096353</v>
      </c>
      <c r="C330" s="18" t="str">
        <f xml:space="preserve"> TRIM( "9781605096353" )</f>
        <v>9781605096353</v>
      </c>
      <c r="D330" s="18" t="s">
        <v>743</v>
      </c>
      <c r="E330" s="18" t="s">
        <v>37</v>
      </c>
      <c r="F330" s="18" t="s">
        <v>744</v>
      </c>
      <c r="G330" s="18" t="s">
        <v>39</v>
      </c>
      <c r="H330" s="18">
        <v>0.2</v>
      </c>
      <c r="I330" s="20">
        <v>2.65</v>
      </c>
      <c r="J330" s="21">
        <v>0.2</v>
      </c>
      <c r="K330" s="20">
        <f t="shared" ca="1" si="5"/>
        <v>0.53</v>
      </c>
    </row>
    <row r="331" spans="2:11">
      <c r="B331" s="18" t="str">
        <f xml:space="preserve"> TRIM( "9781605096384" )</f>
        <v>9781605096384</v>
      </c>
      <c r="C331" s="18" t="str">
        <f xml:space="preserve"> TRIM( "9781605096384" )</f>
        <v>9781605096384</v>
      </c>
      <c r="D331" s="18" t="s">
        <v>746</v>
      </c>
      <c r="E331" s="18" t="s">
        <v>37</v>
      </c>
      <c r="F331" s="18" t="s">
        <v>747</v>
      </c>
      <c r="G331" s="18" t="s">
        <v>39</v>
      </c>
      <c r="H331" s="18">
        <v>0.2</v>
      </c>
      <c r="I331" s="20">
        <v>10.97</v>
      </c>
      <c r="J331" s="21">
        <v>0.2</v>
      </c>
      <c r="K331" s="20">
        <f t="shared" ca="1" si="5"/>
        <v>2.19</v>
      </c>
    </row>
    <row r="332" spans="2:11">
      <c r="B332" s="18" t="str">
        <f xml:space="preserve"> TRIM( "9781605096384" )</f>
        <v>9781605096384</v>
      </c>
      <c r="C332" s="18" t="str">
        <f xml:space="preserve"> TRIM( "9781605096384" )</f>
        <v>9781605096384</v>
      </c>
      <c r="D332" s="18" t="s">
        <v>746</v>
      </c>
      <c r="E332" s="18" t="s">
        <v>37</v>
      </c>
      <c r="F332" s="18" t="s">
        <v>747</v>
      </c>
      <c r="G332" s="18" t="s">
        <v>40</v>
      </c>
      <c r="H332" s="18">
        <v>0.25</v>
      </c>
      <c r="I332" s="20">
        <v>0.18</v>
      </c>
      <c r="J332" s="21">
        <v>0.25</v>
      </c>
      <c r="K332" s="20">
        <f t="shared" ca="1" si="5"/>
        <v>0.05</v>
      </c>
    </row>
    <row r="333" spans="2:11">
      <c r="B333" s="18" t="str">
        <f xml:space="preserve"> TRIM( "9781605096407" )</f>
        <v>9781605096407</v>
      </c>
      <c r="C333" s="18" t="str">
        <f xml:space="preserve"> TRIM( "9781605096407" )</f>
        <v>9781605096407</v>
      </c>
      <c r="D333" s="18" t="s">
        <v>749</v>
      </c>
      <c r="E333" s="18" t="s">
        <v>37</v>
      </c>
      <c r="F333" s="18" t="s">
        <v>750</v>
      </c>
      <c r="G333" s="18" t="s">
        <v>39</v>
      </c>
      <c r="H333" s="18">
        <v>0.2</v>
      </c>
      <c r="I333" s="20">
        <v>2.81</v>
      </c>
      <c r="J333" s="21">
        <v>0.2</v>
      </c>
      <c r="K333" s="20">
        <f t="shared" ca="1" si="5"/>
        <v>0.56000000000000005</v>
      </c>
    </row>
    <row r="334" spans="2:11">
      <c r="B334" s="18" t="str">
        <f xml:space="preserve"> TRIM( "9781605096476" )</f>
        <v>9781605096476</v>
      </c>
      <c r="C334" s="18" t="str">
        <f xml:space="preserve"> TRIM( "9781605096476" )</f>
        <v>9781605096476</v>
      </c>
      <c r="D334" s="18" t="s">
        <v>752</v>
      </c>
      <c r="E334" s="18" t="s">
        <v>37</v>
      </c>
      <c r="F334" s="18" t="s">
        <v>753</v>
      </c>
      <c r="G334" s="18" t="s">
        <v>39</v>
      </c>
      <c r="H334" s="18">
        <v>0.2</v>
      </c>
      <c r="I334" s="20">
        <v>1.92</v>
      </c>
      <c r="J334" s="21">
        <v>0.2</v>
      </c>
      <c r="K334" s="20">
        <f t="shared" ca="1" si="5"/>
        <v>0.38</v>
      </c>
    </row>
    <row r="335" spans="2:11">
      <c r="B335" s="18" t="str">
        <f xml:space="preserve"> TRIM( "9781605096513" )</f>
        <v>9781605096513</v>
      </c>
      <c r="C335" s="18" t="str">
        <f xml:space="preserve"> TRIM( "9781605096513" )</f>
        <v>9781605096513</v>
      </c>
      <c r="D335" s="18" t="s">
        <v>755</v>
      </c>
      <c r="E335" s="18" t="s">
        <v>37</v>
      </c>
      <c r="F335" s="18" t="s">
        <v>756</v>
      </c>
      <c r="G335" s="18" t="s">
        <v>39</v>
      </c>
      <c r="H335" s="18">
        <v>0.2</v>
      </c>
      <c r="I335" s="20">
        <v>14.08</v>
      </c>
      <c r="J335" s="21">
        <v>0.2</v>
      </c>
      <c r="K335" s="20">
        <f t="shared" ca="1" si="5"/>
        <v>2.82</v>
      </c>
    </row>
    <row r="336" spans="2:11">
      <c r="B336" s="18" t="str">
        <f xml:space="preserve"> TRIM( "9781605096513" )</f>
        <v>9781605096513</v>
      </c>
      <c r="C336" s="18" t="str">
        <f xml:space="preserve"> TRIM( "9781605096513" )</f>
        <v>9781605096513</v>
      </c>
      <c r="D336" s="18" t="s">
        <v>755</v>
      </c>
      <c r="E336" s="18" t="s">
        <v>37</v>
      </c>
      <c r="F336" s="18" t="s">
        <v>756</v>
      </c>
      <c r="G336" s="18" t="s">
        <v>40</v>
      </c>
      <c r="H336" s="18">
        <v>0.25</v>
      </c>
      <c r="I336" s="20">
        <v>36.29</v>
      </c>
      <c r="J336" s="21">
        <v>0.25</v>
      </c>
      <c r="K336" s="20">
        <f t="shared" ref="K336:K399" ca="1" si="6" xml:space="preserve"> ROUND( ( INDIRECT( ADDRESS( ROW(), COLUMN()- 2 ))) * ( INDIRECT( ADDRESS( ROW(), COLUMN()- 1 ))), 2 )</f>
        <v>9.07</v>
      </c>
    </row>
    <row r="337" spans="2:11">
      <c r="B337" s="18" t="str">
        <f xml:space="preserve"> TRIM( "9781605096568" )</f>
        <v>9781605096568</v>
      </c>
      <c r="C337" s="18" t="str">
        <f xml:space="preserve"> TRIM( "9781605096568" )</f>
        <v>9781605096568</v>
      </c>
      <c r="D337" s="18" t="s">
        <v>758</v>
      </c>
      <c r="E337" s="18" t="s">
        <v>37</v>
      </c>
      <c r="F337" s="18" t="s">
        <v>759</v>
      </c>
      <c r="G337" s="18" t="s">
        <v>39</v>
      </c>
      <c r="H337" s="18">
        <v>0.2</v>
      </c>
      <c r="I337" s="20">
        <v>2.74</v>
      </c>
      <c r="J337" s="21">
        <v>0.2</v>
      </c>
      <c r="K337" s="20">
        <f t="shared" ca="1" si="6"/>
        <v>0.55000000000000004</v>
      </c>
    </row>
    <row r="338" spans="2:11">
      <c r="B338" s="18" t="str">
        <f xml:space="preserve"> TRIM( "9781605096599" )</f>
        <v>9781605096599</v>
      </c>
      <c r="C338" s="18" t="str">
        <f xml:space="preserve"> TRIM( "9781605096599" )</f>
        <v>9781605096599</v>
      </c>
      <c r="D338" s="18" t="s">
        <v>761</v>
      </c>
      <c r="E338" s="18" t="s">
        <v>37</v>
      </c>
      <c r="F338" s="18" t="s">
        <v>762</v>
      </c>
      <c r="G338" s="18" t="s">
        <v>39</v>
      </c>
      <c r="H338" s="18">
        <v>0.2</v>
      </c>
      <c r="I338" s="20">
        <v>12.14</v>
      </c>
      <c r="J338" s="21">
        <v>0.2</v>
      </c>
      <c r="K338" s="20">
        <f t="shared" ca="1" si="6"/>
        <v>2.4300000000000002</v>
      </c>
    </row>
    <row r="339" spans="2:11">
      <c r="B339" s="18" t="str">
        <f xml:space="preserve"> TRIM( "9781605096599" )</f>
        <v>9781605096599</v>
      </c>
      <c r="C339" s="18" t="str">
        <f xml:space="preserve"> TRIM( "9781605096599" )</f>
        <v>9781605096599</v>
      </c>
      <c r="D339" s="18" t="s">
        <v>761</v>
      </c>
      <c r="E339" s="18" t="s">
        <v>37</v>
      </c>
      <c r="F339" s="18" t="s">
        <v>762</v>
      </c>
      <c r="G339" s="18" t="s">
        <v>40</v>
      </c>
      <c r="H339" s="18">
        <v>0.25</v>
      </c>
      <c r="I339" s="20">
        <v>0.01</v>
      </c>
      <c r="J339" s="21">
        <v>0.25</v>
      </c>
      <c r="K339" s="20">
        <f t="shared" ca="1" si="6"/>
        <v>0</v>
      </c>
    </row>
    <row r="340" spans="2:11">
      <c r="B340" s="18" t="str">
        <f xml:space="preserve"> TRIM( "9781605096629" )</f>
        <v>9781605096629</v>
      </c>
      <c r="C340" s="18" t="str">
        <f xml:space="preserve"> TRIM( "9781605096629" )</f>
        <v>9781605096629</v>
      </c>
      <c r="D340" s="18" t="s">
        <v>764</v>
      </c>
      <c r="E340" s="18" t="s">
        <v>37</v>
      </c>
      <c r="F340" s="18" t="s">
        <v>765</v>
      </c>
      <c r="G340" s="18" t="s">
        <v>39</v>
      </c>
      <c r="H340" s="18">
        <v>0.2</v>
      </c>
      <c r="I340" s="20">
        <v>1.92</v>
      </c>
      <c r="J340" s="21">
        <v>0.2</v>
      </c>
      <c r="K340" s="20">
        <f t="shared" ca="1" si="6"/>
        <v>0.38</v>
      </c>
    </row>
    <row r="341" spans="2:11">
      <c r="B341" s="18" t="str">
        <f xml:space="preserve"> TRIM( "9781605096698" )</f>
        <v>9781605096698</v>
      </c>
      <c r="C341" s="18" t="str">
        <f xml:space="preserve"> TRIM( "9781605096698" )</f>
        <v>9781605096698</v>
      </c>
      <c r="D341" s="18" t="s">
        <v>767</v>
      </c>
      <c r="E341" s="18" t="s">
        <v>37</v>
      </c>
      <c r="F341" s="18" t="s">
        <v>768</v>
      </c>
      <c r="G341" s="18" t="s">
        <v>39</v>
      </c>
      <c r="H341" s="18">
        <v>0.2</v>
      </c>
      <c r="I341" s="20">
        <v>2.91</v>
      </c>
      <c r="J341" s="21">
        <v>0.2</v>
      </c>
      <c r="K341" s="20">
        <f t="shared" ca="1" si="6"/>
        <v>0.57999999999999996</v>
      </c>
    </row>
    <row r="342" spans="2:11">
      <c r="B342" s="18" t="str">
        <f xml:space="preserve"> TRIM( "9781605096995" )</f>
        <v>9781605096995</v>
      </c>
      <c r="C342" s="18" t="str">
        <f xml:space="preserve"> TRIM( "9781605096995" )</f>
        <v>9781605096995</v>
      </c>
      <c r="D342" s="18" t="s">
        <v>770</v>
      </c>
      <c r="E342" s="18" t="s">
        <v>37</v>
      </c>
      <c r="F342" s="18" t="s">
        <v>771</v>
      </c>
      <c r="G342" s="18" t="s">
        <v>39</v>
      </c>
      <c r="H342" s="18">
        <v>0.2</v>
      </c>
      <c r="I342" s="20">
        <v>2.4300000000000002</v>
      </c>
      <c r="J342" s="21">
        <v>0.2</v>
      </c>
      <c r="K342" s="20">
        <f t="shared" ca="1" si="6"/>
        <v>0.49</v>
      </c>
    </row>
    <row r="343" spans="2:11">
      <c r="B343" s="18" t="str">
        <f xml:space="preserve"> TRIM( "9781605096995" )</f>
        <v>9781605096995</v>
      </c>
      <c r="C343" s="18" t="str">
        <f xml:space="preserve"> TRIM( "9781605096995" )</f>
        <v>9781605096995</v>
      </c>
      <c r="D343" s="18" t="s">
        <v>770</v>
      </c>
      <c r="E343" s="18" t="s">
        <v>37</v>
      </c>
      <c r="F343" s="18" t="s">
        <v>771</v>
      </c>
      <c r="G343" s="18" t="s">
        <v>40</v>
      </c>
      <c r="H343" s="18">
        <v>0.25</v>
      </c>
      <c r="I343" s="20">
        <v>0.06</v>
      </c>
      <c r="J343" s="21">
        <v>0.25</v>
      </c>
      <c r="K343" s="20">
        <f t="shared" ca="1" si="6"/>
        <v>0.02</v>
      </c>
    </row>
    <row r="344" spans="2:11">
      <c r="B344" s="18" t="str">
        <f xml:space="preserve"> TRIM( "9781605097039" )</f>
        <v>9781605097039</v>
      </c>
      <c r="C344" s="18" t="str">
        <f xml:space="preserve"> TRIM( "9781605097039" )</f>
        <v>9781605097039</v>
      </c>
      <c r="D344" s="18" t="s">
        <v>773</v>
      </c>
      <c r="E344" s="18" t="s">
        <v>37</v>
      </c>
      <c r="F344" s="18" t="s">
        <v>774</v>
      </c>
      <c r="G344" s="18" t="s">
        <v>39</v>
      </c>
      <c r="H344" s="18">
        <v>0.2</v>
      </c>
      <c r="I344" s="20">
        <v>1.97</v>
      </c>
      <c r="J344" s="21">
        <v>0.2</v>
      </c>
      <c r="K344" s="20">
        <f t="shared" ca="1" si="6"/>
        <v>0.39</v>
      </c>
    </row>
    <row r="345" spans="2:11">
      <c r="B345" s="18" t="str">
        <f xml:space="preserve"> TRIM( "9781605097114" )</f>
        <v>9781605097114</v>
      </c>
      <c r="C345" s="18" t="str">
        <f xml:space="preserve"> TRIM( "9781605097114" )</f>
        <v>9781605097114</v>
      </c>
      <c r="D345" s="18" t="s">
        <v>776</v>
      </c>
      <c r="E345" s="18" t="s">
        <v>37</v>
      </c>
      <c r="F345" s="18" t="s">
        <v>777</v>
      </c>
      <c r="G345" s="18" t="s">
        <v>39</v>
      </c>
      <c r="H345" s="18">
        <v>0.2</v>
      </c>
      <c r="I345" s="20">
        <v>1.92</v>
      </c>
      <c r="J345" s="21">
        <v>0.2</v>
      </c>
      <c r="K345" s="20">
        <f t="shared" ca="1" si="6"/>
        <v>0.38</v>
      </c>
    </row>
    <row r="346" spans="2:11">
      <c r="B346" s="18" t="str">
        <f xml:space="preserve"> TRIM( "9781605097114" )</f>
        <v>9781605097114</v>
      </c>
      <c r="C346" s="18" t="str">
        <f xml:space="preserve"> TRIM( "9781605097114" )</f>
        <v>9781605097114</v>
      </c>
      <c r="D346" s="18" t="s">
        <v>776</v>
      </c>
      <c r="E346" s="18" t="s">
        <v>37</v>
      </c>
      <c r="F346" s="18" t="s">
        <v>777</v>
      </c>
      <c r="G346" s="18" t="s">
        <v>40</v>
      </c>
      <c r="H346" s="18">
        <v>0.25</v>
      </c>
      <c r="I346" s="20">
        <v>3.12</v>
      </c>
      <c r="J346" s="21">
        <v>0.25</v>
      </c>
      <c r="K346" s="20">
        <f t="shared" ca="1" si="6"/>
        <v>0.78</v>
      </c>
    </row>
    <row r="347" spans="2:11">
      <c r="B347" s="18" t="str">
        <f xml:space="preserve"> TRIM( "9781605097121" )</f>
        <v>9781605097121</v>
      </c>
      <c r="C347" s="18" t="str">
        <f xml:space="preserve"> TRIM( "9781605097121" )</f>
        <v>9781605097121</v>
      </c>
      <c r="D347" s="18" t="s">
        <v>779</v>
      </c>
      <c r="E347" s="18" t="s">
        <v>37</v>
      </c>
      <c r="F347" s="18" t="s">
        <v>780</v>
      </c>
      <c r="G347" s="18" t="s">
        <v>39</v>
      </c>
      <c r="H347" s="18">
        <v>0.2</v>
      </c>
      <c r="I347" s="20">
        <v>1.92</v>
      </c>
      <c r="J347" s="21">
        <v>0.2</v>
      </c>
      <c r="K347" s="20">
        <f t="shared" ca="1" si="6"/>
        <v>0.38</v>
      </c>
    </row>
    <row r="348" spans="2:11">
      <c r="B348" s="18" t="str">
        <f xml:space="preserve"> TRIM( "9781605097152" )</f>
        <v>9781605097152</v>
      </c>
      <c r="C348" s="18" t="str">
        <f xml:space="preserve"> TRIM( "9781605097152" )</f>
        <v>9781605097152</v>
      </c>
      <c r="D348" s="18" t="s">
        <v>782</v>
      </c>
      <c r="E348" s="18" t="s">
        <v>37</v>
      </c>
      <c r="F348" s="18" t="s">
        <v>783</v>
      </c>
      <c r="G348" s="18" t="s">
        <v>39</v>
      </c>
      <c r="H348" s="18">
        <v>0.2</v>
      </c>
      <c r="I348" s="20">
        <v>2.74</v>
      </c>
      <c r="J348" s="21">
        <v>0.2</v>
      </c>
      <c r="K348" s="20">
        <f t="shared" ca="1" si="6"/>
        <v>0.55000000000000004</v>
      </c>
    </row>
    <row r="349" spans="2:11">
      <c r="B349" s="18" t="str">
        <f xml:space="preserve"> TRIM( "9781605097169" )</f>
        <v>9781605097169</v>
      </c>
      <c r="C349" s="18" t="str">
        <f xml:space="preserve"> TRIM( "9781605097169" )</f>
        <v>9781605097169</v>
      </c>
      <c r="D349" s="18" t="s">
        <v>785</v>
      </c>
      <c r="E349" s="18" t="s">
        <v>37</v>
      </c>
      <c r="F349" s="18" t="s">
        <v>786</v>
      </c>
      <c r="G349" s="18" t="s">
        <v>39</v>
      </c>
      <c r="H349" s="18">
        <v>0.2</v>
      </c>
      <c r="I349" s="20">
        <v>9.36</v>
      </c>
      <c r="J349" s="21">
        <v>0.2</v>
      </c>
      <c r="K349" s="20">
        <f t="shared" ca="1" si="6"/>
        <v>1.87</v>
      </c>
    </row>
    <row r="350" spans="2:11">
      <c r="B350" s="18" t="str">
        <f xml:space="preserve"> TRIM( "9781605097169" )</f>
        <v>9781605097169</v>
      </c>
      <c r="C350" s="18" t="str">
        <f xml:space="preserve"> TRIM( "9781605097169" )</f>
        <v>9781605097169</v>
      </c>
      <c r="D350" s="18" t="s">
        <v>785</v>
      </c>
      <c r="E350" s="18" t="s">
        <v>37</v>
      </c>
      <c r="F350" s="18" t="s">
        <v>786</v>
      </c>
      <c r="G350" s="18" t="s">
        <v>40</v>
      </c>
      <c r="H350" s="18">
        <v>0.25</v>
      </c>
      <c r="I350" s="20">
        <v>1.29</v>
      </c>
      <c r="J350" s="21">
        <v>0.25</v>
      </c>
      <c r="K350" s="20">
        <f t="shared" ca="1" si="6"/>
        <v>0.32</v>
      </c>
    </row>
    <row r="351" spans="2:11">
      <c r="B351" s="18" t="str">
        <f xml:space="preserve"> TRIM( "9781605097183" )</f>
        <v>9781605097183</v>
      </c>
      <c r="C351" s="18" t="str">
        <f xml:space="preserve"> TRIM( "9781605097183" )</f>
        <v>9781605097183</v>
      </c>
      <c r="D351" s="18" t="s">
        <v>788</v>
      </c>
      <c r="E351" s="18" t="s">
        <v>37</v>
      </c>
      <c r="F351" s="18" t="s">
        <v>789</v>
      </c>
      <c r="G351" s="18" t="s">
        <v>39</v>
      </c>
      <c r="H351" s="18">
        <v>0.2</v>
      </c>
      <c r="I351" s="20">
        <v>4.87</v>
      </c>
      <c r="J351" s="21">
        <v>0.2</v>
      </c>
      <c r="K351" s="20">
        <f t="shared" ca="1" si="6"/>
        <v>0.97</v>
      </c>
    </row>
    <row r="352" spans="2:11">
      <c r="B352" s="18" t="str">
        <f xml:space="preserve"> TRIM( "9781605097206" )</f>
        <v>9781605097206</v>
      </c>
      <c r="C352" s="18" t="str">
        <f xml:space="preserve"> TRIM( "9781605097206" )</f>
        <v>9781605097206</v>
      </c>
      <c r="D352" s="18" t="s">
        <v>791</v>
      </c>
      <c r="E352" s="18" t="s">
        <v>37</v>
      </c>
      <c r="F352" s="18" t="s">
        <v>792</v>
      </c>
      <c r="G352" s="18" t="s">
        <v>39</v>
      </c>
      <c r="H352" s="18">
        <v>0.2</v>
      </c>
      <c r="I352" s="20">
        <v>4.33</v>
      </c>
      <c r="J352" s="21">
        <v>0.2</v>
      </c>
      <c r="K352" s="20">
        <f t="shared" ca="1" si="6"/>
        <v>0.87</v>
      </c>
    </row>
    <row r="353" spans="2:11">
      <c r="B353" s="18" t="str">
        <f xml:space="preserve"> TRIM( "9781605097206" )</f>
        <v>9781605097206</v>
      </c>
      <c r="C353" s="18" t="str">
        <f xml:space="preserve"> TRIM( "9781605097206" )</f>
        <v>9781605097206</v>
      </c>
      <c r="D353" s="18" t="s">
        <v>791</v>
      </c>
      <c r="E353" s="18" t="s">
        <v>37</v>
      </c>
      <c r="F353" s="18" t="s">
        <v>792</v>
      </c>
      <c r="G353" s="18" t="s">
        <v>40</v>
      </c>
      <c r="H353" s="18">
        <v>0.25</v>
      </c>
      <c r="I353" s="20">
        <v>0.6</v>
      </c>
      <c r="J353" s="21">
        <v>0.25</v>
      </c>
      <c r="K353" s="20">
        <f t="shared" ca="1" si="6"/>
        <v>0.15</v>
      </c>
    </row>
    <row r="354" spans="2:11">
      <c r="B354" s="18" t="str">
        <f xml:space="preserve"> TRIM( "9781605097282" )</f>
        <v>9781605097282</v>
      </c>
      <c r="C354" s="18" t="str">
        <f xml:space="preserve"> TRIM( "9781605097282" )</f>
        <v>9781605097282</v>
      </c>
      <c r="D354" s="18" t="s">
        <v>794</v>
      </c>
      <c r="E354" s="18" t="s">
        <v>37</v>
      </c>
      <c r="F354" s="18" t="s">
        <v>795</v>
      </c>
      <c r="G354" s="18" t="s">
        <v>39</v>
      </c>
      <c r="H354" s="18">
        <v>0.2</v>
      </c>
      <c r="I354" s="20">
        <v>2.4700000000000002</v>
      </c>
      <c r="J354" s="21">
        <v>0.2</v>
      </c>
      <c r="K354" s="20">
        <f t="shared" ca="1" si="6"/>
        <v>0.49</v>
      </c>
    </row>
    <row r="355" spans="2:11">
      <c r="B355" s="18" t="str">
        <f xml:space="preserve"> TRIM( "9781605097329" )</f>
        <v>9781605097329</v>
      </c>
      <c r="C355" s="18" t="str">
        <f xml:space="preserve"> TRIM( "9781605097329" )</f>
        <v>9781605097329</v>
      </c>
      <c r="D355" s="18" t="s">
        <v>797</v>
      </c>
      <c r="E355" s="18" t="s">
        <v>37</v>
      </c>
      <c r="F355" s="18" t="s">
        <v>798</v>
      </c>
      <c r="G355" s="18" t="s">
        <v>39</v>
      </c>
      <c r="H355" s="18">
        <v>0.2</v>
      </c>
      <c r="I355" s="20">
        <v>8.1300000000000008</v>
      </c>
      <c r="J355" s="21">
        <v>0.2</v>
      </c>
      <c r="K355" s="20">
        <f t="shared" ca="1" si="6"/>
        <v>1.63</v>
      </c>
    </row>
    <row r="356" spans="2:11">
      <c r="B356" s="18" t="str">
        <f xml:space="preserve"> TRIM( "9781605098043" )</f>
        <v>9781605098043</v>
      </c>
      <c r="C356" s="18" t="str">
        <f xml:space="preserve"> TRIM( "9781605098043" )</f>
        <v>9781605098043</v>
      </c>
      <c r="D356" s="18" t="s">
        <v>800</v>
      </c>
      <c r="E356" s="18" t="s">
        <v>37</v>
      </c>
      <c r="F356" s="18" t="s">
        <v>801</v>
      </c>
      <c r="G356" s="18" t="s">
        <v>39</v>
      </c>
      <c r="H356" s="18">
        <v>0.2</v>
      </c>
      <c r="I356" s="20">
        <v>5.27</v>
      </c>
      <c r="J356" s="21">
        <v>0.2</v>
      </c>
      <c r="K356" s="20">
        <f t="shared" ca="1" si="6"/>
        <v>1.05</v>
      </c>
    </row>
    <row r="357" spans="2:11">
      <c r="B357" s="18" t="str">
        <f xml:space="preserve"> TRIM( "9781605098043" )</f>
        <v>9781605098043</v>
      </c>
      <c r="C357" s="18" t="str">
        <f xml:space="preserve"> TRIM( "9781605098043" )</f>
        <v>9781605098043</v>
      </c>
      <c r="D357" s="18" t="s">
        <v>800</v>
      </c>
      <c r="E357" s="18" t="s">
        <v>37</v>
      </c>
      <c r="F357" s="18" t="s">
        <v>801</v>
      </c>
      <c r="G357" s="18" t="s">
        <v>40</v>
      </c>
      <c r="H357" s="18">
        <v>0.25</v>
      </c>
      <c r="I357" s="20">
        <v>1.39</v>
      </c>
      <c r="J357" s="21">
        <v>0.25</v>
      </c>
      <c r="K357" s="20">
        <f t="shared" ca="1" si="6"/>
        <v>0.35</v>
      </c>
    </row>
    <row r="358" spans="2:11">
      <c r="B358" s="18" t="str">
        <f xml:space="preserve"> TRIM( "9781605098050" )</f>
        <v>9781605098050</v>
      </c>
      <c r="C358" s="18" t="str">
        <f xml:space="preserve"> TRIM( "9781605098050" )</f>
        <v>9781605098050</v>
      </c>
      <c r="D358" s="18" t="s">
        <v>803</v>
      </c>
      <c r="E358" s="18" t="s">
        <v>37</v>
      </c>
      <c r="F358" s="18" t="s">
        <v>804</v>
      </c>
      <c r="G358" s="18" t="s">
        <v>39</v>
      </c>
      <c r="H358" s="18">
        <v>0.2</v>
      </c>
      <c r="I358" s="20">
        <v>2.0299999999999998</v>
      </c>
      <c r="J358" s="21">
        <v>0.2</v>
      </c>
      <c r="K358" s="20">
        <f t="shared" ca="1" si="6"/>
        <v>0.41</v>
      </c>
    </row>
    <row r="359" spans="2:11">
      <c r="B359" s="18" t="str">
        <f xml:space="preserve"> TRIM( "9781605098067" )</f>
        <v>9781605098067</v>
      </c>
      <c r="C359" s="18" t="str">
        <f xml:space="preserve"> TRIM( "9781605098067" )</f>
        <v>9781605098067</v>
      </c>
      <c r="D359" s="18" t="s">
        <v>806</v>
      </c>
      <c r="E359" s="18" t="s">
        <v>37</v>
      </c>
      <c r="F359" s="18" t="s">
        <v>807</v>
      </c>
      <c r="G359" s="18" t="s">
        <v>39</v>
      </c>
      <c r="H359" s="18">
        <v>0.2</v>
      </c>
      <c r="I359" s="20">
        <v>2.67</v>
      </c>
      <c r="J359" s="21">
        <v>0.2</v>
      </c>
      <c r="K359" s="20">
        <f t="shared" ca="1" si="6"/>
        <v>0.53</v>
      </c>
    </row>
    <row r="360" spans="2:11">
      <c r="B360" s="18" t="str">
        <f xml:space="preserve"> TRIM( "9781605098074" )</f>
        <v>9781605098074</v>
      </c>
      <c r="C360" s="18" t="str">
        <f xml:space="preserve"> TRIM( "9781605098074" )</f>
        <v>9781605098074</v>
      </c>
      <c r="D360" s="18" t="s">
        <v>809</v>
      </c>
      <c r="E360" s="18" t="s">
        <v>37</v>
      </c>
      <c r="F360" s="18" t="s">
        <v>810</v>
      </c>
      <c r="G360" s="18" t="s">
        <v>39</v>
      </c>
      <c r="H360" s="18">
        <v>0.2</v>
      </c>
      <c r="I360" s="20">
        <v>3.11</v>
      </c>
      <c r="J360" s="21">
        <v>0.2</v>
      </c>
      <c r="K360" s="20">
        <f t="shared" ca="1" si="6"/>
        <v>0.62</v>
      </c>
    </row>
    <row r="361" spans="2:11">
      <c r="B361" s="18" t="str">
        <f xml:space="preserve"> TRIM( "9781605098074" )</f>
        <v>9781605098074</v>
      </c>
      <c r="C361" s="18" t="str">
        <f xml:space="preserve"> TRIM( "9781605098074" )</f>
        <v>9781605098074</v>
      </c>
      <c r="D361" s="18" t="s">
        <v>809</v>
      </c>
      <c r="E361" s="18" t="s">
        <v>37</v>
      </c>
      <c r="F361" s="18" t="s">
        <v>810</v>
      </c>
      <c r="G361" s="18" t="s">
        <v>40</v>
      </c>
      <c r="H361" s="18">
        <v>0.25</v>
      </c>
      <c r="I361" s="20">
        <v>0.21</v>
      </c>
      <c r="J361" s="21">
        <v>0.25</v>
      </c>
      <c r="K361" s="20">
        <f t="shared" ca="1" si="6"/>
        <v>0.05</v>
      </c>
    </row>
    <row r="362" spans="2:11">
      <c r="B362" s="18" t="str">
        <f xml:space="preserve"> TRIM( "9781605098081" )</f>
        <v>9781605098081</v>
      </c>
      <c r="C362" s="18" t="str">
        <f xml:space="preserve"> TRIM( "9781605098081" )</f>
        <v>9781605098081</v>
      </c>
      <c r="D362" s="18" t="s">
        <v>812</v>
      </c>
      <c r="E362" s="18" t="s">
        <v>37</v>
      </c>
      <c r="F362" s="18" t="s">
        <v>813</v>
      </c>
      <c r="G362" s="18" t="s">
        <v>39</v>
      </c>
      <c r="H362" s="18">
        <v>0.2</v>
      </c>
      <c r="I362" s="20">
        <v>2.61</v>
      </c>
      <c r="J362" s="21">
        <v>0.2</v>
      </c>
      <c r="K362" s="20">
        <f t="shared" ca="1" si="6"/>
        <v>0.52</v>
      </c>
    </row>
    <row r="363" spans="2:11">
      <c r="B363" s="18" t="str">
        <f xml:space="preserve"> TRIM( "9781605098111" )</f>
        <v>9781605098111</v>
      </c>
      <c r="C363" s="18" t="str">
        <f xml:space="preserve"> TRIM( "9781605098111" )</f>
        <v>9781605098111</v>
      </c>
      <c r="D363" s="18" t="s">
        <v>815</v>
      </c>
      <c r="E363" s="18" t="s">
        <v>37</v>
      </c>
      <c r="F363" s="18" t="s">
        <v>816</v>
      </c>
      <c r="G363" s="18" t="s">
        <v>39</v>
      </c>
      <c r="H363" s="18">
        <v>0.2</v>
      </c>
      <c r="I363" s="20">
        <v>19.48</v>
      </c>
      <c r="J363" s="21">
        <v>0.2</v>
      </c>
      <c r="K363" s="20">
        <f t="shared" ca="1" si="6"/>
        <v>3.9</v>
      </c>
    </row>
    <row r="364" spans="2:11">
      <c r="B364" s="18" t="str">
        <f xml:space="preserve"> TRIM( "9781605098111" )</f>
        <v>9781605098111</v>
      </c>
      <c r="C364" s="18" t="str">
        <f xml:space="preserve"> TRIM( "9781605098111" )</f>
        <v>9781605098111</v>
      </c>
      <c r="D364" s="18" t="s">
        <v>815</v>
      </c>
      <c r="E364" s="18" t="s">
        <v>37</v>
      </c>
      <c r="F364" s="18" t="s">
        <v>816</v>
      </c>
      <c r="G364" s="18" t="s">
        <v>40</v>
      </c>
      <c r="H364" s="18">
        <v>0.25</v>
      </c>
      <c r="I364" s="20">
        <v>0.56000000000000005</v>
      </c>
      <c r="J364" s="21">
        <v>0.25</v>
      </c>
      <c r="K364" s="20">
        <f t="shared" ca="1" si="6"/>
        <v>0.14000000000000001</v>
      </c>
    </row>
    <row r="365" spans="2:11">
      <c r="B365" s="18" t="str">
        <f xml:space="preserve"> TRIM( "9781605098135" )</f>
        <v>9781605098135</v>
      </c>
      <c r="C365" s="18" t="str">
        <f xml:space="preserve"> TRIM( "9781605098159" )</f>
        <v>9781605098159</v>
      </c>
      <c r="D365" s="18" t="s">
        <v>819</v>
      </c>
      <c r="E365" s="18" t="s">
        <v>37</v>
      </c>
      <c r="F365" s="18" t="s">
        <v>820</v>
      </c>
      <c r="G365" s="18" t="s">
        <v>39</v>
      </c>
      <c r="H365" s="18">
        <v>0.2</v>
      </c>
      <c r="I365" s="20">
        <v>2.94</v>
      </c>
      <c r="J365" s="21">
        <v>0.2</v>
      </c>
      <c r="K365" s="20">
        <f t="shared" ca="1" si="6"/>
        <v>0.59</v>
      </c>
    </row>
    <row r="366" spans="2:11">
      <c r="B366" s="18" t="str">
        <f xml:space="preserve"> TRIM( "9781605098173" )</f>
        <v>9781605098173</v>
      </c>
      <c r="C366" s="18" t="str">
        <f xml:space="preserve"> TRIM( "9781605098173" )</f>
        <v>9781605098173</v>
      </c>
      <c r="D366" s="18" t="s">
        <v>822</v>
      </c>
      <c r="E366" s="18" t="s">
        <v>37</v>
      </c>
      <c r="F366" s="18" t="s">
        <v>823</v>
      </c>
      <c r="G366" s="18" t="s">
        <v>39</v>
      </c>
      <c r="H366" s="18">
        <v>0.2</v>
      </c>
      <c r="I366" s="20">
        <v>5.01</v>
      </c>
      <c r="J366" s="21">
        <v>0.2</v>
      </c>
      <c r="K366" s="20">
        <f t="shared" ca="1" si="6"/>
        <v>1</v>
      </c>
    </row>
    <row r="367" spans="2:11">
      <c r="B367" s="18" t="str">
        <f xml:space="preserve"> TRIM( "9781605098180" )</f>
        <v>9781605098180</v>
      </c>
      <c r="C367" s="18" t="str">
        <f xml:space="preserve"> TRIM( "9781605098180" )</f>
        <v>9781605098180</v>
      </c>
      <c r="D367" s="18" t="s">
        <v>825</v>
      </c>
      <c r="E367" s="18" t="s">
        <v>37</v>
      </c>
      <c r="F367" s="18" t="s">
        <v>826</v>
      </c>
      <c r="G367" s="18" t="s">
        <v>39</v>
      </c>
      <c r="H367" s="18">
        <v>0.2</v>
      </c>
      <c r="I367" s="20">
        <v>2.02</v>
      </c>
      <c r="J367" s="21">
        <v>0.2</v>
      </c>
      <c r="K367" s="20">
        <f t="shared" ca="1" si="6"/>
        <v>0.4</v>
      </c>
    </row>
    <row r="368" spans="2:11">
      <c r="B368" s="18" t="str">
        <f xml:space="preserve"> TRIM( "9781605098197" )</f>
        <v>9781605098197</v>
      </c>
      <c r="C368" s="18" t="str">
        <f xml:space="preserve"> TRIM( "9781605098197" )</f>
        <v>9781605098197</v>
      </c>
      <c r="D368" s="18" t="s">
        <v>828</v>
      </c>
      <c r="E368" s="18" t="s">
        <v>37</v>
      </c>
      <c r="F368" s="18" t="s">
        <v>344</v>
      </c>
      <c r="G368" s="18" t="s">
        <v>39</v>
      </c>
      <c r="H368" s="18">
        <v>0.2</v>
      </c>
      <c r="I368" s="20">
        <v>1.96</v>
      </c>
      <c r="J368" s="21">
        <v>0.2</v>
      </c>
      <c r="K368" s="20">
        <f t="shared" ca="1" si="6"/>
        <v>0.39</v>
      </c>
    </row>
    <row r="369" spans="2:11">
      <c r="B369" s="18" t="str">
        <f xml:space="preserve"> TRIM( "9781605098210" )</f>
        <v>9781605098210</v>
      </c>
      <c r="C369" s="18" t="str">
        <f xml:space="preserve"> TRIM( "9781605098210" )</f>
        <v>9781605098210</v>
      </c>
      <c r="D369" s="18" t="s">
        <v>830</v>
      </c>
      <c r="E369" s="18" t="s">
        <v>37</v>
      </c>
      <c r="F369" s="18" t="s">
        <v>831</v>
      </c>
      <c r="G369" s="18" t="s">
        <v>39</v>
      </c>
      <c r="H369" s="18">
        <v>0.2</v>
      </c>
      <c r="I369" s="20">
        <v>1.92</v>
      </c>
      <c r="J369" s="21">
        <v>0.2</v>
      </c>
      <c r="K369" s="20">
        <f t="shared" ca="1" si="6"/>
        <v>0.38</v>
      </c>
    </row>
    <row r="370" spans="2:11">
      <c r="B370" s="18" t="str">
        <f xml:space="preserve"> TRIM( "9781605098425" )</f>
        <v>9781605098425</v>
      </c>
      <c r="C370" s="18" t="str">
        <f xml:space="preserve"> TRIM( "9781605098425" )</f>
        <v>9781605098425</v>
      </c>
      <c r="D370" s="18" t="s">
        <v>833</v>
      </c>
      <c r="E370" s="18" t="s">
        <v>37</v>
      </c>
      <c r="F370" s="18" t="s">
        <v>834</v>
      </c>
      <c r="G370" s="18" t="s">
        <v>39</v>
      </c>
      <c r="H370" s="18">
        <v>0.2</v>
      </c>
      <c r="I370" s="20">
        <v>9.06</v>
      </c>
      <c r="J370" s="21">
        <v>0.2</v>
      </c>
      <c r="K370" s="20">
        <f t="shared" ca="1" si="6"/>
        <v>1.81</v>
      </c>
    </row>
    <row r="371" spans="2:11">
      <c r="B371" s="18" t="str">
        <f xml:space="preserve"> TRIM( "9781605098456" )</f>
        <v>9781605098456</v>
      </c>
      <c r="C371" s="18" t="str">
        <f xml:space="preserve"> TRIM( "9781605098456" )</f>
        <v>9781605098456</v>
      </c>
      <c r="D371" s="18" t="s">
        <v>836</v>
      </c>
      <c r="E371" s="18" t="s">
        <v>37</v>
      </c>
      <c r="F371" s="18" t="s">
        <v>837</v>
      </c>
      <c r="G371" s="18" t="s">
        <v>39</v>
      </c>
      <c r="H371" s="18">
        <v>0.2</v>
      </c>
      <c r="I371" s="20">
        <v>2.3199999999999998</v>
      </c>
      <c r="J371" s="21">
        <v>0.2</v>
      </c>
      <c r="K371" s="20">
        <f t="shared" ca="1" si="6"/>
        <v>0.46</v>
      </c>
    </row>
    <row r="372" spans="2:11">
      <c r="B372" s="18" t="str">
        <f xml:space="preserve"> TRIM( "9781605098470" )</f>
        <v>9781605098470</v>
      </c>
      <c r="C372" s="18" t="str">
        <f xml:space="preserve"> TRIM( "9781605098470" )</f>
        <v>9781605098470</v>
      </c>
      <c r="D372" s="18" t="s">
        <v>839</v>
      </c>
      <c r="E372" s="18" t="s">
        <v>37</v>
      </c>
      <c r="F372" s="18" t="s">
        <v>840</v>
      </c>
      <c r="G372" s="18" t="s">
        <v>39</v>
      </c>
      <c r="H372" s="18">
        <v>0.2</v>
      </c>
      <c r="I372" s="20">
        <v>1.92</v>
      </c>
      <c r="J372" s="21">
        <v>0.2</v>
      </c>
      <c r="K372" s="20">
        <f t="shared" ca="1" si="6"/>
        <v>0.38</v>
      </c>
    </row>
    <row r="373" spans="2:11">
      <c r="B373" s="18" t="str">
        <f xml:space="preserve"> TRIM( "9781605098487" )</f>
        <v>9781605098487</v>
      </c>
      <c r="C373" s="18" t="str">
        <f xml:space="preserve"> TRIM( "9781605098487" )</f>
        <v>9781605098487</v>
      </c>
      <c r="D373" s="18" t="s">
        <v>842</v>
      </c>
      <c r="E373" s="18" t="s">
        <v>37</v>
      </c>
      <c r="F373" s="18" t="s">
        <v>843</v>
      </c>
      <c r="G373" s="18" t="s">
        <v>39</v>
      </c>
      <c r="H373" s="18">
        <v>0.2</v>
      </c>
      <c r="I373" s="20">
        <v>4.0199999999999996</v>
      </c>
      <c r="J373" s="21">
        <v>0.2</v>
      </c>
      <c r="K373" s="20">
        <f t="shared" ca="1" si="6"/>
        <v>0.8</v>
      </c>
    </row>
    <row r="374" spans="2:11">
      <c r="B374" s="18" t="str">
        <f xml:space="preserve"> TRIM( "9781605098500" )</f>
        <v>9781605098500</v>
      </c>
      <c r="C374" s="18" t="str">
        <f xml:space="preserve"> TRIM( "9781605098500" )</f>
        <v>9781605098500</v>
      </c>
      <c r="D374" s="18" t="s">
        <v>845</v>
      </c>
      <c r="E374" s="18" t="s">
        <v>37</v>
      </c>
      <c r="F374" s="18" t="s">
        <v>846</v>
      </c>
      <c r="G374" s="18" t="s">
        <v>39</v>
      </c>
      <c r="H374" s="18">
        <v>0.2</v>
      </c>
      <c r="I374" s="20">
        <v>25.04</v>
      </c>
      <c r="J374" s="21">
        <v>0.2</v>
      </c>
      <c r="K374" s="20">
        <f t="shared" ca="1" si="6"/>
        <v>5.01</v>
      </c>
    </row>
    <row r="375" spans="2:11">
      <c r="B375" s="18" t="str">
        <f xml:space="preserve"> TRIM( "9781605098517" )</f>
        <v>9781605098517</v>
      </c>
      <c r="C375" s="18" t="str">
        <f xml:space="preserve"> TRIM( "9781605098517" )</f>
        <v>9781605098517</v>
      </c>
      <c r="D375" s="18" t="s">
        <v>848</v>
      </c>
      <c r="E375" s="18" t="s">
        <v>37</v>
      </c>
      <c r="F375" s="18" t="s">
        <v>846</v>
      </c>
      <c r="G375" s="18" t="s">
        <v>39</v>
      </c>
      <c r="H375" s="18">
        <v>0.2</v>
      </c>
      <c r="I375" s="20">
        <v>1.92</v>
      </c>
      <c r="J375" s="21">
        <v>0.2</v>
      </c>
      <c r="K375" s="20">
        <f t="shared" ca="1" si="6"/>
        <v>0.38</v>
      </c>
    </row>
    <row r="376" spans="2:11">
      <c r="B376" s="18" t="str">
        <f xml:space="preserve"> TRIM( "9781605098548" )</f>
        <v>9781605098548</v>
      </c>
      <c r="C376" s="18" t="str">
        <f xml:space="preserve"> TRIM( "9781605098548" )</f>
        <v>9781605098548</v>
      </c>
      <c r="D376" s="18" t="s">
        <v>850</v>
      </c>
      <c r="E376" s="18" t="s">
        <v>37</v>
      </c>
      <c r="F376" s="18" t="s">
        <v>851</v>
      </c>
      <c r="G376" s="18" t="s">
        <v>39</v>
      </c>
      <c r="H376" s="18">
        <v>0.2</v>
      </c>
      <c r="I376" s="20">
        <v>5.66</v>
      </c>
      <c r="J376" s="21">
        <v>0.2</v>
      </c>
      <c r="K376" s="20">
        <f t="shared" ca="1" si="6"/>
        <v>1.1299999999999999</v>
      </c>
    </row>
    <row r="377" spans="2:11">
      <c r="B377" s="18" t="str">
        <f xml:space="preserve"> TRIM( "9781605098609" )</f>
        <v>9781605098609</v>
      </c>
      <c r="C377" s="18" t="str">
        <f xml:space="preserve"> TRIM( "9781605098609" )</f>
        <v>9781605098609</v>
      </c>
      <c r="D377" s="18" t="s">
        <v>853</v>
      </c>
      <c r="E377" s="18" t="s">
        <v>37</v>
      </c>
      <c r="F377" s="18" t="s">
        <v>854</v>
      </c>
      <c r="G377" s="18" t="s">
        <v>39</v>
      </c>
      <c r="H377" s="18">
        <v>0.2</v>
      </c>
      <c r="I377" s="20">
        <v>7.27</v>
      </c>
      <c r="J377" s="21">
        <v>0.2</v>
      </c>
      <c r="K377" s="20">
        <f t="shared" ca="1" si="6"/>
        <v>1.45</v>
      </c>
    </row>
    <row r="378" spans="2:11">
      <c r="B378" s="18" t="str">
        <f xml:space="preserve"> TRIM( "9781605098609" )</f>
        <v>9781605098609</v>
      </c>
      <c r="C378" s="18" t="str">
        <f xml:space="preserve"> TRIM( "9781605098609" )</f>
        <v>9781605098609</v>
      </c>
      <c r="D378" s="18" t="s">
        <v>853</v>
      </c>
      <c r="E378" s="18" t="s">
        <v>37</v>
      </c>
      <c r="F378" s="18" t="s">
        <v>854</v>
      </c>
      <c r="G378" s="18" t="s">
        <v>40</v>
      </c>
      <c r="H378" s="18">
        <v>0.25</v>
      </c>
      <c r="I378" s="20">
        <v>0.12</v>
      </c>
      <c r="J378" s="21">
        <v>0.25</v>
      </c>
      <c r="K378" s="20">
        <f t="shared" ca="1" si="6"/>
        <v>0.03</v>
      </c>
    </row>
    <row r="379" spans="2:11">
      <c r="B379" s="18" t="str">
        <f xml:space="preserve"> TRIM( "9781605098630" )</f>
        <v>9781605098630</v>
      </c>
      <c r="C379" s="18" t="str">
        <f xml:space="preserve"> TRIM( "9781605098630" )</f>
        <v>9781605098630</v>
      </c>
      <c r="D379" s="18" t="s">
        <v>856</v>
      </c>
      <c r="E379" s="18" t="s">
        <v>37</v>
      </c>
      <c r="F379" s="18" t="s">
        <v>857</v>
      </c>
      <c r="G379" s="18" t="s">
        <v>39</v>
      </c>
      <c r="H379" s="18">
        <v>0.2</v>
      </c>
      <c r="I379" s="20">
        <v>2.19</v>
      </c>
      <c r="J379" s="21">
        <v>0.2</v>
      </c>
      <c r="K379" s="20">
        <f t="shared" ca="1" si="6"/>
        <v>0.44</v>
      </c>
    </row>
    <row r="380" spans="2:11">
      <c r="B380" s="18" t="str">
        <f xml:space="preserve"> TRIM( "9781605098678" )</f>
        <v>9781605098678</v>
      </c>
      <c r="C380" s="18" t="str">
        <f xml:space="preserve"> TRIM( "9781605098678" )</f>
        <v>9781605098678</v>
      </c>
      <c r="D380" s="18" t="s">
        <v>859</v>
      </c>
      <c r="E380" s="18" t="s">
        <v>37</v>
      </c>
      <c r="F380" s="18" t="s">
        <v>860</v>
      </c>
      <c r="G380" s="18" t="s">
        <v>39</v>
      </c>
      <c r="H380" s="18">
        <v>0.2</v>
      </c>
      <c r="I380" s="20">
        <v>8.49</v>
      </c>
      <c r="J380" s="21">
        <v>0.2</v>
      </c>
      <c r="K380" s="20">
        <f t="shared" ca="1" si="6"/>
        <v>1.7</v>
      </c>
    </row>
    <row r="381" spans="2:11">
      <c r="B381" s="18" t="str">
        <f xml:space="preserve"> TRIM( "9781605098722" )</f>
        <v>9781605098722</v>
      </c>
      <c r="C381" s="18" t="str">
        <f xml:space="preserve"> TRIM( "9781605098722" )</f>
        <v>9781605098722</v>
      </c>
      <c r="D381" s="18" t="s">
        <v>862</v>
      </c>
      <c r="E381" s="18" t="s">
        <v>37</v>
      </c>
      <c r="F381" s="18" t="s">
        <v>863</v>
      </c>
      <c r="G381" s="18" t="s">
        <v>39</v>
      </c>
      <c r="H381" s="18">
        <v>0.2</v>
      </c>
      <c r="I381" s="20">
        <v>2.3199999999999998</v>
      </c>
      <c r="J381" s="21">
        <v>0.2</v>
      </c>
      <c r="K381" s="20">
        <f t="shared" ca="1" si="6"/>
        <v>0.46</v>
      </c>
    </row>
    <row r="382" spans="2:11">
      <c r="B382" s="18" t="str">
        <f xml:space="preserve"> TRIM( "9781605098760" )</f>
        <v>9781605098760</v>
      </c>
      <c r="C382" s="18" t="str">
        <f xml:space="preserve"> TRIM( "9781605098760" )</f>
        <v>9781605098760</v>
      </c>
      <c r="D382" s="18" t="s">
        <v>865</v>
      </c>
      <c r="E382" s="18" t="s">
        <v>37</v>
      </c>
      <c r="F382" s="18" t="s">
        <v>866</v>
      </c>
      <c r="G382" s="18" t="s">
        <v>39</v>
      </c>
      <c r="H382" s="18">
        <v>0.2</v>
      </c>
      <c r="I382" s="20">
        <v>5.73</v>
      </c>
      <c r="J382" s="21">
        <v>0.2</v>
      </c>
      <c r="K382" s="20">
        <f t="shared" ca="1" si="6"/>
        <v>1.1499999999999999</v>
      </c>
    </row>
    <row r="383" spans="2:11">
      <c r="B383" s="18" t="str">
        <f xml:space="preserve"> TRIM( "9781605098760" )</f>
        <v>9781605098760</v>
      </c>
      <c r="C383" s="18" t="str">
        <f xml:space="preserve"> TRIM( "9781605098760" )</f>
        <v>9781605098760</v>
      </c>
      <c r="D383" s="18" t="s">
        <v>865</v>
      </c>
      <c r="E383" s="18" t="s">
        <v>37</v>
      </c>
      <c r="F383" s="18" t="s">
        <v>866</v>
      </c>
      <c r="G383" s="18" t="s">
        <v>40</v>
      </c>
      <c r="H383" s="18">
        <v>0.25</v>
      </c>
      <c r="I383" s="20">
        <v>0.33</v>
      </c>
      <c r="J383" s="21">
        <v>0.25</v>
      </c>
      <c r="K383" s="20">
        <f t="shared" ca="1" si="6"/>
        <v>0.08</v>
      </c>
    </row>
    <row r="384" spans="2:11">
      <c r="B384" s="18" t="str">
        <f xml:space="preserve"> TRIM( "9781605098838" )</f>
        <v>9781605098838</v>
      </c>
      <c r="C384" s="18" t="str">
        <f xml:space="preserve"> TRIM( "9781605098838" )</f>
        <v>9781605098838</v>
      </c>
      <c r="D384" s="18" t="s">
        <v>868</v>
      </c>
      <c r="E384" s="18" t="s">
        <v>37</v>
      </c>
      <c r="F384" s="18" t="s">
        <v>869</v>
      </c>
      <c r="G384" s="18" t="s">
        <v>39</v>
      </c>
      <c r="H384" s="18">
        <v>0.2</v>
      </c>
      <c r="I384" s="20">
        <v>4.01</v>
      </c>
      <c r="J384" s="21">
        <v>0.2</v>
      </c>
      <c r="K384" s="20">
        <f t="shared" ca="1" si="6"/>
        <v>0.8</v>
      </c>
    </row>
    <row r="385" spans="2:11">
      <c r="B385" s="18" t="str">
        <f xml:space="preserve"> TRIM( "9781605098876" )</f>
        <v>9781605098876</v>
      </c>
      <c r="C385" s="18" t="str">
        <f xml:space="preserve"> TRIM( "9781605098876" )</f>
        <v>9781605098876</v>
      </c>
      <c r="D385" s="18" t="s">
        <v>871</v>
      </c>
      <c r="E385" s="18" t="s">
        <v>37</v>
      </c>
      <c r="F385" s="18" t="s">
        <v>872</v>
      </c>
      <c r="G385" s="18" t="s">
        <v>39</v>
      </c>
      <c r="H385" s="18">
        <v>0.2</v>
      </c>
      <c r="I385" s="20">
        <v>2.2400000000000002</v>
      </c>
      <c r="J385" s="21">
        <v>0.2</v>
      </c>
      <c r="K385" s="20">
        <f t="shared" ca="1" si="6"/>
        <v>0.45</v>
      </c>
    </row>
    <row r="386" spans="2:11">
      <c r="B386" s="18" t="str">
        <f xml:space="preserve"> TRIM( "9781605098876" )</f>
        <v>9781605098876</v>
      </c>
      <c r="C386" s="18" t="str">
        <f xml:space="preserve"> TRIM( "9781605098876" )</f>
        <v>9781605098876</v>
      </c>
      <c r="D386" s="18" t="s">
        <v>871</v>
      </c>
      <c r="E386" s="18" t="s">
        <v>37</v>
      </c>
      <c r="F386" s="18" t="s">
        <v>872</v>
      </c>
      <c r="G386" s="18" t="s">
        <v>40</v>
      </c>
      <c r="H386" s="18">
        <v>0.25</v>
      </c>
      <c r="I386" s="20">
        <v>0.02</v>
      </c>
      <c r="J386" s="21">
        <v>0.25</v>
      </c>
      <c r="K386" s="20">
        <f t="shared" ca="1" si="6"/>
        <v>0.01</v>
      </c>
    </row>
    <row r="387" spans="2:11">
      <c r="B387" s="18" t="str">
        <f xml:space="preserve"> TRIM( "9781605099095" )</f>
        <v>9781605099095</v>
      </c>
      <c r="C387" s="18" t="str">
        <f xml:space="preserve"> TRIM( "9781605099095" )</f>
        <v>9781605099095</v>
      </c>
      <c r="D387" s="18" t="s">
        <v>874</v>
      </c>
      <c r="E387" s="18" t="s">
        <v>37</v>
      </c>
      <c r="F387" s="18" t="s">
        <v>215</v>
      </c>
      <c r="G387" s="18" t="s">
        <v>39</v>
      </c>
      <c r="H387" s="18">
        <v>0.2</v>
      </c>
      <c r="I387" s="20">
        <v>1.92</v>
      </c>
      <c r="J387" s="21">
        <v>0.2</v>
      </c>
      <c r="K387" s="20">
        <f t="shared" ca="1" si="6"/>
        <v>0.38</v>
      </c>
    </row>
    <row r="388" spans="2:11">
      <c r="B388" s="18" t="str">
        <f xml:space="preserve"> TRIM( "9781605099095" )</f>
        <v>9781605099095</v>
      </c>
      <c r="C388" s="18" t="str">
        <f xml:space="preserve"> TRIM( "9781605099095" )</f>
        <v>9781605099095</v>
      </c>
      <c r="D388" s="18" t="s">
        <v>874</v>
      </c>
      <c r="E388" s="18" t="s">
        <v>37</v>
      </c>
      <c r="F388" s="18" t="s">
        <v>215</v>
      </c>
      <c r="G388" s="18" t="s">
        <v>40</v>
      </c>
      <c r="H388" s="18">
        <v>0.25</v>
      </c>
      <c r="I388" s="20">
        <v>0.46</v>
      </c>
      <c r="J388" s="21">
        <v>0.25</v>
      </c>
      <c r="K388" s="20">
        <f t="shared" ca="1" si="6"/>
        <v>0.12</v>
      </c>
    </row>
    <row r="389" spans="2:11">
      <c r="B389" s="18" t="str">
        <f xml:space="preserve"> TRIM( "9781605099231" )</f>
        <v>9781605099231</v>
      </c>
      <c r="C389" s="18" t="str">
        <f xml:space="preserve"> TRIM( "9781605099231" )</f>
        <v>9781605099231</v>
      </c>
      <c r="D389" s="18" t="s">
        <v>876</v>
      </c>
      <c r="E389" s="18" t="s">
        <v>37</v>
      </c>
      <c r="F389" s="18" t="s">
        <v>877</v>
      </c>
      <c r="G389" s="18" t="s">
        <v>39</v>
      </c>
      <c r="H389" s="18">
        <v>0.2</v>
      </c>
      <c r="I389" s="20">
        <v>15.71</v>
      </c>
      <c r="J389" s="21">
        <v>0.2</v>
      </c>
      <c r="K389" s="20">
        <f t="shared" ca="1" si="6"/>
        <v>3.14</v>
      </c>
    </row>
    <row r="390" spans="2:11">
      <c r="B390" s="18" t="str">
        <f xml:space="preserve"> TRIM( "9781605099231" )</f>
        <v>9781605099231</v>
      </c>
      <c r="C390" s="18" t="str">
        <f xml:space="preserve"> TRIM( "9781605099231" )</f>
        <v>9781605099231</v>
      </c>
      <c r="D390" s="18" t="s">
        <v>876</v>
      </c>
      <c r="E390" s="18" t="s">
        <v>37</v>
      </c>
      <c r="F390" s="18" t="s">
        <v>877</v>
      </c>
      <c r="G390" s="18" t="s">
        <v>40</v>
      </c>
      <c r="H390" s="18">
        <v>0.25</v>
      </c>
      <c r="I390" s="20">
        <v>2.89</v>
      </c>
      <c r="J390" s="21">
        <v>0.25</v>
      </c>
      <c r="K390" s="20">
        <f t="shared" ca="1" si="6"/>
        <v>0.72</v>
      </c>
    </row>
    <row r="391" spans="2:11">
      <c r="B391" s="18" t="str">
        <f xml:space="preserve"> TRIM( "9781605099262" )</f>
        <v>9781605099262</v>
      </c>
      <c r="C391" s="18" t="str">
        <f xml:space="preserve"> TRIM( "9781605099286" )</f>
        <v>9781605099286</v>
      </c>
      <c r="D391" s="18" t="s">
        <v>880</v>
      </c>
      <c r="E391" s="18" t="s">
        <v>37</v>
      </c>
      <c r="F391" s="18" t="s">
        <v>881</v>
      </c>
      <c r="G391" s="18" t="s">
        <v>39</v>
      </c>
      <c r="H391" s="18">
        <v>0.2</v>
      </c>
      <c r="I391" s="20">
        <v>4.13</v>
      </c>
      <c r="J391" s="21">
        <v>0.2</v>
      </c>
      <c r="K391" s="20">
        <f t="shared" ca="1" si="6"/>
        <v>0.83</v>
      </c>
    </row>
    <row r="392" spans="2:11">
      <c r="B392" s="18" t="str">
        <f xml:space="preserve"> TRIM( "9781605099262" )</f>
        <v>9781605099262</v>
      </c>
      <c r="C392" s="18" t="str">
        <f xml:space="preserve"> TRIM( "9781605099286" )</f>
        <v>9781605099286</v>
      </c>
      <c r="D392" s="18" t="s">
        <v>880</v>
      </c>
      <c r="E392" s="18" t="s">
        <v>37</v>
      </c>
      <c r="F392" s="18" t="s">
        <v>881</v>
      </c>
      <c r="G392" s="18" t="s">
        <v>40</v>
      </c>
      <c r="H392" s="18">
        <v>0.25</v>
      </c>
      <c r="I392" s="20">
        <v>8.15</v>
      </c>
      <c r="J392" s="21">
        <v>0.25</v>
      </c>
      <c r="K392" s="20">
        <f t="shared" ca="1" si="6"/>
        <v>2.04</v>
      </c>
    </row>
    <row r="393" spans="2:11">
      <c r="B393" s="18" t="str">
        <f xml:space="preserve"> TRIM( "9781605099323" )</f>
        <v>9781605099323</v>
      </c>
      <c r="C393" s="18" t="str">
        <f xml:space="preserve"> TRIM( "9781605099323" )</f>
        <v>9781605099323</v>
      </c>
      <c r="D393" s="18" t="s">
        <v>883</v>
      </c>
      <c r="E393" s="18" t="s">
        <v>37</v>
      </c>
      <c r="F393" s="18" t="s">
        <v>884</v>
      </c>
      <c r="G393" s="18" t="s">
        <v>39</v>
      </c>
      <c r="H393" s="18">
        <v>0.2</v>
      </c>
      <c r="I393" s="20">
        <v>5.85</v>
      </c>
      <c r="J393" s="21">
        <v>0.2</v>
      </c>
      <c r="K393" s="20">
        <f t="shared" ca="1" si="6"/>
        <v>1.17</v>
      </c>
    </row>
    <row r="394" spans="2:11">
      <c r="B394" s="18" t="str">
        <f xml:space="preserve"> TRIM( "9781605099521" )</f>
        <v>9781605099521</v>
      </c>
      <c r="C394" s="18" t="str">
        <f xml:space="preserve"> TRIM( "9781605099521" )</f>
        <v>9781605099521</v>
      </c>
      <c r="D394" s="18" t="s">
        <v>886</v>
      </c>
      <c r="E394" s="18" t="s">
        <v>37</v>
      </c>
      <c r="F394" s="18" t="s">
        <v>887</v>
      </c>
      <c r="G394" s="18" t="s">
        <v>39</v>
      </c>
      <c r="H394" s="18">
        <v>0.2</v>
      </c>
      <c r="I394" s="20">
        <v>1.98</v>
      </c>
      <c r="J394" s="21">
        <v>0.2</v>
      </c>
      <c r="K394" s="20">
        <f t="shared" ca="1" si="6"/>
        <v>0.4</v>
      </c>
    </row>
    <row r="395" spans="2:11">
      <c r="B395" s="18" t="str">
        <f xml:space="preserve"> TRIM( "9781605099569" )</f>
        <v>9781605099569</v>
      </c>
      <c r="C395" s="18" t="str">
        <f xml:space="preserve"> TRIM( "9781605099569" )</f>
        <v>9781605099569</v>
      </c>
      <c r="D395" s="18" t="s">
        <v>889</v>
      </c>
      <c r="E395" s="18" t="s">
        <v>37</v>
      </c>
      <c r="F395" s="18" t="s">
        <v>890</v>
      </c>
      <c r="G395" s="18" t="s">
        <v>39</v>
      </c>
      <c r="H395" s="18">
        <v>0.2</v>
      </c>
      <c r="I395" s="20">
        <v>7.3</v>
      </c>
      <c r="J395" s="21">
        <v>0.2</v>
      </c>
      <c r="K395" s="20">
        <f t="shared" ca="1" si="6"/>
        <v>1.46</v>
      </c>
    </row>
    <row r="396" spans="2:11">
      <c r="B396" s="18" t="str">
        <f xml:space="preserve"> TRIM( "9781605099569" )</f>
        <v>9781605099569</v>
      </c>
      <c r="C396" s="18" t="str">
        <f xml:space="preserve"> TRIM( "9781605099569" )</f>
        <v>9781605099569</v>
      </c>
      <c r="D396" s="18" t="s">
        <v>889</v>
      </c>
      <c r="E396" s="18" t="s">
        <v>37</v>
      </c>
      <c r="F396" s="18" t="s">
        <v>890</v>
      </c>
      <c r="G396" s="18" t="s">
        <v>40</v>
      </c>
      <c r="H396" s="18">
        <v>0.25</v>
      </c>
      <c r="I396" s="20">
        <v>2.52</v>
      </c>
      <c r="J396" s="21">
        <v>0.25</v>
      </c>
      <c r="K396" s="20">
        <f t="shared" ca="1" si="6"/>
        <v>0.63</v>
      </c>
    </row>
    <row r="397" spans="2:11">
      <c r="B397" s="18" t="str">
        <f xml:space="preserve"> TRIM( "9781605099767" )</f>
        <v>9781605099767</v>
      </c>
      <c r="C397" s="18" t="str">
        <f xml:space="preserve"> TRIM( "9781605099767" )</f>
        <v>9781605099767</v>
      </c>
      <c r="D397" s="18" t="s">
        <v>892</v>
      </c>
      <c r="E397" s="18" t="s">
        <v>37</v>
      </c>
      <c r="F397" s="18" t="s">
        <v>893</v>
      </c>
      <c r="G397" s="18" t="s">
        <v>39</v>
      </c>
      <c r="H397" s="18">
        <v>0.2</v>
      </c>
      <c r="I397" s="20">
        <v>2.74</v>
      </c>
      <c r="J397" s="21">
        <v>0.2</v>
      </c>
      <c r="K397" s="20">
        <f t="shared" ca="1" si="6"/>
        <v>0.55000000000000004</v>
      </c>
    </row>
    <row r="398" spans="2:11">
      <c r="B398" s="18" t="str">
        <f xml:space="preserve"> TRIM( "9781605099804" )</f>
        <v>9781605099804</v>
      </c>
      <c r="C398" s="18" t="str">
        <f xml:space="preserve"> TRIM( "9781605099804" )</f>
        <v>9781605099804</v>
      </c>
      <c r="D398" s="18" t="s">
        <v>895</v>
      </c>
      <c r="E398" s="18" t="s">
        <v>37</v>
      </c>
      <c r="F398" s="18" t="s">
        <v>896</v>
      </c>
      <c r="G398" s="18" t="s">
        <v>39</v>
      </c>
      <c r="H398" s="18">
        <v>0.2</v>
      </c>
      <c r="I398" s="20">
        <v>2.58</v>
      </c>
      <c r="J398" s="21">
        <v>0.2</v>
      </c>
      <c r="K398" s="20">
        <f t="shared" ca="1" si="6"/>
        <v>0.52</v>
      </c>
    </row>
    <row r="399" spans="2:11">
      <c r="B399" s="18" t="str">
        <f xml:space="preserve"> TRIM( "9781605099873" )</f>
        <v>9781605099873</v>
      </c>
      <c r="C399" s="18" t="str">
        <f xml:space="preserve"> TRIM( "9781605099873" )</f>
        <v>9781605099873</v>
      </c>
      <c r="D399" s="18" t="s">
        <v>898</v>
      </c>
      <c r="E399" s="18" t="s">
        <v>37</v>
      </c>
      <c r="F399" s="18" t="s">
        <v>899</v>
      </c>
      <c r="G399" s="18" t="s">
        <v>39</v>
      </c>
      <c r="H399" s="18">
        <v>0.2</v>
      </c>
      <c r="I399" s="20">
        <v>2.82</v>
      </c>
      <c r="J399" s="21">
        <v>0.2</v>
      </c>
      <c r="K399" s="20">
        <f t="shared" ca="1" si="6"/>
        <v>0.56000000000000005</v>
      </c>
    </row>
    <row r="400" spans="2:11">
      <c r="B400" s="18" t="str">
        <f xml:space="preserve"> TRIM( "9781605099910" )</f>
        <v>9781605099910</v>
      </c>
      <c r="C400" s="18" t="str">
        <f xml:space="preserve"> TRIM( "9781605099910" )</f>
        <v>9781605099910</v>
      </c>
      <c r="D400" s="18" t="s">
        <v>901</v>
      </c>
      <c r="E400" s="18" t="s">
        <v>37</v>
      </c>
      <c r="F400" s="18" t="s">
        <v>902</v>
      </c>
      <c r="G400" s="18" t="s">
        <v>39</v>
      </c>
      <c r="H400" s="18">
        <v>0.2</v>
      </c>
      <c r="I400" s="20">
        <v>14.25</v>
      </c>
      <c r="J400" s="21">
        <v>0.2</v>
      </c>
      <c r="K400" s="20">
        <f t="shared" ref="K400:K463" ca="1" si="7" xml:space="preserve"> ROUND( ( INDIRECT( ADDRESS( ROW(), COLUMN()- 2 ))) * ( INDIRECT( ADDRESS( ROW(), COLUMN()- 1 ))), 2 )</f>
        <v>2.85</v>
      </c>
    </row>
    <row r="401" spans="2:11">
      <c r="B401" s="18" t="str">
        <f xml:space="preserve"> TRIM( "9781605099910" )</f>
        <v>9781605099910</v>
      </c>
      <c r="C401" s="18" t="str">
        <f xml:space="preserve"> TRIM( "9781605099910" )</f>
        <v>9781605099910</v>
      </c>
      <c r="D401" s="18" t="s">
        <v>901</v>
      </c>
      <c r="E401" s="18" t="s">
        <v>37</v>
      </c>
      <c r="F401" s="18" t="s">
        <v>902</v>
      </c>
      <c r="G401" s="18" t="s">
        <v>40</v>
      </c>
      <c r="H401" s="18">
        <v>0.25</v>
      </c>
      <c r="I401" s="20">
        <v>22.06</v>
      </c>
      <c r="J401" s="21">
        <v>0.25</v>
      </c>
      <c r="K401" s="20">
        <f t="shared" ca="1" si="7"/>
        <v>5.52</v>
      </c>
    </row>
    <row r="402" spans="2:11">
      <c r="B402" s="18" t="str">
        <f xml:space="preserve"> TRIM( "9781609940058" )</f>
        <v>9781609940058</v>
      </c>
      <c r="C402" s="18" t="str">
        <f xml:space="preserve"> TRIM( "9781609940058" )</f>
        <v>9781609940058</v>
      </c>
      <c r="D402" s="18" t="s">
        <v>904</v>
      </c>
      <c r="E402" s="18" t="s">
        <v>37</v>
      </c>
      <c r="F402" s="18" t="s">
        <v>905</v>
      </c>
      <c r="G402" s="18" t="s">
        <v>39</v>
      </c>
      <c r="H402" s="18">
        <v>0.2</v>
      </c>
      <c r="I402" s="20">
        <v>19.46</v>
      </c>
      <c r="J402" s="21">
        <v>0.2</v>
      </c>
      <c r="K402" s="20">
        <f t="shared" ca="1" si="7"/>
        <v>3.89</v>
      </c>
    </row>
    <row r="403" spans="2:11">
      <c r="B403" s="18" t="str">
        <f xml:space="preserve"> TRIM( "9781609940089" )</f>
        <v>9781609940089</v>
      </c>
      <c r="C403" s="18" t="str">
        <f xml:space="preserve"> TRIM( "9781609940089" )</f>
        <v>9781609940089</v>
      </c>
      <c r="D403" s="18" t="s">
        <v>907</v>
      </c>
      <c r="E403" s="18" t="s">
        <v>37</v>
      </c>
      <c r="F403" s="18" t="s">
        <v>908</v>
      </c>
      <c r="G403" s="18" t="s">
        <v>39</v>
      </c>
      <c r="H403" s="18">
        <v>0.2</v>
      </c>
      <c r="I403" s="20">
        <v>2.0699999999999998</v>
      </c>
      <c r="J403" s="21">
        <v>0.2</v>
      </c>
      <c r="K403" s="20">
        <f t="shared" ca="1" si="7"/>
        <v>0.41</v>
      </c>
    </row>
    <row r="404" spans="2:11">
      <c r="B404" s="18" t="str">
        <f xml:space="preserve"> TRIM( "9781609940126" )</f>
        <v>9781609940126</v>
      </c>
      <c r="C404" s="18" t="str">
        <f xml:space="preserve"> TRIM( "9781609940126" )</f>
        <v>9781609940126</v>
      </c>
      <c r="D404" s="18" t="s">
        <v>910</v>
      </c>
      <c r="E404" s="18" t="s">
        <v>37</v>
      </c>
      <c r="F404" s="18" t="s">
        <v>911</v>
      </c>
      <c r="G404" s="18" t="s">
        <v>39</v>
      </c>
      <c r="H404" s="18">
        <v>0.2</v>
      </c>
      <c r="I404" s="20">
        <v>6.28</v>
      </c>
      <c r="J404" s="21">
        <v>0.2</v>
      </c>
      <c r="K404" s="20">
        <f t="shared" ca="1" si="7"/>
        <v>1.26</v>
      </c>
    </row>
    <row r="405" spans="2:11">
      <c r="B405" s="18" t="str">
        <f xml:space="preserve"> TRIM( "9781609940126" )</f>
        <v>9781609940126</v>
      </c>
      <c r="C405" s="18" t="str">
        <f xml:space="preserve"> TRIM( "9781609940126" )</f>
        <v>9781609940126</v>
      </c>
      <c r="D405" s="18" t="s">
        <v>910</v>
      </c>
      <c r="E405" s="18" t="s">
        <v>37</v>
      </c>
      <c r="F405" s="18" t="s">
        <v>911</v>
      </c>
      <c r="G405" s="18" t="s">
        <v>40</v>
      </c>
      <c r="H405" s="18">
        <v>0.25</v>
      </c>
      <c r="I405" s="20">
        <v>4.1100000000000003</v>
      </c>
      <c r="J405" s="21">
        <v>0.25</v>
      </c>
      <c r="K405" s="20">
        <f t="shared" ca="1" si="7"/>
        <v>1.03</v>
      </c>
    </row>
    <row r="406" spans="2:11">
      <c r="B406" s="18" t="str">
        <f xml:space="preserve"> TRIM( "9781609940188" )</f>
        <v>9781609940188</v>
      </c>
      <c r="C406" s="18" t="str">
        <f xml:space="preserve"> TRIM( "9781609940188" )</f>
        <v>9781609940188</v>
      </c>
      <c r="D406" s="18" t="s">
        <v>913</v>
      </c>
      <c r="E406" s="18" t="s">
        <v>37</v>
      </c>
      <c r="F406" s="18" t="s">
        <v>914</v>
      </c>
      <c r="G406" s="18" t="s">
        <v>39</v>
      </c>
      <c r="H406" s="18">
        <v>0.2</v>
      </c>
      <c r="I406" s="20">
        <v>4.7699999999999996</v>
      </c>
      <c r="J406" s="21">
        <v>0.2</v>
      </c>
      <c r="K406" s="20">
        <f t="shared" ca="1" si="7"/>
        <v>0.95</v>
      </c>
    </row>
    <row r="407" spans="2:11">
      <c r="B407" s="18" t="str">
        <f xml:space="preserve"> TRIM( "9781609940188" )</f>
        <v>9781609940188</v>
      </c>
      <c r="C407" s="18" t="str">
        <f xml:space="preserve"> TRIM( "9781609940188" )</f>
        <v>9781609940188</v>
      </c>
      <c r="D407" s="18" t="s">
        <v>913</v>
      </c>
      <c r="E407" s="18" t="s">
        <v>37</v>
      </c>
      <c r="F407" s="18" t="s">
        <v>914</v>
      </c>
      <c r="G407" s="18" t="s">
        <v>40</v>
      </c>
      <c r="H407" s="18">
        <v>0.25</v>
      </c>
      <c r="I407" s="20">
        <v>20.16</v>
      </c>
      <c r="J407" s="21">
        <v>0.25</v>
      </c>
      <c r="K407" s="20">
        <f t="shared" ca="1" si="7"/>
        <v>5.04</v>
      </c>
    </row>
    <row r="408" spans="2:11">
      <c r="B408" s="18" t="str">
        <f xml:space="preserve"> TRIM( "9781609940300" )</f>
        <v>9781609940300</v>
      </c>
      <c r="C408" s="18" t="str">
        <f xml:space="preserve"> TRIM( "9781609940300" )</f>
        <v>9781609940300</v>
      </c>
      <c r="D408" s="18" t="s">
        <v>916</v>
      </c>
      <c r="E408" s="18" t="s">
        <v>37</v>
      </c>
      <c r="F408" s="18" t="s">
        <v>917</v>
      </c>
      <c r="G408" s="18" t="s">
        <v>39</v>
      </c>
      <c r="H408" s="18">
        <v>0.2</v>
      </c>
      <c r="I408" s="20">
        <v>2.74</v>
      </c>
      <c r="J408" s="21">
        <v>0.2</v>
      </c>
      <c r="K408" s="20">
        <f t="shared" ca="1" si="7"/>
        <v>0.55000000000000004</v>
      </c>
    </row>
    <row r="409" spans="2:11">
      <c r="B409" s="18" t="str">
        <f xml:space="preserve"> TRIM( "9781609940331" )</f>
        <v>9781609940331</v>
      </c>
      <c r="C409" s="18" t="str">
        <f xml:space="preserve"> TRIM( "9781609940331" )</f>
        <v>9781609940331</v>
      </c>
      <c r="D409" s="18" t="s">
        <v>919</v>
      </c>
      <c r="E409" s="18" t="s">
        <v>37</v>
      </c>
      <c r="F409" s="18" t="s">
        <v>920</v>
      </c>
      <c r="G409" s="18" t="s">
        <v>39</v>
      </c>
      <c r="H409" s="18">
        <v>0.2</v>
      </c>
      <c r="I409" s="20">
        <v>52.08</v>
      </c>
      <c r="J409" s="21">
        <v>0.2</v>
      </c>
      <c r="K409" s="20">
        <f t="shared" ca="1" si="7"/>
        <v>10.42</v>
      </c>
    </row>
    <row r="410" spans="2:11">
      <c r="B410" s="18" t="str">
        <f xml:space="preserve"> TRIM( "9781609940584" )</f>
        <v>9781609940584</v>
      </c>
      <c r="C410" s="18" t="str">
        <f xml:space="preserve"> TRIM( "9781609940584" )</f>
        <v>9781609940584</v>
      </c>
      <c r="D410" s="18" t="s">
        <v>922</v>
      </c>
      <c r="E410" s="18" t="s">
        <v>37</v>
      </c>
      <c r="F410" s="18" t="s">
        <v>923</v>
      </c>
      <c r="G410" s="18" t="s">
        <v>39</v>
      </c>
      <c r="H410" s="18">
        <v>0.2</v>
      </c>
      <c r="I410" s="20">
        <v>6.89</v>
      </c>
      <c r="J410" s="21">
        <v>0.2</v>
      </c>
      <c r="K410" s="20">
        <f t="shared" ca="1" si="7"/>
        <v>1.38</v>
      </c>
    </row>
    <row r="411" spans="2:11">
      <c r="B411" s="18" t="str">
        <f xml:space="preserve"> TRIM( "9781609940621" )</f>
        <v>9781609940621</v>
      </c>
      <c r="C411" s="18" t="str">
        <f xml:space="preserve"> TRIM( "9781609940621" )</f>
        <v>9781609940621</v>
      </c>
      <c r="D411" s="18" t="s">
        <v>925</v>
      </c>
      <c r="E411" s="18" t="s">
        <v>37</v>
      </c>
      <c r="F411" s="18" t="s">
        <v>926</v>
      </c>
      <c r="G411" s="18" t="s">
        <v>39</v>
      </c>
      <c r="H411" s="18">
        <v>0.2</v>
      </c>
      <c r="I411" s="20">
        <v>2.3199999999999998</v>
      </c>
      <c r="J411" s="21">
        <v>0.2</v>
      </c>
      <c r="K411" s="20">
        <f t="shared" ca="1" si="7"/>
        <v>0.46</v>
      </c>
    </row>
    <row r="412" spans="2:11">
      <c r="B412" s="18" t="str">
        <f xml:space="preserve"> TRIM( "9781609940669" )</f>
        <v>9781609940669</v>
      </c>
      <c r="C412" s="18" t="str">
        <f xml:space="preserve"> TRIM( "9781609940669" )</f>
        <v>9781609940669</v>
      </c>
      <c r="D412" s="18" t="s">
        <v>928</v>
      </c>
      <c r="E412" s="18" t="s">
        <v>37</v>
      </c>
      <c r="F412" s="18" t="s">
        <v>929</v>
      </c>
      <c r="G412" s="18" t="s">
        <v>39</v>
      </c>
      <c r="H412" s="18">
        <v>0.2</v>
      </c>
      <c r="I412" s="20">
        <v>94.76</v>
      </c>
      <c r="J412" s="21">
        <v>0.2</v>
      </c>
      <c r="K412" s="20">
        <f t="shared" ca="1" si="7"/>
        <v>18.95</v>
      </c>
    </row>
    <row r="413" spans="2:11">
      <c r="B413" s="18" t="str">
        <f xml:space="preserve"> TRIM( "9781609940669" )</f>
        <v>9781609940669</v>
      </c>
      <c r="C413" s="18" t="str">
        <f xml:space="preserve"> TRIM( "9781609940669" )</f>
        <v>9781609940669</v>
      </c>
      <c r="D413" s="18" t="s">
        <v>928</v>
      </c>
      <c r="E413" s="18" t="s">
        <v>37</v>
      </c>
      <c r="F413" s="18" t="s">
        <v>929</v>
      </c>
      <c r="G413" s="18" t="s">
        <v>40</v>
      </c>
      <c r="H413" s="18">
        <v>0.25</v>
      </c>
      <c r="I413" s="20">
        <v>38.28</v>
      </c>
      <c r="J413" s="21">
        <v>0.25</v>
      </c>
      <c r="K413" s="20">
        <f t="shared" ca="1" si="7"/>
        <v>9.57</v>
      </c>
    </row>
    <row r="414" spans="2:11">
      <c r="B414" s="18" t="str">
        <f xml:space="preserve"> TRIM( "9781609940713" )</f>
        <v>9781609940713</v>
      </c>
      <c r="C414" s="18" t="str">
        <f xml:space="preserve"> TRIM( "9781609940713" )</f>
        <v>9781609940713</v>
      </c>
      <c r="D414" s="18" t="s">
        <v>931</v>
      </c>
      <c r="E414" s="18" t="s">
        <v>37</v>
      </c>
      <c r="F414" s="18" t="s">
        <v>932</v>
      </c>
      <c r="G414" s="18" t="s">
        <v>39</v>
      </c>
      <c r="H414" s="18">
        <v>0.2</v>
      </c>
      <c r="I414" s="20">
        <v>2.3199999999999998</v>
      </c>
      <c r="J414" s="21">
        <v>0.2</v>
      </c>
      <c r="K414" s="20">
        <f t="shared" ca="1" si="7"/>
        <v>0.46</v>
      </c>
    </row>
    <row r="415" spans="2:11">
      <c r="B415" s="18" t="str">
        <f xml:space="preserve"> TRIM( "9781609940775" )</f>
        <v>9781609940775</v>
      </c>
      <c r="C415" s="18" t="str">
        <f xml:space="preserve"> TRIM( "9781609940799" )</f>
        <v>9781609940799</v>
      </c>
      <c r="D415" s="18" t="s">
        <v>935</v>
      </c>
      <c r="E415" s="18" t="s">
        <v>37</v>
      </c>
      <c r="F415" s="18" t="s">
        <v>936</v>
      </c>
      <c r="G415" s="18" t="s">
        <v>39</v>
      </c>
      <c r="H415" s="18">
        <v>0.2</v>
      </c>
      <c r="I415" s="20">
        <v>26.99</v>
      </c>
      <c r="J415" s="21">
        <v>0.2</v>
      </c>
      <c r="K415" s="20">
        <f t="shared" ca="1" si="7"/>
        <v>5.4</v>
      </c>
    </row>
    <row r="416" spans="2:11">
      <c r="B416" s="18" t="str">
        <f xml:space="preserve"> TRIM( "9781609940775" )</f>
        <v>9781609940775</v>
      </c>
      <c r="C416" s="18" t="str">
        <f xml:space="preserve"> TRIM( "9781609940799" )</f>
        <v>9781609940799</v>
      </c>
      <c r="D416" s="18" t="s">
        <v>935</v>
      </c>
      <c r="E416" s="18" t="s">
        <v>37</v>
      </c>
      <c r="F416" s="18" t="s">
        <v>936</v>
      </c>
      <c r="G416" s="18" t="s">
        <v>40</v>
      </c>
      <c r="H416" s="18">
        <v>0.25</v>
      </c>
      <c r="I416" s="20">
        <v>3.91</v>
      </c>
      <c r="J416" s="21">
        <v>0.25</v>
      </c>
      <c r="K416" s="20">
        <f t="shared" ca="1" si="7"/>
        <v>0.98</v>
      </c>
    </row>
    <row r="417" spans="2:11">
      <c r="B417" s="18" t="str">
        <f xml:space="preserve"> TRIM( "9781609941055" )</f>
        <v>9781609941055</v>
      </c>
      <c r="C417" s="18" t="str">
        <f xml:space="preserve"> TRIM( "9781609941062" )</f>
        <v>9781609941062</v>
      </c>
      <c r="D417" s="18" t="s">
        <v>939</v>
      </c>
      <c r="E417" s="18" t="s">
        <v>37</v>
      </c>
      <c r="F417" s="18" t="s">
        <v>940</v>
      </c>
      <c r="G417" s="18" t="s">
        <v>39</v>
      </c>
      <c r="H417" s="18">
        <v>0.2</v>
      </c>
      <c r="I417" s="20">
        <v>2.2799999999999998</v>
      </c>
      <c r="J417" s="21">
        <v>0.2</v>
      </c>
      <c r="K417" s="20">
        <f t="shared" ca="1" si="7"/>
        <v>0.46</v>
      </c>
    </row>
    <row r="418" spans="2:11">
      <c r="B418" s="18" t="str">
        <f xml:space="preserve"> TRIM( "9781609941093" )</f>
        <v>9781609941093</v>
      </c>
      <c r="C418" s="18" t="str">
        <f xml:space="preserve"> TRIM( "9781609941093" )</f>
        <v>9781609941093</v>
      </c>
      <c r="D418" s="18" t="s">
        <v>942</v>
      </c>
      <c r="E418" s="18" t="s">
        <v>37</v>
      </c>
      <c r="F418" s="18" t="s">
        <v>943</v>
      </c>
      <c r="G418" s="18" t="s">
        <v>39</v>
      </c>
      <c r="H418" s="18">
        <v>0.2</v>
      </c>
      <c r="I418" s="20">
        <v>2.04</v>
      </c>
      <c r="J418" s="21">
        <v>0.2</v>
      </c>
      <c r="K418" s="20">
        <f t="shared" ca="1" si="7"/>
        <v>0.41</v>
      </c>
    </row>
    <row r="419" spans="2:11">
      <c r="B419" s="18" t="str">
        <f xml:space="preserve"> TRIM( "9781609941093" )</f>
        <v>9781609941093</v>
      </c>
      <c r="C419" s="18" t="str">
        <f xml:space="preserve"> TRIM( "9781609941093" )</f>
        <v>9781609941093</v>
      </c>
      <c r="D419" s="18" t="s">
        <v>942</v>
      </c>
      <c r="E419" s="18" t="s">
        <v>37</v>
      </c>
      <c r="F419" s="18" t="s">
        <v>943</v>
      </c>
      <c r="G419" s="18" t="s">
        <v>40</v>
      </c>
      <c r="H419" s="18">
        <v>0.25</v>
      </c>
      <c r="I419" s="20">
        <v>2.08</v>
      </c>
      <c r="J419" s="21">
        <v>0.25</v>
      </c>
      <c r="K419" s="20">
        <f t="shared" ca="1" si="7"/>
        <v>0.52</v>
      </c>
    </row>
    <row r="420" spans="2:11">
      <c r="B420" s="18" t="str">
        <f xml:space="preserve"> TRIM( "9781609941208" )</f>
        <v>9781609941208</v>
      </c>
      <c r="C420" s="18" t="str">
        <f xml:space="preserve"> TRIM( "9781609941222" )</f>
        <v>9781609941222</v>
      </c>
      <c r="D420" s="18" t="s">
        <v>946</v>
      </c>
      <c r="E420" s="18" t="s">
        <v>37</v>
      </c>
      <c r="F420" s="18" t="s">
        <v>947</v>
      </c>
      <c r="G420" s="18" t="s">
        <v>39</v>
      </c>
      <c r="H420" s="18">
        <v>0.2</v>
      </c>
      <c r="I420" s="20">
        <v>3.29</v>
      </c>
      <c r="J420" s="21">
        <v>0.2</v>
      </c>
      <c r="K420" s="20">
        <f t="shared" ca="1" si="7"/>
        <v>0.66</v>
      </c>
    </row>
    <row r="421" spans="2:11">
      <c r="B421" s="18" t="str">
        <f xml:space="preserve"> TRIM( "9781609941208" )</f>
        <v>9781609941208</v>
      </c>
      <c r="C421" s="18" t="str">
        <f xml:space="preserve"> TRIM( "9781609941222" )</f>
        <v>9781609941222</v>
      </c>
      <c r="D421" s="18" t="s">
        <v>946</v>
      </c>
      <c r="E421" s="18" t="s">
        <v>37</v>
      </c>
      <c r="F421" s="18" t="s">
        <v>947</v>
      </c>
      <c r="G421" s="18" t="s">
        <v>40</v>
      </c>
      <c r="H421" s="18">
        <v>0.25</v>
      </c>
      <c r="I421" s="20">
        <v>0.41</v>
      </c>
      <c r="J421" s="21">
        <v>0.25</v>
      </c>
      <c r="K421" s="20">
        <f t="shared" ca="1" si="7"/>
        <v>0.1</v>
      </c>
    </row>
    <row r="422" spans="2:11">
      <c r="B422" s="18" t="str">
        <f xml:space="preserve"> TRIM( "9781609941253" )</f>
        <v>9781609941253</v>
      </c>
      <c r="C422" s="18" t="str">
        <f xml:space="preserve"> TRIM( "9781609941253" )</f>
        <v>9781609941253</v>
      </c>
      <c r="D422" s="18" t="s">
        <v>949</v>
      </c>
      <c r="E422" s="18" t="s">
        <v>37</v>
      </c>
      <c r="F422" s="18" t="s">
        <v>950</v>
      </c>
      <c r="G422" s="18" t="s">
        <v>39</v>
      </c>
      <c r="H422" s="18">
        <v>0.2</v>
      </c>
      <c r="I422" s="20">
        <v>4.5599999999999996</v>
      </c>
      <c r="J422" s="21">
        <v>0.2</v>
      </c>
      <c r="K422" s="20">
        <f t="shared" ca="1" si="7"/>
        <v>0.91</v>
      </c>
    </row>
    <row r="423" spans="2:11">
      <c r="B423" s="18" t="str">
        <f xml:space="preserve"> TRIM( "9781609941932" )</f>
        <v>9781609941932</v>
      </c>
      <c r="C423" s="18" t="str">
        <f xml:space="preserve"> TRIM( "9781609941932" )</f>
        <v>9781609941932</v>
      </c>
      <c r="D423" s="18" t="s">
        <v>952</v>
      </c>
      <c r="E423" s="18" t="s">
        <v>37</v>
      </c>
      <c r="F423" s="18" t="s">
        <v>953</v>
      </c>
      <c r="G423" s="18" t="s">
        <v>39</v>
      </c>
      <c r="H423" s="18">
        <v>0.2</v>
      </c>
      <c r="I423" s="20">
        <v>7.92</v>
      </c>
      <c r="J423" s="21">
        <v>0.2</v>
      </c>
      <c r="K423" s="20">
        <f t="shared" ca="1" si="7"/>
        <v>1.58</v>
      </c>
    </row>
    <row r="424" spans="2:11">
      <c r="B424" s="18" t="str">
        <f xml:space="preserve"> TRIM( "9781609941949" )</f>
        <v>9781609941949</v>
      </c>
      <c r="C424" s="18" t="str">
        <f xml:space="preserve"> TRIM( "9781609941949" )</f>
        <v>9781609941949</v>
      </c>
      <c r="D424" s="18" t="s">
        <v>955</v>
      </c>
      <c r="E424" s="18" t="s">
        <v>37</v>
      </c>
      <c r="F424" s="18" t="s">
        <v>556</v>
      </c>
      <c r="G424" s="18" t="s">
        <v>39</v>
      </c>
      <c r="H424" s="18">
        <v>0.2</v>
      </c>
      <c r="I424" s="20">
        <v>2.74</v>
      </c>
      <c r="J424" s="21">
        <v>0.2</v>
      </c>
      <c r="K424" s="20">
        <f t="shared" ca="1" si="7"/>
        <v>0.55000000000000004</v>
      </c>
    </row>
    <row r="425" spans="2:11">
      <c r="B425" s="18" t="str">
        <f xml:space="preserve"> TRIM( "9781609942052" )</f>
        <v>9781609942052</v>
      </c>
      <c r="C425" s="18" t="str">
        <f xml:space="preserve"> TRIM( "9781609942052" )</f>
        <v>9781609942052</v>
      </c>
      <c r="D425" s="18" t="s">
        <v>957</v>
      </c>
      <c r="E425" s="18" t="s">
        <v>37</v>
      </c>
      <c r="F425" s="18" t="s">
        <v>958</v>
      </c>
      <c r="G425" s="18" t="s">
        <v>39</v>
      </c>
      <c r="H425" s="18">
        <v>0.2</v>
      </c>
      <c r="I425" s="20">
        <v>2</v>
      </c>
      <c r="J425" s="21">
        <v>0.2</v>
      </c>
      <c r="K425" s="20">
        <f t="shared" ca="1" si="7"/>
        <v>0.4</v>
      </c>
    </row>
    <row r="426" spans="2:11">
      <c r="B426" s="18" t="str">
        <f xml:space="preserve"> TRIM( "9781609942052" )</f>
        <v>9781609942052</v>
      </c>
      <c r="C426" s="18" t="str">
        <f xml:space="preserve"> TRIM( "9781609942052" )</f>
        <v>9781609942052</v>
      </c>
      <c r="D426" s="18" t="s">
        <v>957</v>
      </c>
      <c r="E426" s="18" t="s">
        <v>37</v>
      </c>
      <c r="F426" s="18" t="s">
        <v>958</v>
      </c>
      <c r="G426" s="18" t="s">
        <v>40</v>
      </c>
      <c r="H426" s="18">
        <v>0.25</v>
      </c>
      <c r="I426" s="20">
        <v>0.12</v>
      </c>
      <c r="J426" s="21">
        <v>0.25</v>
      </c>
      <c r="K426" s="20">
        <f t="shared" ca="1" si="7"/>
        <v>0.03</v>
      </c>
    </row>
    <row r="427" spans="2:11">
      <c r="B427" s="18" t="str">
        <f xml:space="preserve"> TRIM( "9781609942809" )</f>
        <v>9781609942809</v>
      </c>
      <c r="C427" s="18" t="str">
        <f xml:space="preserve"> TRIM( "9781609942816" )</f>
        <v>9781609942816</v>
      </c>
      <c r="D427" s="18" t="s">
        <v>961</v>
      </c>
      <c r="E427" s="18" t="s">
        <v>37</v>
      </c>
      <c r="F427" s="18" t="s">
        <v>962</v>
      </c>
      <c r="G427" s="18" t="s">
        <v>39</v>
      </c>
      <c r="H427" s="18">
        <v>0.2</v>
      </c>
      <c r="I427" s="20">
        <v>30.81</v>
      </c>
      <c r="J427" s="21">
        <v>0.2</v>
      </c>
      <c r="K427" s="20">
        <f t="shared" ca="1" si="7"/>
        <v>6.16</v>
      </c>
    </row>
    <row r="428" spans="2:11">
      <c r="B428" s="18" t="str">
        <f xml:space="preserve"> TRIM( "9781609942809" )</f>
        <v>9781609942809</v>
      </c>
      <c r="C428" s="18" t="str">
        <f xml:space="preserve"> TRIM( "9781609942816" )</f>
        <v>9781609942816</v>
      </c>
      <c r="D428" s="18" t="s">
        <v>961</v>
      </c>
      <c r="E428" s="18" t="s">
        <v>37</v>
      </c>
      <c r="F428" s="18" t="s">
        <v>962</v>
      </c>
      <c r="G428" s="18" t="s">
        <v>40</v>
      </c>
      <c r="H428" s="18">
        <v>0.25</v>
      </c>
      <c r="I428" s="20">
        <v>2.19</v>
      </c>
      <c r="J428" s="21">
        <v>0.25</v>
      </c>
      <c r="K428" s="20">
        <f t="shared" ca="1" si="7"/>
        <v>0.55000000000000004</v>
      </c>
    </row>
    <row r="429" spans="2:11">
      <c r="B429" s="18" t="str">
        <f xml:space="preserve"> TRIM( "9781609942885" )</f>
        <v>9781609942885</v>
      </c>
      <c r="C429" s="18" t="str">
        <f xml:space="preserve"> TRIM( "9781609942892" )</f>
        <v>9781609942892</v>
      </c>
      <c r="D429" s="18" t="s">
        <v>965</v>
      </c>
      <c r="E429" s="18" t="s">
        <v>37</v>
      </c>
      <c r="F429" s="18" t="s">
        <v>966</v>
      </c>
      <c r="G429" s="18" t="s">
        <v>39</v>
      </c>
      <c r="H429" s="18">
        <v>0.2</v>
      </c>
      <c r="I429" s="20">
        <v>2.58</v>
      </c>
      <c r="J429" s="21">
        <v>0.2</v>
      </c>
      <c r="K429" s="20">
        <f t="shared" ca="1" si="7"/>
        <v>0.52</v>
      </c>
    </row>
    <row r="430" spans="2:11">
      <c r="B430" s="18" t="str">
        <f xml:space="preserve"> TRIM( "9781609942885" )</f>
        <v>9781609942885</v>
      </c>
      <c r="C430" s="18" t="str">
        <f xml:space="preserve"> TRIM( "9781609942892" )</f>
        <v>9781609942892</v>
      </c>
      <c r="D430" s="18" t="s">
        <v>965</v>
      </c>
      <c r="E430" s="18" t="s">
        <v>37</v>
      </c>
      <c r="F430" s="18" t="s">
        <v>966</v>
      </c>
      <c r="G430" s="18" t="s">
        <v>40</v>
      </c>
      <c r="H430" s="18">
        <v>0.25</v>
      </c>
      <c r="I430" s="20">
        <v>0.54</v>
      </c>
      <c r="J430" s="21">
        <v>0.25</v>
      </c>
      <c r="K430" s="20">
        <f t="shared" ca="1" si="7"/>
        <v>0.14000000000000001</v>
      </c>
    </row>
    <row r="431" spans="2:11">
      <c r="B431" s="18" t="str">
        <f xml:space="preserve"> TRIM( "9781609942922" )</f>
        <v>9781609942922</v>
      </c>
      <c r="C431" s="18" t="str">
        <f xml:space="preserve"> TRIM( "9781609942939" )</f>
        <v>9781609942939</v>
      </c>
      <c r="D431" s="18" t="s">
        <v>969</v>
      </c>
      <c r="E431" s="18" t="s">
        <v>37</v>
      </c>
      <c r="F431" s="18" t="s">
        <v>970</v>
      </c>
      <c r="G431" s="18" t="s">
        <v>39</v>
      </c>
      <c r="H431" s="18">
        <v>0.2</v>
      </c>
      <c r="I431" s="20">
        <v>7.75</v>
      </c>
      <c r="J431" s="21">
        <v>0.2</v>
      </c>
      <c r="K431" s="20">
        <f t="shared" ca="1" si="7"/>
        <v>1.55</v>
      </c>
    </row>
    <row r="432" spans="2:11">
      <c r="B432" s="18" t="str">
        <f xml:space="preserve"> TRIM( "9781609942922" )</f>
        <v>9781609942922</v>
      </c>
      <c r="C432" s="18" t="str">
        <f xml:space="preserve"> TRIM( "9781609942939" )</f>
        <v>9781609942939</v>
      </c>
      <c r="D432" s="18" t="s">
        <v>969</v>
      </c>
      <c r="E432" s="18" t="s">
        <v>37</v>
      </c>
      <c r="F432" s="18" t="s">
        <v>970</v>
      </c>
      <c r="G432" s="18" t="s">
        <v>40</v>
      </c>
      <c r="H432" s="18">
        <v>0.25</v>
      </c>
      <c r="I432" s="20">
        <v>1.23</v>
      </c>
      <c r="J432" s="21">
        <v>0.25</v>
      </c>
      <c r="K432" s="20">
        <f t="shared" ca="1" si="7"/>
        <v>0.31</v>
      </c>
    </row>
    <row r="433" spans="2:11">
      <c r="B433" s="18" t="str">
        <f xml:space="preserve"> TRIM( "9781609942960" )</f>
        <v>9781609942960</v>
      </c>
      <c r="C433" s="18" t="str">
        <f xml:space="preserve"> TRIM( "9781609942984" )</f>
        <v>9781609942984</v>
      </c>
      <c r="D433" s="18" t="s">
        <v>973</v>
      </c>
      <c r="E433" s="18" t="s">
        <v>37</v>
      </c>
      <c r="F433" s="18" t="s">
        <v>974</v>
      </c>
      <c r="G433" s="18" t="s">
        <v>39</v>
      </c>
      <c r="H433" s="18">
        <v>0.2</v>
      </c>
      <c r="I433" s="20">
        <v>3.8</v>
      </c>
      <c r="J433" s="21">
        <v>0.2</v>
      </c>
      <c r="K433" s="20">
        <f t="shared" ca="1" si="7"/>
        <v>0.76</v>
      </c>
    </row>
    <row r="434" spans="2:11">
      <c r="B434" s="18" t="str">
        <f xml:space="preserve"> TRIM( "9781609943035" )</f>
        <v>9781609943035</v>
      </c>
      <c r="C434" s="18" t="str">
        <f xml:space="preserve"> TRIM( "9781605096957" )</f>
        <v>9781605096957</v>
      </c>
      <c r="D434" s="18" t="s">
        <v>977</v>
      </c>
      <c r="E434" s="18" t="s">
        <v>37</v>
      </c>
      <c r="F434" s="18" t="s">
        <v>679</v>
      </c>
      <c r="G434" s="18" t="s">
        <v>39</v>
      </c>
      <c r="H434" s="18">
        <v>0.2</v>
      </c>
      <c r="I434" s="20">
        <v>12.8</v>
      </c>
      <c r="J434" s="21">
        <v>0.2</v>
      </c>
      <c r="K434" s="20">
        <f t="shared" ca="1" si="7"/>
        <v>2.56</v>
      </c>
    </row>
    <row r="435" spans="2:11">
      <c r="B435" s="18" t="str">
        <f xml:space="preserve"> TRIM( "9781609944636" )</f>
        <v>9781609944636</v>
      </c>
      <c r="C435" s="18" t="str">
        <f xml:space="preserve"> TRIM( "9781609944636" )</f>
        <v>9781609944636</v>
      </c>
      <c r="D435" s="18" t="s">
        <v>979</v>
      </c>
      <c r="E435" s="18" t="s">
        <v>37</v>
      </c>
      <c r="F435" s="18" t="s">
        <v>980</v>
      </c>
      <c r="G435" s="18" t="s">
        <v>39</v>
      </c>
      <c r="H435" s="18">
        <v>0.2</v>
      </c>
      <c r="I435" s="20">
        <v>2.08</v>
      </c>
      <c r="J435" s="21">
        <v>0.2</v>
      </c>
      <c r="K435" s="20">
        <f t="shared" ca="1" si="7"/>
        <v>0.42</v>
      </c>
    </row>
    <row r="436" spans="2:11">
      <c r="B436" s="18" t="str">
        <f xml:space="preserve"> TRIM( "9781609944674" )</f>
        <v>9781609944674</v>
      </c>
      <c r="C436" s="18" t="str">
        <f xml:space="preserve"> TRIM( "9781609944674" )</f>
        <v>9781609944674</v>
      </c>
      <c r="D436" s="18" t="s">
        <v>982</v>
      </c>
      <c r="E436" s="18" t="s">
        <v>37</v>
      </c>
      <c r="F436" s="18" t="s">
        <v>983</v>
      </c>
      <c r="G436" s="18" t="s">
        <v>39</v>
      </c>
      <c r="H436" s="18">
        <v>0.2</v>
      </c>
      <c r="I436" s="20">
        <v>2.2599999999999998</v>
      </c>
      <c r="J436" s="21">
        <v>0.2</v>
      </c>
      <c r="K436" s="20">
        <f t="shared" ca="1" si="7"/>
        <v>0.45</v>
      </c>
    </row>
    <row r="437" spans="2:11">
      <c r="B437" s="18" t="str">
        <f xml:space="preserve"> TRIM( "9781609944704" )</f>
        <v>9781609944704</v>
      </c>
      <c r="C437" s="18" t="str">
        <f xml:space="preserve"> TRIM( "9781609944704" )</f>
        <v>9781609944704</v>
      </c>
      <c r="D437" s="18" t="s">
        <v>985</v>
      </c>
      <c r="E437" s="18" t="s">
        <v>37</v>
      </c>
      <c r="F437" s="18" t="s">
        <v>986</v>
      </c>
      <c r="G437" s="18" t="s">
        <v>39</v>
      </c>
      <c r="H437" s="18">
        <v>0.2</v>
      </c>
      <c r="I437" s="20">
        <v>1.92</v>
      </c>
      <c r="J437" s="21">
        <v>0.2</v>
      </c>
      <c r="K437" s="20">
        <f t="shared" ca="1" si="7"/>
        <v>0.38</v>
      </c>
    </row>
    <row r="438" spans="2:11">
      <c r="B438" s="18" t="str">
        <f xml:space="preserve"> TRIM( "9781609944759" )</f>
        <v>9781609944759</v>
      </c>
      <c r="C438" s="18" t="str">
        <f xml:space="preserve"> TRIM( "9781609944759" )</f>
        <v>9781609944759</v>
      </c>
      <c r="D438" s="18" t="s">
        <v>988</v>
      </c>
      <c r="E438" s="18" t="s">
        <v>37</v>
      </c>
      <c r="F438" s="18" t="s">
        <v>989</v>
      </c>
      <c r="G438" s="18" t="s">
        <v>39</v>
      </c>
      <c r="H438" s="18">
        <v>0.2</v>
      </c>
      <c r="I438" s="20">
        <v>2.0699999999999998</v>
      </c>
      <c r="J438" s="21">
        <v>0.2</v>
      </c>
      <c r="K438" s="20">
        <f t="shared" ca="1" si="7"/>
        <v>0.41</v>
      </c>
    </row>
    <row r="439" spans="2:11">
      <c r="B439" s="18" t="str">
        <f xml:space="preserve"> TRIM( "9781609944872" )</f>
        <v>9781609944872</v>
      </c>
      <c r="C439" s="18" t="str">
        <f xml:space="preserve"> TRIM( "9781609944889" )</f>
        <v>9781609944889</v>
      </c>
      <c r="D439" s="18" t="s">
        <v>992</v>
      </c>
      <c r="E439" s="18" t="s">
        <v>37</v>
      </c>
      <c r="F439" s="18" t="s">
        <v>450</v>
      </c>
      <c r="G439" s="18" t="s">
        <v>39</v>
      </c>
      <c r="H439" s="18">
        <v>0.2</v>
      </c>
      <c r="I439" s="20">
        <v>4.08</v>
      </c>
      <c r="J439" s="21">
        <v>0.2</v>
      </c>
      <c r="K439" s="20">
        <f t="shared" ca="1" si="7"/>
        <v>0.82</v>
      </c>
    </row>
    <row r="440" spans="2:11">
      <c r="B440" s="18" t="str">
        <f xml:space="preserve"> TRIM( "9781609944902" )</f>
        <v>9781609944902</v>
      </c>
      <c r="C440" s="18" t="str">
        <f xml:space="preserve"> TRIM( "9781609944926" )</f>
        <v>9781609944926</v>
      </c>
      <c r="D440" s="18" t="s">
        <v>995</v>
      </c>
      <c r="E440" s="18" t="s">
        <v>37</v>
      </c>
      <c r="F440" s="18" t="s">
        <v>996</v>
      </c>
      <c r="G440" s="18" t="s">
        <v>39</v>
      </c>
      <c r="H440" s="18">
        <v>0.2</v>
      </c>
      <c r="I440" s="20">
        <v>1.93</v>
      </c>
      <c r="J440" s="21">
        <v>0.2</v>
      </c>
      <c r="K440" s="20">
        <f t="shared" ca="1" si="7"/>
        <v>0.39</v>
      </c>
    </row>
    <row r="441" spans="2:11">
      <c r="B441" s="18" t="str">
        <f xml:space="preserve"> TRIM( "9781609944902" )</f>
        <v>9781609944902</v>
      </c>
      <c r="C441" s="18" t="str">
        <f xml:space="preserve"> TRIM( "9781609944926" )</f>
        <v>9781609944926</v>
      </c>
      <c r="D441" s="18" t="s">
        <v>995</v>
      </c>
      <c r="E441" s="18" t="s">
        <v>37</v>
      </c>
      <c r="F441" s="18" t="s">
        <v>996</v>
      </c>
      <c r="G441" s="18" t="s">
        <v>40</v>
      </c>
      <c r="H441" s="18">
        <v>0.25</v>
      </c>
      <c r="I441" s="20">
        <v>0.03</v>
      </c>
      <c r="J441" s="21">
        <v>0.25</v>
      </c>
      <c r="K441" s="20">
        <f t="shared" ca="1" si="7"/>
        <v>0.01</v>
      </c>
    </row>
    <row r="442" spans="2:11">
      <c r="B442" s="18" t="str">
        <f xml:space="preserve"> TRIM( "9781609944940" )</f>
        <v>9781609944940</v>
      </c>
      <c r="C442" s="18" t="str">
        <f xml:space="preserve"> TRIM( "9781609944964" )</f>
        <v>9781609944964</v>
      </c>
      <c r="D442" s="18" t="s">
        <v>999</v>
      </c>
      <c r="E442" s="18" t="s">
        <v>37</v>
      </c>
      <c r="F442" s="18" t="s">
        <v>1000</v>
      </c>
      <c r="G442" s="18" t="s">
        <v>39</v>
      </c>
      <c r="H442" s="18">
        <v>0.2</v>
      </c>
      <c r="I442" s="20">
        <v>2.34</v>
      </c>
      <c r="J442" s="21">
        <v>0.2</v>
      </c>
      <c r="K442" s="20">
        <f t="shared" ca="1" si="7"/>
        <v>0.47</v>
      </c>
    </row>
    <row r="443" spans="2:11">
      <c r="B443" s="18" t="str">
        <f xml:space="preserve"> TRIM( "9781609945060" )</f>
        <v>9781609945060</v>
      </c>
      <c r="C443" s="18" t="str">
        <f xml:space="preserve"> TRIM( "9781609945077" )</f>
        <v>9781609945077</v>
      </c>
      <c r="D443" s="18" t="s">
        <v>1003</v>
      </c>
      <c r="E443" s="18" t="s">
        <v>37</v>
      </c>
      <c r="F443" s="18" t="s">
        <v>1004</v>
      </c>
      <c r="G443" s="18" t="s">
        <v>39</v>
      </c>
      <c r="H443" s="18">
        <v>0.2</v>
      </c>
      <c r="I443" s="20">
        <v>1.97</v>
      </c>
      <c r="J443" s="21">
        <v>0.2</v>
      </c>
      <c r="K443" s="20">
        <f t="shared" ca="1" si="7"/>
        <v>0.39</v>
      </c>
    </row>
    <row r="444" spans="2:11">
      <c r="B444" s="18" t="str">
        <f xml:space="preserve"> TRIM( "9781609945169" )</f>
        <v>9781609945169</v>
      </c>
      <c r="C444" s="18" t="str">
        <f xml:space="preserve"> TRIM( "9781609945237" )</f>
        <v>9781609945237</v>
      </c>
      <c r="D444" s="18" t="s">
        <v>1007</v>
      </c>
      <c r="E444" s="18" t="s">
        <v>37</v>
      </c>
      <c r="F444" s="18" t="s">
        <v>1008</v>
      </c>
      <c r="G444" s="18" t="s">
        <v>39</v>
      </c>
      <c r="H444" s="18">
        <v>0.2</v>
      </c>
      <c r="I444" s="20">
        <v>18.43</v>
      </c>
      <c r="J444" s="21">
        <v>0.2</v>
      </c>
      <c r="K444" s="20">
        <f t="shared" ca="1" si="7"/>
        <v>3.69</v>
      </c>
    </row>
    <row r="445" spans="2:11">
      <c r="B445" s="18" t="str">
        <f xml:space="preserve"> TRIM( "9781609945176" )</f>
        <v>9781609945176</v>
      </c>
      <c r="C445" s="18" t="str">
        <f xml:space="preserve"> TRIM( "9781609945817" )</f>
        <v>9781609945817</v>
      </c>
      <c r="D445" s="18" t="s">
        <v>1011</v>
      </c>
      <c r="E445" s="18" t="s">
        <v>37</v>
      </c>
      <c r="F445" s="18" t="s">
        <v>986</v>
      </c>
      <c r="G445" s="18" t="s">
        <v>39</v>
      </c>
      <c r="H445" s="18">
        <v>0.2</v>
      </c>
      <c r="I445" s="20">
        <v>1.93</v>
      </c>
      <c r="J445" s="21">
        <v>0.2</v>
      </c>
      <c r="K445" s="20">
        <f t="shared" ca="1" si="7"/>
        <v>0.39</v>
      </c>
    </row>
    <row r="446" spans="2:11">
      <c r="B446" s="18" t="str">
        <f xml:space="preserve"> TRIM( "9781609945183" )</f>
        <v>9781609945183</v>
      </c>
      <c r="C446" s="18" t="str">
        <f xml:space="preserve"> TRIM( "9781609945206" )</f>
        <v>9781609945206</v>
      </c>
      <c r="D446" s="18" t="s">
        <v>1014</v>
      </c>
      <c r="E446" s="18" t="s">
        <v>37</v>
      </c>
      <c r="F446" s="18" t="s">
        <v>1015</v>
      </c>
      <c r="G446" s="18" t="s">
        <v>39</v>
      </c>
      <c r="H446" s="18">
        <v>0.2</v>
      </c>
      <c r="I446" s="20">
        <v>2.5299999999999998</v>
      </c>
      <c r="J446" s="21">
        <v>0.2</v>
      </c>
      <c r="K446" s="20">
        <f t="shared" ca="1" si="7"/>
        <v>0.51</v>
      </c>
    </row>
    <row r="447" spans="2:11">
      <c r="B447" s="18" t="str">
        <f xml:space="preserve"> TRIM( "9781609945183" )</f>
        <v>9781609945183</v>
      </c>
      <c r="C447" s="18" t="str">
        <f xml:space="preserve"> TRIM( "9781609945206" )</f>
        <v>9781609945206</v>
      </c>
      <c r="D447" s="18" t="s">
        <v>1014</v>
      </c>
      <c r="E447" s="18" t="s">
        <v>37</v>
      </c>
      <c r="F447" s="18" t="s">
        <v>1015</v>
      </c>
      <c r="G447" s="18" t="s">
        <v>40</v>
      </c>
      <c r="H447" s="18">
        <v>0.25</v>
      </c>
      <c r="I447" s="20">
        <v>0.02</v>
      </c>
      <c r="J447" s="21">
        <v>0.25</v>
      </c>
      <c r="K447" s="20">
        <f t="shared" ca="1" si="7"/>
        <v>0.01</v>
      </c>
    </row>
    <row r="448" spans="2:11">
      <c r="B448" s="18" t="str">
        <f xml:space="preserve"> TRIM( "9781609945282" )</f>
        <v>9781609945282</v>
      </c>
      <c r="C448" s="18" t="str">
        <f xml:space="preserve"> TRIM( "9781609945305" )</f>
        <v>9781609945305</v>
      </c>
      <c r="D448" s="18" t="s">
        <v>1018</v>
      </c>
      <c r="E448" s="18" t="s">
        <v>37</v>
      </c>
      <c r="F448" s="18" t="s">
        <v>1019</v>
      </c>
      <c r="G448" s="18" t="s">
        <v>39</v>
      </c>
      <c r="H448" s="18">
        <v>0.2</v>
      </c>
      <c r="I448" s="20">
        <v>5.0199999999999996</v>
      </c>
      <c r="J448" s="21">
        <v>0.2</v>
      </c>
      <c r="K448" s="20">
        <f t="shared" ca="1" si="7"/>
        <v>1</v>
      </c>
    </row>
    <row r="449" spans="2:11">
      <c r="B449" s="18" t="str">
        <f xml:space="preserve"> TRIM( "9781609945282" )</f>
        <v>9781609945282</v>
      </c>
      <c r="C449" s="18" t="str">
        <f xml:space="preserve"> TRIM( "9781609945305" )</f>
        <v>9781609945305</v>
      </c>
      <c r="D449" s="18" t="s">
        <v>1018</v>
      </c>
      <c r="E449" s="18" t="s">
        <v>37</v>
      </c>
      <c r="F449" s="18" t="s">
        <v>1019</v>
      </c>
      <c r="G449" s="18" t="s">
        <v>40</v>
      </c>
      <c r="H449" s="18">
        <v>0.25</v>
      </c>
      <c r="I449" s="20">
        <v>1.89</v>
      </c>
      <c r="J449" s="21">
        <v>0.25</v>
      </c>
      <c r="K449" s="20">
        <f t="shared" ca="1" si="7"/>
        <v>0.47</v>
      </c>
    </row>
    <row r="450" spans="2:11">
      <c r="B450" s="18" t="str">
        <f xml:space="preserve"> TRIM( "9781609945329" )</f>
        <v>9781609945329</v>
      </c>
      <c r="C450" s="18" t="str">
        <f xml:space="preserve"> TRIM( "9781609945343" )</f>
        <v>9781609945343</v>
      </c>
      <c r="D450" s="18" t="s">
        <v>1022</v>
      </c>
      <c r="E450" s="18" t="s">
        <v>37</v>
      </c>
      <c r="F450" s="18" t="s">
        <v>434</v>
      </c>
      <c r="G450" s="18" t="s">
        <v>39</v>
      </c>
      <c r="H450" s="18">
        <v>0.2</v>
      </c>
      <c r="I450" s="20">
        <v>3.23</v>
      </c>
      <c r="J450" s="21">
        <v>0.2</v>
      </c>
      <c r="K450" s="20">
        <f t="shared" ca="1" si="7"/>
        <v>0.65</v>
      </c>
    </row>
    <row r="451" spans="2:11">
      <c r="B451" s="18" t="str">
        <f xml:space="preserve"> TRIM( "9781609945329" )</f>
        <v>9781609945329</v>
      </c>
      <c r="C451" s="18" t="str">
        <f xml:space="preserve"> TRIM( "9781609945343" )</f>
        <v>9781609945343</v>
      </c>
      <c r="D451" s="18" t="s">
        <v>1022</v>
      </c>
      <c r="E451" s="18" t="s">
        <v>37</v>
      </c>
      <c r="F451" s="18" t="s">
        <v>434</v>
      </c>
      <c r="G451" s="18" t="s">
        <v>40</v>
      </c>
      <c r="H451" s="18">
        <v>0.25</v>
      </c>
      <c r="I451" s="20">
        <v>0.01</v>
      </c>
      <c r="J451" s="21">
        <v>0.25</v>
      </c>
      <c r="K451" s="20">
        <f t="shared" ca="1" si="7"/>
        <v>0</v>
      </c>
    </row>
    <row r="452" spans="2:11">
      <c r="B452" s="18" t="str">
        <f xml:space="preserve"> TRIM( "9781609945367" )</f>
        <v>9781609945367</v>
      </c>
      <c r="C452" s="18" t="str">
        <f xml:space="preserve"> TRIM( "9781609945381" )</f>
        <v>9781609945381</v>
      </c>
      <c r="D452" s="18" t="s">
        <v>1025</v>
      </c>
      <c r="E452" s="18" t="s">
        <v>37</v>
      </c>
      <c r="F452" s="18" t="s">
        <v>851</v>
      </c>
      <c r="G452" s="18" t="s">
        <v>39</v>
      </c>
      <c r="H452" s="18">
        <v>0.2</v>
      </c>
      <c r="I452" s="20">
        <v>3.18</v>
      </c>
      <c r="J452" s="21">
        <v>0.2</v>
      </c>
      <c r="K452" s="20">
        <f t="shared" ca="1" si="7"/>
        <v>0.64</v>
      </c>
    </row>
    <row r="453" spans="2:11">
      <c r="B453" s="18" t="str">
        <f xml:space="preserve"> TRIM( "9781609945367" )</f>
        <v>9781609945367</v>
      </c>
      <c r="C453" s="18" t="str">
        <f xml:space="preserve"> TRIM( "9781609945381" )</f>
        <v>9781609945381</v>
      </c>
      <c r="D453" s="18" t="s">
        <v>1025</v>
      </c>
      <c r="E453" s="18" t="s">
        <v>37</v>
      </c>
      <c r="F453" s="18" t="s">
        <v>851</v>
      </c>
      <c r="G453" s="18" t="s">
        <v>40</v>
      </c>
      <c r="H453" s="18">
        <v>0.25</v>
      </c>
      <c r="I453" s="20">
        <v>7.75</v>
      </c>
      <c r="J453" s="21">
        <v>0.25</v>
      </c>
      <c r="K453" s="20">
        <f t="shared" ca="1" si="7"/>
        <v>1.94</v>
      </c>
    </row>
    <row r="454" spans="2:11">
      <c r="B454" s="18" t="str">
        <f xml:space="preserve"> TRIM( "9781609945398" )</f>
        <v>9781609945398</v>
      </c>
      <c r="C454" s="18" t="str">
        <f xml:space="preserve"> TRIM( "9781609945411" )</f>
        <v>9781609945411</v>
      </c>
      <c r="D454" s="18" t="s">
        <v>1028</v>
      </c>
      <c r="E454" s="18" t="s">
        <v>37</v>
      </c>
      <c r="F454" s="18" t="s">
        <v>1029</v>
      </c>
      <c r="G454" s="18" t="s">
        <v>39</v>
      </c>
      <c r="H454" s="18">
        <v>0.2</v>
      </c>
      <c r="I454" s="20">
        <v>132.88999999999999</v>
      </c>
      <c r="J454" s="21">
        <v>0.2</v>
      </c>
      <c r="K454" s="20">
        <f t="shared" ca="1" si="7"/>
        <v>26.58</v>
      </c>
    </row>
    <row r="455" spans="2:11">
      <c r="B455" s="18" t="str">
        <f xml:space="preserve"> TRIM( "9781609945398" )</f>
        <v>9781609945398</v>
      </c>
      <c r="C455" s="18" t="str">
        <f xml:space="preserve"> TRIM( "9781609945411" )</f>
        <v>9781609945411</v>
      </c>
      <c r="D455" s="18" t="s">
        <v>1028</v>
      </c>
      <c r="E455" s="18" t="s">
        <v>37</v>
      </c>
      <c r="F455" s="18" t="s">
        <v>1029</v>
      </c>
      <c r="G455" s="18" t="s">
        <v>40</v>
      </c>
      <c r="H455" s="18">
        <v>0.25</v>
      </c>
      <c r="I455" s="20">
        <v>15.7</v>
      </c>
      <c r="J455" s="21">
        <v>0.25</v>
      </c>
      <c r="K455" s="20">
        <f t="shared" ca="1" si="7"/>
        <v>3.93</v>
      </c>
    </row>
    <row r="456" spans="2:11">
      <c r="B456" s="18" t="str">
        <f xml:space="preserve"> TRIM( "9781609945497" )</f>
        <v>9781609945497</v>
      </c>
      <c r="C456" s="18" t="str">
        <f xml:space="preserve"> TRIM( "9781609945510" )</f>
        <v>9781609945510</v>
      </c>
      <c r="D456" s="18" t="s">
        <v>1032</v>
      </c>
      <c r="E456" s="18" t="s">
        <v>37</v>
      </c>
      <c r="F456" s="18" t="s">
        <v>1033</v>
      </c>
      <c r="G456" s="18" t="s">
        <v>39</v>
      </c>
      <c r="H456" s="18">
        <v>0.2</v>
      </c>
      <c r="I456" s="20">
        <v>4.03</v>
      </c>
      <c r="J456" s="21">
        <v>0.2</v>
      </c>
      <c r="K456" s="20">
        <f t="shared" ca="1" si="7"/>
        <v>0.81</v>
      </c>
    </row>
    <row r="457" spans="2:11">
      <c r="B457" s="18" t="str">
        <f xml:space="preserve"> TRIM( "9781609945534" )</f>
        <v>9781609945534</v>
      </c>
      <c r="C457" s="18" t="str">
        <f xml:space="preserve"> TRIM( "9781609945558" )</f>
        <v>9781609945558</v>
      </c>
      <c r="D457" s="18" t="s">
        <v>1036</v>
      </c>
      <c r="E457" s="18" t="s">
        <v>37</v>
      </c>
      <c r="F457" s="18" t="s">
        <v>1037</v>
      </c>
      <c r="G457" s="18" t="s">
        <v>39</v>
      </c>
      <c r="H457" s="18">
        <v>0.2</v>
      </c>
      <c r="I457" s="20">
        <v>12.44</v>
      </c>
      <c r="J457" s="21">
        <v>0.2</v>
      </c>
      <c r="K457" s="20">
        <f t="shared" ca="1" si="7"/>
        <v>2.4900000000000002</v>
      </c>
    </row>
    <row r="458" spans="2:11">
      <c r="B458" s="18" t="str">
        <f xml:space="preserve"> TRIM( "9781609945534" )</f>
        <v>9781609945534</v>
      </c>
      <c r="C458" s="18" t="str">
        <f xml:space="preserve"> TRIM( "9781609945558" )</f>
        <v>9781609945558</v>
      </c>
      <c r="D458" s="18" t="s">
        <v>1036</v>
      </c>
      <c r="E458" s="18" t="s">
        <v>37</v>
      </c>
      <c r="F458" s="18" t="s">
        <v>1037</v>
      </c>
      <c r="G458" s="18" t="s">
        <v>40</v>
      </c>
      <c r="H458" s="18">
        <v>0.25</v>
      </c>
      <c r="I458" s="20">
        <v>1.42</v>
      </c>
      <c r="J458" s="21">
        <v>0.25</v>
      </c>
      <c r="K458" s="20">
        <f t="shared" ca="1" si="7"/>
        <v>0.36</v>
      </c>
    </row>
    <row r="459" spans="2:11">
      <c r="B459" s="18" t="str">
        <f xml:space="preserve"> TRIM( "9781609945626" )</f>
        <v>9781609945626</v>
      </c>
      <c r="C459" s="18" t="str">
        <f xml:space="preserve"> TRIM( "9781609945640" )</f>
        <v>9781609945640</v>
      </c>
      <c r="D459" s="18" t="s">
        <v>1040</v>
      </c>
      <c r="E459" s="18" t="s">
        <v>37</v>
      </c>
      <c r="F459" s="18" t="s">
        <v>1041</v>
      </c>
      <c r="G459" s="18" t="s">
        <v>39</v>
      </c>
      <c r="H459" s="18">
        <v>0.2</v>
      </c>
      <c r="I459" s="20">
        <v>28.65</v>
      </c>
      <c r="J459" s="21">
        <v>0.2</v>
      </c>
      <c r="K459" s="20">
        <f t="shared" ca="1" si="7"/>
        <v>5.73</v>
      </c>
    </row>
    <row r="460" spans="2:11">
      <c r="B460" s="18" t="str">
        <f xml:space="preserve"> TRIM( "9781609945626" )</f>
        <v>9781609945626</v>
      </c>
      <c r="C460" s="18" t="str">
        <f xml:space="preserve"> TRIM( "9781609945640" )</f>
        <v>9781609945640</v>
      </c>
      <c r="D460" s="18" t="s">
        <v>1040</v>
      </c>
      <c r="E460" s="18" t="s">
        <v>37</v>
      </c>
      <c r="F460" s="18" t="s">
        <v>1041</v>
      </c>
      <c r="G460" s="18" t="s">
        <v>40</v>
      </c>
      <c r="H460" s="18">
        <v>0.25</v>
      </c>
      <c r="I460" s="20">
        <v>51.66</v>
      </c>
      <c r="J460" s="21">
        <v>0.25</v>
      </c>
      <c r="K460" s="20">
        <f t="shared" ca="1" si="7"/>
        <v>12.92</v>
      </c>
    </row>
    <row r="461" spans="2:11">
      <c r="B461" s="18" t="str">
        <f xml:space="preserve"> TRIM( "9781609945664" )</f>
        <v>9781609945664</v>
      </c>
      <c r="C461" s="18" t="str">
        <f xml:space="preserve"> TRIM( "9781609945688" )</f>
        <v>9781609945688</v>
      </c>
      <c r="D461" s="18" t="s">
        <v>1044</v>
      </c>
      <c r="E461" s="18" t="s">
        <v>37</v>
      </c>
      <c r="F461" s="18" t="s">
        <v>401</v>
      </c>
      <c r="G461" s="18" t="s">
        <v>39</v>
      </c>
      <c r="H461" s="18">
        <v>0.2</v>
      </c>
      <c r="I461" s="20">
        <v>6.93</v>
      </c>
      <c r="J461" s="21">
        <v>0.2</v>
      </c>
      <c r="K461" s="20">
        <f t="shared" ca="1" si="7"/>
        <v>1.39</v>
      </c>
    </row>
    <row r="462" spans="2:11">
      <c r="B462" s="18" t="str">
        <f xml:space="preserve"> TRIM( "9781609945664" )</f>
        <v>9781609945664</v>
      </c>
      <c r="C462" s="18" t="str">
        <f xml:space="preserve"> TRIM( "9781609945688" )</f>
        <v>9781609945688</v>
      </c>
      <c r="D462" s="18" t="s">
        <v>1044</v>
      </c>
      <c r="E462" s="18" t="s">
        <v>37</v>
      </c>
      <c r="F462" s="18" t="s">
        <v>401</v>
      </c>
      <c r="G462" s="18" t="s">
        <v>40</v>
      </c>
      <c r="H462" s="18">
        <v>0.25</v>
      </c>
      <c r="I462" s="20">
        <v>4.8499999999999996</v>
      </c>
      <c r="J462" s="21">
        <v>0.25</v>
      </c>
      <c r="K462" s="20">
        <f t="shared" ca="1" si="7"/>
        <v>1.21</v>
      </c>
    </row>
    <row r="463" spans="2:11">
      <c r="B463" s="18" t="str">
        <f xml:space="preserve"> TRIM( "9781609945695" )</f>
        <v>9781609945695</v>
      </c>
      <c r="C463" s="18" t="str">
        <f xml:space="preserve"> TRIM( "9781609945718" )</f>
        <v>9781609945718</v>
      </c>
      <c r="D463" s="18" t="s">
        <v>1047</v>
      </c>
      <c r="E463" s="18" t="s">
        <v>37</v>
      </c>
      <c r="F463" s="18" t="s">
        <v>1048</v>
      </c>
      <c r="G463" s="18" t="s">
        <v>39</v>
      </c>
      <c r="H463" s="18">
        <v>0.2</v>
      </c>
      <c r="I463" s="20">
        <v>5.27</v>
      </c>
      <c r="J463" s="21">
        <v>0.2</v>
      </c>
      <c r="K463" s="20">
        <f t="shared" ca="1" si="7"/>
        <v>1.05</v>
      </c>
    </row>
    <row r="464" spans="2:11">
      <c r="B464" s="18" t="str">
        <f xml:space="preserve"> TRIM( "9781609945695" )</f>
        <v>9781609945695</v>
      </c>
      <c r="C464" s="18" t="str">
        <f xml:space="preserve"> TRIM( "9781609945718" )</f>
        <v>9781609945718</v>
      </c>
      <c r="D464" s="18" t="s">
        <v>1047</v>
      </c>
      <c r="E464" s="18" t="s">
        <v>37</v>
      </c>
      <c r="F464" s="18" t="s">
        <v>1048</v>
      </c>
      <c r="G464" s="18" t="s">
        <v>40</v>
      </c>
      <c r="H464" s="18">
        <v>0.25</v>
      </c>
      <c r="I464" s="20">
        <v>0.6</v>
      </c>
      <c r="J464" s="21">
        <v>0.25</v>
      </c>
      <c r="K464" s="20">
        <f t="shared" ref="K464:K527" ca="1" si="8" xml:space="preserve"> ROUND( ( INDIRECT( ADDRESS( ROW(), COLUMN()- 2 ))) * ( INDIRECT( ADDRESS( ROW(), COLUMN()- 1 ))), 2 )</f>
        <v>0.15</v>
      </c>
    </row>
    <row r="465" spans="2:11">
      <c r="B465" s="18" t="str">
        <f xml:space="preserve"> TRIM( "9781609945732" )</f>
        <v>9781609945732</v>
      </c>
      <c r="C465" s="18" t="str">
        <f xml:space="preserve"> TRIM( "9781609945756" )</f>
        <v>9781609945756</v>
      </c>
      <c r="D465" s="18" t="s">
        <v>1051</v>
      </c>
      <c r="E465" s="18" t="s">
        <v>37</v>
      </c>
      <c r="F465" s="18" t="s">
        <v>705</v>
      </c>
      <c r="G465" s="18" t="s">
        <v>39</v>
      </c>
      <c r="H465" s="18">
        <v>0.2</v>
      </c>
      <c r="I465" s="20">
        <v>130.77000000000001</v>
      </c>
      <c r="J465" s="21">
        <v>0.2</v>
      </c>
      <c r="K465" s="20">
        <f t="shared" ca="1" si="8"/>
        <v>26.15</v>
      </c>
    </row>
    <row r="466" spans="2:11">
      <c r="B466" s="18" t="str">
        <f xml:space="preserve"> TRIM( "9781609945732" )</f>
        <v>9781609945732</v>
      </c>
      <c r="C466" s="18" t="str">
        <f xml:space="preserve"> TRIM( "9781609945756" )</f>
        <v>9781609945756</v>
      </c>
      <c r="D466" s="18" t="s">
        <v>1051</v>
      </c>
      <c r="E466" s="18" t="s">
        <v>37</v>
      </c>
      <c r="F466" s="18" t="s">
        <v>705</v>
      </c>
      <c r="G466" s="18" t="s">
        <v>40</v>
      </c>
      <c r="H466" s="18">
        <v>0.25</v>
      </c>
      <c r="I466" s="20">
        <v>25.85</v>
      </c>
      <c r="J466" s="21">
        <v>0.25</v>
      </c>
      <c r="K466" s="20">
        <f t="shared" ca="1" si="8"/>
        <v>6.46</v>
      </c>
    </row>
    <row r="467" spans="2:11">
      <c r="B467" s="18" t="str">
        <f xml:space="preserve"> TRIM( "9781609945770" )</f>
        <v>9781609945770</v>
      </c>
      <c r="C467" s="18" t="str">
        <f xml:space="preserve"> TRIM( "9781609945794" )</f>
        <v>9781609945794</v>
      </c>
      <c r="D467" s="18" t="s">
        <v>1054</v>
      </c>
      <c r="E467" s="18" t="s">
        <v>37</v>
      </c>
      <c r="F467" s="18" t="s">
        <v>1055</v>
      </c>
      <c r="G467" s="18" t="s">
        <v>39</v>
      </c>
      <c r="H467" s="18">
        <v>0.2</v>
      </c>
      <c r="I467" s="20">
        <v>3.08</v>
      </c>
      <c r="J467" s="21">
        <v>0.2</v>
      </c>
      <c r="K467" s="20">
        <f t="shared" ca="1" si="8"/>
        <v>0.62</v>
      </c>
    </row>
    <row r="468" spans="2:11">
      <c r="B468" s="18" t="str">
        <f xml:space="preserve"> TRIM( "9781609945770" )</f>
        <v>9781609945770</v>
      </c>
      <c r="C468" s="18" t="str">
        <f xml:space="preserve"> TRIM( "9781609945794" )</f>
        <v>9781609945794</v>
      </c>
      <c r="D468" s="18" t="s">
        <v>1054</v>
      </c>
      <c r="E468" s="18" t="s">
        <v>37</v>
      </c>
      <c r="F468" s="18" t="s">
        <v>1055</v>
      </c>
      <c r="G468" s="18" t="s">
        <v>40</v>
      </c>
      <c r="H468" s="18">
        <v>0.25</v>
      </c>
      <c r="I468" s="20">
        <v>0.01</v>
      </c>
      <c r="J468" s="21">
        <v>0.25</v>
      </c>
      <c r="K468" s="20">
        <f t="shared" ca="1" si="8"/>
        <v>0</v>
      </c>
    </row>
    <row r="469" spans="2:11">
      <c r="B469" s="18" t="str">
        <f xml:space="preserve"> TRIM( "9781609945886" )</f>
        <v>9781609945886</v>
      </c>
      <c r="C469" s="18" t="str">
        <f xml:space="preserve"> TRIM( "9781609945886" )</f>
        <v>9781609945886</v>
      </c>
      <c r="D469" s="18" t="s">
        <v>1057</v>
      </c>
      <c r="E469" s="18" t="s">
        <v>37</v>
      </c>
      <c r="F469" s="18" t="s">
        <v>1058</v>
      </c>
      <c r="G469" s="18" t="s">
        <v>39</v>
      </c>
      <c r="H469" s="18">
        <v>0.2</v>
      </c>
      <c r="I469" s="20">
        <v>12.13</v>
      </c>
      <c r="J469" s="21">
        <v>0.2</v>
      </c>
      <c r="K469" s="20">
        <f t="shared" ca="1" si="8"/>
        <v>2.4300000000000002</v>
      </c>
    </row>
    <row r="470" spans="2:11">
      <c r="B470" s="18" t="str">
        <f xml:space="preserve"> TRIM( "9781609945923" )</f>
        <v>9781609945923</v>
      </c>
      <c r="C470" s="18" t="str">
        <f xml:space="preserve"> TRIM( "9781609945930" )</f>
        <v>9781609945930</v>
      </c>
      <c r="D470" s="18" t="s">
        <v>1061</v>
      </c>
      <c r="E470" s="18" t="s">
        <v>37</v>
      </c>
      <c r="F470" s="18" t="s">
        <v>1062</v>
      </c>
      <c r="G470" s="18" t="s">
        <v>39</v>
      </c>
      <c r="H470" s="18">
        <v>0.2</v>
      </c>
      <c r="I470" s="20">
        <v>4.05</v>
      </c>
      <c r="J470" s="21">
        <v>0.2</v>
      </c>
      <c r="K470" s="20">
        <f t="shared" ca="1" si="8"/>
        <v>0.81</v>
      </c>
    </row>
    <row r="471" spans="2:11">
      <c r="B471" s="18" t="str">
        <f xml:space="preserve"> TRIM( "9781609946326" )</f>
        <v>9781609946326</v>
      </c>
      <c r="C471" s="18" t="str">
        <f xml:space="preserve"> TRIM( "9781609946340" )</f>
        <v>9781609946340</v>
      </c>
      <c r="D471" s="18" t="s">
        <v>1065</v>
      </c>
      <c r="E471" s="18" t="s">
        <v>37</v>
      </c>
      <c r="F471" s="18" t="s">
        <v>1066</v>
      </c>
      <c r="G471" s="18" t="s">
        <v>39</v>
      </c>
      <c r="H471" s="18">
        <v>0.2</v>
      </c>
      <c r="I471" s="20">
        <v>8.7899999999999991</v>
      </c>
      <c r="J471" s="21">
        <v>0.2</v>
      </c>
      <c r="K471" s="20">
        <f t="shared" ca="1" si="8"/>
        <v>1.76</v>
      </c>
    </row>
    <row r="472" spans="2:11">
      <c r="B472" s="18" t="str">
        <f xml:space="preserve"> TRIM( "9781609946326" )</f>
        <v>9781609946326</v>
      </c>
      <c r="C472" s="18" t="str">
        <f xml:space="preserve"> TRIM( "9781609946340" )</f>
        <v>9781609946340</v>
      </c>
      <c r="D472" s="18" t="s">
        <v>1065</v>
      </c>
      <c r="E472" s="18" t="s">
        <v>37</v>
      </c>
      <c r="F472" s="18" t="s">
        <v>1066</v>
      </c>
      <c r="G472" s="18" t="s">
        <v>40</v>
      </c>
      <c r="H472" s="18">
        <v>0.25</v>
      </c>
      <c r="I472" s="20">
        <v>5.08</v>
      </c>
      <c r="J472" s="21">
        <v>0.25</v>
      </c>
      <c r="K472" s="20">
        <f t="shared" ca="1" si="8"/>
        <v>1.27</v>
      </c>
    </row>
    <row r="473" spans="2:11">
      <c r="B473" s="18" t="str">
        <f xml:space="preserve"> TRIM( "9781609946364" )</f>
        <v>9781609946364</v>
      </c>
      <c r="C473" s="18" t="str">
        <f xml:space="preserve"> TRIM( "9781609946388" )</f>
        <v>9781609946388</v>
      </c>
      <c r="D473" s="18" t="s">
        <v>1069</v>
      </c>
      <c r="E473" s="18" t="s">
        <v>37</v>
      </c>
      <c r="F473" s="18" t="s">
        <v>1070</v>
      </c>
      <c r="G473" s="18" t="s">
        <v>39</v>
      </c>
      <c r="H473" s="18">
        <v>0.2</v>
      </c>
      <c r="I473" s="20">
        <v>4.2300000000000004</v>
      </c>
      <c r="J473" s="21">
        <v>0.2</v>
      </c>
      <c r="K473" s="20">
        <f t="shared" ca="1" si="8"/>
        <v>0.85</v>
      </c>
    </row>
    <row r="474" spans="2:11">
      <c r="B474" s="18" t="str">
        <f xml:space="preserve"> TRIM( "9781609946364" )</f>
        <v>9781609946364</v>
      </c>
      <c r="C474" s="18" t="str">
        <f xml:space="preserve"> TRIM( "9781609946388" )</f>
        <v>9781609946388</v>
      </c>
      <c r="D474" s="18" t="s">
        <v>1069</v>
      </c>
      <c r="E474" s="18" t="s">
        <v>37</v>
      </c>
      <c r="F474" s="18" t="s">
        <v>1070</v>
      </c>
      <c r="G474" s="18" t="s">
        <v>40</v>
      </c>
      <c r="H474" s="18">
        <v>0.25</v>
      </c>
      <c r="I474" s="20">
        <v>17.190000000000001</v>
      </c>
      <c r="J474" s="21">
        <v>0.25</v>
      </c>
      <c r="K474" s="20">
        <f t="shared" ca="1" si="8"/>
        <v>4.3</v>
      </c>
    </row>
    <row r="475" spans="2:11">
      <c r="B475" s="18" t="str">
        <f xml:space="preserve"> TRIM( "9781609946401" )</f>
        <v>9781609946401</v>
      </c>
      <c r="C475" s="18" t="str">
        <f xml:space="preserve"> TRIM( "9781609946425" )</f>
        <v>9781609946425</v>
      </c>
      <c r="D475" s="18" t="s">
        <v>1073</v>
      </c>
      <c r="E475" s="18" t="s">
        <v>37</v>
      </c>
      <c r="F475" s="18" t="s">
        <v>1074</v>
      </c>
      <c r="G475" s="18" t="s">
        <v>39</v>
      </c>
      <c r="H475" s="18">
        <v>0.2</v>
      </c>
      <c r="I475" s="20">
        <v>2.33</v>
      </c>
      <c r="J475" s="21">
        <v>0.2</v>
      </c>
      <c r="K475" s="20">
        <f t="shared" ca="1" si="8"/>
        <v>0.47</v>
      </c>
    </row>
    <row r="476" spans="2:11">
      <c r="B476" s="18" t="str">
        <f xml:space="preserve"> TRIM( "9781609946449" )</f>
        <v>9781609946449</v>
      </c>
      <c r="C476" s="18" t="str">
        <f xml:space="preserve"> TRIM( "9781609946463" )</f>
        <v>9781609946463</v>
      </c>
      <c r="D476" s="18" t="s">
        <v>1077</v>
      </c>
      <c r="E476" s="18" t="s">
        <v>37</v>
      </c>
      <c r="F476" s="18" t="s">
        <v>1078</v>
      </c>
      <c r="G476" s="18" t="s">
        <v>39</v>
      </c>
      <c r="H476" s="18">
        <v>0.2</v>
      </c>
      <c r="I476" s="20">
        <v>7.53</v>
      </c>
      <c r="J476" s="21">
        <v>0.2</v>
      </c>
      <c r="K476" s="20">
        <f t="shared" ca="1" si="8"/>
        <v>1.51</v>
      </c>
    </row>
    <row r="477" spans="2:11">
      <c r="B477" s="18" t="str">
        <f xml:space="preserve"> TRIM( "9781609946647" )</f>
        <v>9781609946647</v>
      </c>
      <c r="C477" s="18" t="str">
        <f xml:space="preserve"> TRIM( "9781609946661" )</f>
        <v>9781609946661</v>
      </c>
      <c r="D477" s="18" t="s">
        <v>1081</v>
      </c>
      <c r="E477" s="18" t="s">
        <v>37</v>
      </c>
      <c r="F477" s="18" t="s">
        <v>1082</v>
      </c>
      <c r="G477" s="18" t="s">
        <v>39</v>
      </c>
      <c r="H477" s="18">
        <v>0.2</v>
      </c>
      <c r="I477" s="20">
        <v>24.62</v>
      </c>
      <c r="J477" s="21">
        <v>0.2</v>
      </c>
      <c r="K477" s="20">
        <f t="shared" ca="1" si="8"/>
        <v>4.92</v>
      </c>
    </row>
    <row r="478" spans="2:11">
      <c r="B478" s="18" t="str">
        <f xml:space="preserve"> TRIM( "9781609947101" )</f>
        <v>9781609947101</v>
      </c>
      <c r="C478" s="18" t="str">
        <f xml:space="preserve"> TRIM( "9781609947125" )</f>
        <v>9781609947125</v>
      </c>
      <c r="D478" s="18" t="s">
        <v>1085</v>
      </c>
      <c r="E478" s="18" t="s">
        <v>37</v>
      </c>
      <c r="F478" s="18" t="s">
        <v>1086</v>
      </c>
      <c r="G478" s="18" t="s">
        <v>39</v>
      </c>
      <c r="H478" s="18">
        <v>0.2</v>
      </c>
      <c r="I478" s="20">
        <v>7.92</v>
      </c>
      <c r="J478" s="21">
        <v>0.2</v>
      </c>
      <c r="K478" s="20">
        <f t="shared" ca="1" si="8"/>
        <v>1.58</v>
      </c>
    </row>
    <row r="479" spans="2:11">
      <c r="B479" s="18" t="str">
        <f xml:space="preserve"> TRIM( "9781609947101" )</f>
        <v>9781609947101</v>
      </c>
      <c r="C479" s="18" t="str">
        <f xml:space="preserve"> TRIM( "9781609947125" )</f>
        <v>9781609947125</v>
      </c>
      <c r="D479" s="18" t="s">
        <v>1085</v>
      </c>
      <c r="E479" s="18" t="s">
        <v>37</v>
      </c>
      <c r="F479" s="18" t="s">
        <v>1086</v>
      </c>
      <c r="G479" s="18" t="s">
        <v>40</v>
      </c>
      <c r="H479" s="18">
        <v>0.25</v>
      </c>
      <c r="I479" s="20">
        <v>2.79</v>
      </c>
      <c r="J479" s="21">
        <v>0.25</v>
      </c>
      <c r="K479" s="20">
        <f t="shared" ca="1" si="8"/>
        <v>0.7</v>
      </c>
    </row>
    <row r="480" spans="2:11">
      <c r="B480" s="18" t="str">
        <f xml:space="preserve"> TRIM( "9781609947132" )</f>
        <v>9781609947132</v>
      </c>
      <c r="C480" s="18" t="str">
        <f xml:space="preserve"> TRIM( "9781609947347" )</f>
        <v>9781609947347</v>
      </c>
      <c r="D480" s="18" t="s">
        <v>1089</v>
      </c>
      <c r="E480" s="18" t="s">
        <v>37</v>
      </c>
      <c r="F480" s="18" t="s">
        <v>1090</v>
      </c>
      <c r="G480" s="18" t="s">
        <v>39</v>
      </c>
      <c r="H480" s="18">
        <v>0.2</v>
      </c>
      <c r="I480" s="20">
        <v>7.67</v>
      </c>
      <c r="J480" s="21">
        <v>0.2</v>
      </c>
      <c r="K480" s="20">
        <f t="shared" ca="1" si="8"/>
        <v>1.53</v>
      </c>
    </row>
    <row r="481" spans="2:11">
      <c r="B481" s="18" t="str">
        <f xml:space="preserve"> TRIM( "9781609947231" )</f>
        <v>9781609947231</v>
      </c>
      <c r="C481" s="18" t="str">
        <f xml:space="preserve"> TRIM( "9781609947378" )</f>
        <v>9781609947378</v>
      </c>
      <c r="D481" s="18" t="s">
        <v>1093</v>
      </c>
      <c r="E481" s="18" t="s">
        <v>37</v>
      </c>
      <c r="F481" s="18" t="s">
        <v>1094</v>
      </c>
      <c r="G481" s="18" t="s">
        <v>39</v>
      </c>
      <c r="H481" s="18">
        <v>0.2</v>
      </c>
      <c r="I481" s="20">
        <v>2.21</v>
      </c>
      <c r="J481" s="21">
        <v>0.2</v>
      </c>
      <c r="K481" s="20">
        <f t="shared" ca="1" si="8"/>
        <v>0.44</v>
      </c>
    </row>
    <row r="482" spans="2:11">
      <c r="B482" s="18" t="str">
        <f xml:space="preserve"> TRIM( "9781609947231" )</f>
        <v>9781609947231</v>
      </c>
      <c r="C482" s="18" t="str">
        <f xml:space="preserve"> TRIM( "9781609947378" )</f>
        <v>9781609947378</v>
      </c>
      <c r="D482" s="18" t="s">
        <v>1093</v>
      </c>
      <c r="E482" s="18" t="s">
        <v>37</v>
      </c>
      <c r="F482" s="18" t="s">
        <v>1094</v>
      </c>
      <c r="G482" s="18" t="s">
        <v>40</v>
      </c>
      <c r="H482" s="18">
        <v>0.25</v>
      </c>
      <c r="I482" s="20">
        <v>0.39</v>
      </c>
      <c r="J482" s="21">
        <v>0.25</v>
      </c>
      <c r="K482" s="20">
        <f t="shared" ca="1" si="8"/>
        <v>0.1</v>
      </c>
    </row>
    <row r="483" spans="2:11">
      <c r="B483" s="18" t="str">
        <f xml:space="preserve"> TRIM( "9781609947392" )</f>
        <v>9781609947392</v>
      </c>
      <c r="C483" s="18" t="str">
        <f xml:space="preserve"> TRIM( "9781609947415" )</f>
        <v>9781609947415</v>
      </c>
      <c r="D483" s="18" t="s">
        <v>1097</v>
      </c>
      <c r="E483" s="18" t="s">
        <v>37</v>
      </c>
      <c r="F483" s="18" t="s">
        <v>1098</v>
      </c>
      <c r="G483" s="18" t="s">
        <v>39</v>
      </c>
      <c r="H483" s="18">
        <v>0.2</v>
      </c>
      <c r="I483" s="20">
        <v>6.28</v>
      </c>
      <c r="J483" s="21">
        <v>0.2</v>
      </c>
      <c r="K483" s="20">
        <f t="shared" ca="1" si="8"/>
        <v>1.26</v>
      </c>
    </row>
    <row r="484" spans="2:11">
      <c r="B484" s="18" t="str">
        <f xml:space="preserve"> TRIM( "9781609947392" )</f>
        <v>9781609947392</v>
      </c>
      <c r="C484" s="18" t="str">
        <f xml:space="preserve"> TRIM( "9781609947415" )</f>
        <v>9781609947415</v>
      </c>
      <c r="D484" s="18" t="s">
        <v>1097</v>
      </c>
      <c r="E484" s="18" t="s">
        <v>37</v>
      </c>
      <c r="F484" s="18" t="s">
        <v>1098</v>
      </c>
      <c r="G484" s="18" t="s">
        <v>40</v>
      </c>
      <c r="H484" s="18">
        <v>0.25</v>
      </c>
      <c r="I484" s="20">
        <v>0.04</v>
      </c>
      <c r="J484" s="21">
        <v>0.25</v>
      </c>
      <c r="K484" s="20">
        <f t="shared" ca="1" si="8"/>
        <v>0.01</v>
      </c>
    </row>
    <row r="485" spans="2:11">
      <c r="B485" s="18" t="str">
        <f xml:space="preserve"> TRIM( "9781609947439" )</f>
        <v>9781609947439</v>
      </c>
      <c r="C485" s="18" t="str">
        <f xml:space="preserve"> TRIM( "9781609947453" )</f>
        <v>9781609947453</v>
      </c>
      <c r="D485" s="18" t="s">
        <v>1101</v>
      </c>
      <c r="E485" s="18" t="s">
        <v>37</v>
      </c>
      <c r="F485" s="18" t="s">
        <v>1102</v>
      </c>
      <c r="G485" s="18" t="s">
        <v>39</v>
      </c>
      <c r="H485" s="18">
        <v>0.2</v>
      </c>
      <c r="I485" s="20">
        <v>3.75</v>
      </c>
      <c r="J485" s="21">
        <v>0.2</v>
      </c>
      <c r="K485" s="20">
        <f t="shared" ca="1" si="8"/>
        <v>0.75</v>
      </c>
    </row>
    <row r="486" spans="2:11">
      <c r="B486" s="18" t="str">
        <f xml:space="preserve"> TRIM( "9781609947439" )</f>
        <v>9781609947439</v>
      </c>
      <c r="C486" s="18" t="str">
        <f xml:space="preserve"> TRIM( "9781609947453" )</f>
        <v>9781609947453</v>
      </c>
      <c r="D486" s="18" t="s">
        <v>1101</v>
      </c>
      <c r="E486" s="18" t="s">
        <v>37</v>
      </c>
      <c r="F486" s="18" t="s">
        <v>1102</v>
      </c>
      <c r="G486" s="18" t="s">
        <v>40</v>
      </c>
      <c r="H486" s="18">
        <v>0.25</v>
      </c>
      <c r="I486" s="20">
        <v>0.14000000000000001</v>
      </c>
      <c r="J486" s="21">
        <v>0.25</v>
      </c>
      <c r="K486" s="20">
        <f t="shared" ca="1" si="8"/>
        <v>0.04</v>
      </c>
    </row>
    <row r="487" spans="2:11">
      <c r="B487" s="18" t="str">
        <f xml:space="preserve"> TRIM( "9781609947477" )</f>
        <v>9781609947477</v>
      </c>
      <c r="C487" s="18" t="str">
        <f xml:space="preserve"> TRIM( "9781609947491" )</f>
        <v>9781609947491</v>
      </c>
      <c r="D487" s="18" t="s">
        <v>1105</v>
      </c>
      <c r="E487" s="18" t="s">
        <v>37</v>
      </c>
      <c r="F487" s="18" t="s">
        <v>1106</v>
      </c>
      <c r="G487" s="18" t="s">
        <v>39</v>
      </c>
      <c r="H487" s="18">
        <v>0.2</v>
      </c>
      <c r="I487" s="20">
        <v>11.36</v>
      </c>
      <c r="J487" s="21">
        <v>0.2</v>
      </c>
      <c r="K487" s="20">
        <f t="shared" ca="1" si="8"/>
        <v>2.27</v>
      </c>
    </row>
    <row r="488" spans="2:11">
      <c r="B488" s="18" t="str">
        <f xml:space="preserve"> TRIM( "9781609947897" )</f>
        <v>9781609947897</v>
      </c>
      <c r="C488" s="18" t="str">
        <f xml:space="preserve"> TRIM( "9781609947910" )</f>
        <v>9781609947910</v>
      </c>
      <c r="D488" s="18" t="s">
        <v>1109</v>
      </c>
      <c r="E488" s="18" t="s">
        <v>37</v>
      </c>
      <c r="F488" s="18" t="s">
        <v>1110</v>
      </c>
      <c r="G488" s="18" t="s">
        <v>39</v>
      </c>
      <c r="H488" s="18">
        <v>0.2</v>
      </c>
      <c r="I488" s="20">
        <v>4.22</v>
      </c>
      <c r="J488" s="21">
        <v>0.2</v>
      </c>
      <c r="K488" s="20">
        <f t="shared" ca="1" si="8"/>
        <v>0.84</v>
      </c>
    </row>
    <row r="489" spans="2:11">
      <c r="B489" s="18" t="str">
        <f xml:space="preserve"> TRIM( "9781609947972" )</f>
        <v>9781609947972</v>
      </c>
      <c r="C489" s="18" t="str">
        <f xml:space="preserve"> TRIM( "9781609947996" )</f>
        <v>9781609947996</v>
      </c>
      <c r="D489" s="18" t="s">
        <v>1113</v>
      </c>
      <c r="E489" s="18" t="s">
        <v>37</v>
      </c>
      <c r="F489" s="18" t="s">
        <v>1114</v>
      </c>
      <c r="G489" s="18" t="s">
        <v>39</v>
      </c>
      <c r="H489" s="18">
        <v>0.2</v>
      </c>
      <c r="I489" s="20">
        <v>8.33</v>
      </c>
      <c r="J489" s="21">
        <v>0.2</v>
      </c>
      <c r="K489" s="20">
        <f t="shared" ca="1" si="8"/>
        <v>1.67</v>
      </c>
    </row>
    <row r="490" spans="2:11">
      <c r="B490" s="18" t="str">
        <f xml:space="preserve"> TRIM( "9781609947972" )</f>
        <v>9781609947972</v>
      </c>
      <c r="C490" s="18" t="str">
        <f xml:space="preserve"> TRIM( "9781609947996" )</f>
        <v>9781609947996</v>
      </c>
      <c r="D490" s="18" t="s">
        <v>1113</v>
      </c>
      <c r="E490" s="18" t="s">
        <v>37</v>
      </c>
      <c r="F490" s="18" t="s">
        <v>1114</v>
      </c>
      <c r="G490" s="18" t="s">
        <v>40</v>
      </c>
      <c r="H490" s="18">
        <v>0.25</v>
      </c>
      <c r="I490" s="20">
        <v>0.94</v>
      </c>
      <c r="J490" s="21">
        <v>0.25</v>
      </c>
      <c r="K490" s="20">
        <f t="shared" ca="1" si="8"/>
        <v>0.24</v>
      </c>
    </row>
    <row r="491" spans="2:11">
      <c r="B491" s="18" t="str">
        <f xml:space="preserve"> TRIM( "9781609947989" )</f>
        <v>9781609947989</v>
      </c>
      <c r="C491" s="18" t="str">
        <f xml:space="preserve"> TRIM( "9781609948030" )</f>
        <v>9781609948030</v>
      </c>
      <c r="D491" s="18" t="s">
        <v>1117</v>
      </c>
      <c r="E491" s="18" t="s">
        <v>37</v>
      </c>
      <c r="F491" s="18" t="s">
        <v>1118</v>
      </c>
      <c r="G491" s="18" t="s">
        <v>39</v>
      </c>
      <c r="H491" s="18">
        <v>0.2</v>
      </c>
      <c r="I491" s="20">
        <v>9.68</v>
      </c>
      <c r="J491" s="21">
        <v>0.2</v>
      </c>
      <c r="K491" s="20">
        <f t="shared" ca="1" si="8"/>
        <v>1.94</v>
      </c>
    </row>
    <row r="492" spans="2:11">
      <c r="B492" s="18" t="str">
        <f xml:space="preserve"> TRIM( "9781609947989" )</f>
        <v>9781609947989</v>
      </c>
      <c r="C492" s="18" t="str">
        <f xml:space="preserve"> TRIM( "9781609948030" )</f>
        <v>9781609948030</v>
      </c>
      <c r="D492" s="18" t="s">
        <v>1117</v>
      </c>
      <c r="E492" s="18" t="s">
        <v>37</v>
      </c>
      <c r="F492" s="18" t="s">
        <v>1118</v>
      </c>
      <c r="G492" s="18" t="s">
        <v>40</v>
      </c>
      <c r="H492" s="18">
        <v>0.25</v>
      </c>
      <c r="I492" s="20">
        <v>41.15</v>
      </c>
      <c r="J492" s="21">
        <v>0.25</v>
      </c>
      <c r="K492" s="20">
        <f t="shared" ca="1" si="8"/>
        <v>10.29</v>
      </c>
    </row>
    <row r="493" spans="2:11">
      <c r="B493" s="18" t="str">
        <f xml:space="preserve"> TRIM( "9781609948054" )</f>
        <v>9781609948054</v>
      </c>
      <c r="C493" s="18" t="str">
        <f xml:space="preserve"> TRIM( "9781609948078" )</f>
        <v>9781609948078</v>
      </c>
      <c r="D493" s="18" t="s">
        <v>1121</v>
      </c>
      <c r="E493" s="18" t="s">
        <v>37</v>
      </c>
      <c r="F493" s="18" t="s">
        <v>1122</v>
      </c>
      <c r="G493" s="18" t="s">
        <v>39</v>
      </c>
      <c r="H493" s="18">
        <v>0.2</v>
      </c>
      <c r="I493" s="20">
        <v>13.04</v>
      </c>
      <c r="J493" s="21">
        <v>0.2</v>
      </c>
      <c r="K493" s="20">
        <f t="shared" ca="1" si="8"/>
        <v>2.61</v>
      </c>
    </row>
    <row r="494" spans="2:11">
      <c r="B494" s="18" t="str">
        <f xml:space="preserve"> TRIM( "9781609948092" )</f>
        <v>9781609948092</v>
      </c>
      <c r="C494" s="18" t="str">
        <f xml:space="preserve"> TRIM( "9781609948115" )</f>
        <v>9781609948115</v>
      </c>
      <c r="D494" s="18" t="s">
        <v>1125</v>
      </c>
      <c r="E494" s="18" t="s">
        <v>37</v>
      </c>
      <c r="F494" s="18" t="s">
        <v>1126</v>
      </c>
      <c r="G494" s="18" t="s">
        <v>39</v>
      </c>
      <c r="H494" s="18">
        <v>0.2</v>
      </c>
      <c r="I494" s="20">
        <v>4.05</v>
      </c>
      <c r="J494" s="21">
        <v>0.2</v>
      </c>
      <c r="K494" s="20">
        <f t="shared" ca="1" si="8"/>
        <v>0.81</v>
      </c>
    </row>
    <row r="495" spans="2:11">
      <c r="B495" s="18" t="str">
        <f xml:space="preserve"> TRIM( "9781609948092" )</f>
        <v>9781609948092</v>
      </c>
      <c r="C495" s="18" t="str">
        <f xml:space="preserve"> TRIM( "9781609948115" )</f>
        <v>9781609948115</v>
      </c>
      <c r="D495" s="18" t="s">
        <v>1125</v>
      </c>
      <c r="E495" s="18" t="s">
        <v>37</v>
      </c>
      <c r="F495" s="18" t="s">
        <v>1126</v>
      </c>
      <c r="G495" s="18" t="s">
        <v>40</v>
      </c>
      <c r="H495" s="18">
        <v>0.25</v>
      </c>
      <c r="I495" s="20">
        <v>0.01</v>
      </c>
      <c r="J495" s="21">
        <v>0.25</v>
      </c>
      <c r="K495" s="20">
        <f t="shared" ca="1" si="8"/>
        <v>0</v>
      </c>
    </row>
    <row r="496" spans="2:11">
      <c r="B496" s="18" t="str">
        <f xml:space="preserve"> TRIM( "9781609948221" )</f>
        <v>9781609948221</v>
      </c>
      <c r="C496" s="18" t="str">
        <f xml:space="preserve"> TRIM( "9781609948245" )</f>
        <v>9781609948245</v>
      </c>
      <c r="D496" s="18" t="s">
        <v>1129</v>
      </c>
      <c r="E496" s="18" t="s">
        <v>37</v>
      </c>
      <c r="F496" s="18" t="s">
        <v>277</v>
      </c>
      <c r="G496" s="18" t="s">
        <v>39</v>
      </c>
      <c r="H496" s="18">
        <v>0.2</v>
      </c>
      <c r="I496" s="20">
        <v>8.74</v>
      </c>
      <c r="J496" s="21">
        <v>0.2</v>
      </c>
      <c r="K496" s="20">
        <f t="shared" ca="1" si="8"/>
        <v>1.75</v>
      </c>
    </row>
    <row r="497" spans="2:11">
      <c r="B497" s="18" t="str">
        <f xml:space="preserve"> TRIM( "9781609948252" )</f>
        <v>9781609948252</v>
      </c>
      <c r="C497" s="18" t="str">
        <f xml:space="preserve"> TRIM( "9781609948276" )</f>
        <v>9781609948276</v>
      </c>
      <c r="D497" s="18" t="s">
        <v>1132</v>
      </c>
      <c r="E497" s="18" t="s">
        <v>37</v>
      </c>
      <c r="F497" s="18" t="s">
        <v>1133</v>
      </c>
      <c r="G497" s="18" t="s">
        <v>39</v>
      </c>
      <c r="H497" s="18">
        <v>0.2</v>
      </c>
      <c r="I497" s="20">
        <v>5.84</v>
      </c>
      <c r="J497" s="21">
        <v>0.2</v>
      </c>
      <c r="K497" s="20">
        <f t="shared" ca="1" si="8"/>
        <v>1.17</v>
      </c>
    </row>
    <row r="498" spans="2:11">
      <c r="B498" s="18" t="str">
        <f xml:space="preserve"> TRIM( "9781609948252" )</f>
        <v>9781609948252</v>
      </c>
      <c r="C498" s="18" t="str">
        <f xml:space="preserve"> TRIM( "9781609948276" )</f>
        <v>9781609948276</v>
      </c>
      <c r="D498" s="18" t="s">
        <v>1132</v>
      </c>
      <c r="E498" s="18" t="s">
        <v>37</v>
      </c>
      <c r="F498" s="18" t="s">
        <v>1133</v>
      </c>
      <c r="G498" s="18" t="s">
        <v>40</v>
      </c>
      <c r="H498" s="18">
        <v>0.25</v>
      </c>
      <c r="I498" s="20">
        <v>0.05</v>
      </c>
      <c r="J498" s="21">
        <v>0.25</v>
      </c>
      <c r="K498" s="20">
        <f t="shared" ca="1" si="8"/>
        <v>0.01</v>
      </c>
    </row>
    <row r="499" spans="2:11">
      <c r="B499" s="18" t="str">
        <f xml:space="preserve"> TRIM( "9781609948290" )</f>
        <v>9781609948290</v>
      </c>
      <c r="C499" s="18" t="str">
        <f xml:space="preserve"> TRIM( "9781609948313" )</f>
        <v>9781609948313</v>
      </c>
      <c r="D499" s="18" t="s">
        <v>1136</v>
      </c>
      <c r="E499" s="18" t="s">
        <v>37</v>
      </c>
      <c r="F499" s="18" t="s">
        <v>1137</v>
      </c>
      <c r="G499" s="18" t="s">
        <v>39</v>
      </c>
      <c r="H499" s="18">
        <v>0.2</v>
      </c>
      <c r="I499" s="20">
        <v>13.21</v>
      </c>
      <c r="J499" s="21">
        <v>0.2</v>
      </c>
      <c r="K499" s="20">
        <f t="shared" ca="1" si="8"/>
        <v>2.64</v>
      </c>
    </row>
    <row r="500" spans="2:11">
      <c r="B500" s="18" t="str">
        <f xml:space="preserve"> TRIM( "9781609948290" )</f>
        <v>9781609948290</v>
      </c>
      <c r="C500" s="18" t="str">
        <f xml:space="preserve"> TRIM( "9781609948313" )</f>
        <v>9781609948313</v>
      </c>
      <c r="D500" s="18" t="s">
        <v>1136</v>
      </c>
      <c r="E500" s="18" t="s">
        <v>37</v>
      </c>
      <c r="F500" s="18" t="s">
        <v>1137</v>
      </c>
      <c r="G500" s="18" t="s">
        <v>40</v>
      </c>
      <c r="H500" s="18">
        <v>0.25</v>
      </c>
      <c r="I500" s="20">
        <v>33.880000000000003</v>
      </c>
      <c r="J500" s="21">
        <v>0.25</v>
      </c>
      <c r="K500" s="20">
        <f t="shared" ca="1" si="8"/>
        <v>8.4700000000000006</v>
      </c>
    </row>
    <row r="501" spans="2:11">
      <c r="B501" s="18" t="str">
        <f xml:space="preserve"> TRIM( "9781609948337" )</f>
        <v>9781609948337</v>
      </c>
      <c r="C501" s="18" t="str">
        <f xml:space="preserve"> TRIM( "9781609948351" )</f>
        <v>9781609948351</v>
      </c>
      <c r="D501" s="18" t="s">
        <v>1140</v>
      </c>
      <c r="E501" s="18" t="s">
        <v>37</v>
      </c>
      <c r="F501" s="18" t="s">
        <v>1141</v>
      </c>
      <c r="G501" s="18" t="s">
        <v>39</v>
      </c>
      <c r="H501" s="18">
        <v>0.2</v>
      </c>
      <c r="I501" s="20">
        <v>4.66</v>
      </c>
      <c r="J501" s="21">
        <v>0.2</v>
      </c>
      <c r="K501" s="20">
        <f t="shared" ca="1" si="8"/>
        <v>0.93</v>
      </c>
    </row>
    <row r="502" spans="2:11">
      <c r="B502" s="18" t="str">
        <f xml:space="preserve"> TRIM( "9781609948375" )</f>
        <v>9781609948375</v>
      </c>
      <c r="C502" s="18" t="str">
        <f xml:space="preserve"> TRIM( "9781609948399" )</f>
        <v>9781609948399</v>
      </c>
      <c r="D502" s="18" t="s">
        <v>1144</v>
      </c>
      <c r="E502" s="18" t="s">
        <v>37</v>
      </c>
      <c r="F502" s="18" t="s">
        <v>1145</v>
      </c>
      <c r="G502" s="18" t="s">
        <v>39</v>
      </c>
      <c r="H502" s="18">
        <v>0.2</v>
      </c>
      <c r="I502" s="20">
        <v>15.46</v>
      </c>
      <c r="J502" s="21">
        <v>0.2</v>
      </c>
      <c r="K502" s="20">
        <f t="shared" ca="1" si="8"/>
        <v>3.09</v>
      </c>
    </row>
    <row r="503" spans="2:11">
      <c r="B503" s="18" t="str">
        <f xml:space="preserve"> TRIM( "9781609948849" )</f>
        <v>9781609948849</v>
      </c>
      <c r="C503" s="18" t="str">
        <f xml:space="preserve"> TRIM( "9781609948863" )</f>
        <v>9781609948863</v>
      </c>
      <c r="D503" s="18" t="s">
        <v>1148</v>
      </c>
      <c r="E503" s="18" t="s">
        <v>37</v>
      </c>
      <c r="F503" s="18" t="s">
        <v>133</v>
      </c>
      <c r="G503" s="18" t="s">
        <v>39</v>
      </c>
      <c r="H503" s="18">
        <v>0.2</v>
      </c>
      <c r="I503" s="20">
        <v>5.35</v>
      </c>
      <c r="J503" s="21">
        <v>0.2</v>
      </c>
      <c r="K503" s="20">
        <f t="shared" ca="1" si="8"/>
        <v>1.07</v>
      </c>
    </row>
    <row r="504" spans="2:11">
      <c r="B504" s="18" t="str">
        <f xml:space="preserve"> TRIM( "9781609948870" )</f>
        <v>9781609948870</v>
      </c>
      <c r="C504" s="18" t="str">
        <f xml:space="preserve"> TRIM( "9781609948894" )</f>
        <v>9781609948894</v>
      </c>
      <c r="D504" s="18" t="s">
        <v>1151</v>
      </c>
      <c r="E504" s="18" t="s">
        <v>37</v>
      </c>
      <c r="F504" s="18" t="s">
        <v>197</v>
      </c>
      <c r="G504" s="18" t="s">
        <v>39</v>
      </c>
      <c r="H504" s="18">
        <v>0.2</v>
      </c>
      <c r="I504" s="20">
        <v>3.93</v>
      </c>
      <c r="J504" s="21">
        <v>0.2</v>
      </c>
      <c r="K504" s="20">
        <f t="shared" ca="1" si="8"/>
        <v>0.79</v>
      </c>
    </row>
    <row r="505" spans="2:11">
      <c r="B505" s="18" t="str">
        <f xml:space="preserve"> TRIM( "9781609948917" )</f>
        <v>9781609948917</v>
      </c>
      <c r="C505" s="18" t="str">
        <f xml:space="preserve"> TRIM( "9781609948931" )</f>
        <v>9781609948931</v>
      </c>
      <c r="D505" s="18" t="s">
        <v>1154</v>
      </c>
      <c r="E505" s="18" t="s">
        <v>37</v>
      </c>
      <c r="F505" s="18" t="s">
        <v>1155</v>
      </c>
      <c r="G505" s="18" t="s">
        <v>39</v>
      </c>
      <c r="H505" s="18">
        <v>0.2</v>
      </c>
      <c r="I505" s="20">
        <v>5.9</v>
      </c>
      <c r="J505" s="21">
        <v>0.2</v>
      </c>
      <c r="K505" s="20">
        <f t="shared" ca="1" si="8"/>
        <v>1.18</v>
      </c>
    </row>
    <row r="506" spans="2:11">
      <c r="B506" s="18" t="str">
        <f xml:space="preserve"> TRIM( "9781609948917" )</f>
        <v>9781609948917</v>
      </c>
      <c r="C506" s="18" t="str">
        <f xml:space="preserve"> TRIM( "9781609948931" )</f>
        <v>9781609948931</v>
      </c>
      <c r="D506" s="18" t="s">
        <v>1154</v>
      </c>
      <c r="E506" s="18" t="s">
        <v>37</v>
      </c>
      <c r="F506" s="18" t="s">
        <v>1155</v>
      </c>
      <c r="G506" s="18" t="s">
        <v>40</v>
      </c>
      <c r="H506" s="18">
        <v>0.25</v>
      </c>
      <c r="I506" s="20">
        <v>1.71</v>
      </c>
      <c r="J506" s="21">
        <v>0.25</v>
      </c>
      <c r="K506" s="20">
        <f t="shared" ca="1" si="8"/>
        <v>0.43</v>
      </c>
    </row>
    <row r="507" spans="2:11">
      <c r="B507" s="18" t="str">
        <f xml:space="preserve"> TRIM( "9781609948955" )</f>
        <v>9781609948955</v>
      </c>
      <c r="C507" s="18" t="str">
        <f xml:space="preserve"> TRIM( "9781609948979" )</f>
        <v>9781609948979</v>
      </c>
      <c r="D507" s="18" t="s">
        <v>1158</v>
      </c>
      <c r="E507" s="18" t="s">
        <v>37</v>
      </c>
      <c r="F507" s="18" t="s">
        <v>1159</v>
      </c>
      <c r="G507" s="18" t="s">
        <v>39</v>
      </c>
      <c r="H507" s="18">
        <v>0.2</v>
      </c>
      <c r="I507" s="20">
        <v>3.63</v>
      </c>
      <c r="J507" s="21">
        <v>0.2</v>
      </c>
      <c r="K507" s="20">
        <f t="shared" ca="1" si="8"/>
        <v>0.73</v>
      </c>
    </row>
    <row r="508" spans="2:11">
      <c r="B508" s="18" t="str">
        <f xml:space="preserve"> TRIM( "9781609948955" )</f>
        <v>9781609948955</v>
      </c>
      <c r="C508" s="18" t="str">
        <f xml:space="preserve"> TRIM( "9781609948979" )</f>
        <v>9781609948979</v>
      </c>
      <c r="D508" s="18" t="s">
        <v>1158</v>
      </c>
      <c r="E508" s="18" t="s">
        <v>37</v>
      </c>
      <c r="F508" s="18" t="s">
        <v>1159</v>
      </c>
      <c r="G508" s="18" t="s">
        <v>40</v>
      </c>
      <c r="H508" s="18">
        <v>0.25</v>
      </c>
      <c r="I508" s="20">
        <v>0.06</v>
      </c>
      <c r="J508" s="21">
        <v>0.25</v>
      </c>
      <c r="K508" s="20">
        <f t="shared" ca="1" si="8"/>
        <v>0.02</v>
      </c>
    </row>
    <row r="509" spans="2:11">
      <c r="B509" s="18" t="str">
        <f xml:space="preserve"> TRIM( "9781609948962" )</f>
        <v>9781609948962</v>
      </c>
      <c r="C509" s="18" t="str">
        <f xml:space="preserve"> TRIM( "9781609949020" )</f>
        <v>9781609949020</v>
      </c>
      <c r="D509" s="18" t="s">
        <v>1162</v>
      </c>
      <c r="E509" s="18" t="s">
        <v>37</v>
      </c>
      <c r="F509" s="18" t="s">
        <v>1163</v>
      </c>
      <c r="G509" s="18" t="s">
        <v>39</v>
      </c>
      <c r="H509" s="18">
        <v>0.2</v>
      </c>
      <c r="I509" s="20">
        <v>11.31</v>
      </c>
      <c r="J509" s="21">
        <v>0.2</v>
      </c>
      <c r="K509" s="20">
        <f t="shared" ca="1" si="8"/>
        <v>2.2599999999999998</v>
      </c>
    </row>
    <row r="510" spans="2:11">
      <c r="B510" s="18" t="str">
        <f xml:space="preserve"> TRIM( "9781609948962" )</f>
        <v>9781609948962</v>
      </c>
      <c r="C510" s="18" t="str">
        <f xml:space="preserve"> TRIM( "9781609949020" )</f>
        <v>9781609949020</v>
      </c>
      <c r="D510" s="18" t="s">
        <v>1162</v>
      </c>
      <c r="E510" s="18" t="s">
        <v>37</v>
      </c>
      <c r="F510" s="18" t="s">
        <v>1163</v>
      </c>
      <c r="G510" s="18" t="s">
        <v>40</v>
      </c>
      <c r="H510" s="18">
        <v>0.25</v>
      </c>
      <c r="I510" s="20">
        <v>0.6</v>
      </c>
      <c r="J510" s="21">
        <v>0.25</v>
      </c>
      <c r="K510" s="20">
        <f t="shared" ca="1" si="8"/>
        <v>0.15</v>
      </c>
    </row>
    <row r="511" spans="2:11">
      <c r="B511" s="18" t="str">
        <f xml:space="preserve"> TRIM( "9781609949044" )</f>
        <v>9781609949044</v>
      </c>
      <c r="C511" s="18" t="str">
        <f xml:space="preserve"> TRIM( "9781609949068" )</f>
        <v>9781609949068</v>
      </c>
      <c r="D511" s="18" t="s">
        <v>1166</v>
      </c>
      <c r="E511" s="18" t="s">
        <v>37</v>
      </c>
      <c r="F511" s="18" t="s">
        <v>1167</v>
      </c>
      <c r="G511" s="18" t="s">
        <v>39</v>
      </c>
      <c r="H511" s="18">
        <v>0.2</v>
      </c>
      <c r="I511" s="20">
        <v>2.82</v>
      </c>
      <c r="J511" s="21">
        <v>0.2</v>
      </c>
      <c r="K511" s="20">
        <f t="shared" ca="1" si="8"/>
        <v>0.56000000000000005</v>
      </c>
    </row>
    <row r="512" spans="2:11">
      <c r="B512" s="18" t="str">
        <f xml:space="preserve"> TRIM( "9781609949044" )</f>
        <v>9781609949044</v>
      </c>
      <c r="C512" s="18" t="str">
        <f xml:space="preserve"> TRIM( "9781609949068" )</f>
        <v>9781609949068</v>
      </c>
      <c r="D512" s="18" t="s">
        <v>1166</v>
      </c>
      <c r="E512" s="18" t="s">
        <v>37</v>
      </c>
      <c r="F512" s="18" t="s">
        <v>1167</v>
      </c>
      <c r="G512" s="18" t="s">
        <v>40</v>
      </c>
      <c r="H512" s="18">
        <v>0.25</v>
      </c>
      <c r="I512" s="20">
        <v>0.26</v>
      </c>
      <c r="J512" s="21">
        <v>0.25</v>
      </c>
      <c r="K512" s="20">
        <f t="shared" ca="1" si="8"/>
        <v>7.0000000000000007E-2</v>
      </c>
    </row>
    <row r="513" spans="2:11">
      <c r="B513" s="18" t="str">
        <f xml:space="preserve"> TRIM( "9781609949112" )</f>
        <v>9781609949112</v>
      </c>
      <c r="C513" s="18" t="str">
        <f xml:space="preserve"> TRIM( "9781609949136" )</f>
        <v>9781609949136</v>
      </c>
      <c r="D513" s="18" t="s">
        <v>1170</v>
      </c>
      <c r="E513" s="18" t="s">
        <v>37</v>
      </c>
      <c r="F513" s="18" t="s">
        <v>1171</v>
      </c>
      <c r="G513" s="18" t="s">
        <v>39</v>
      </c>
      <c r="H513" s="18">
        <v>0.2</v>
      </c>
      <c r="I513" s="20">
        <v>3.42</v>
      </c>
      <c r="J513" s="21">
        <v>0.2</v>
      </c>
      <c r="K513" s="20">
        <f t="shared" ca="1" si="8"/>
        <v>0.68</v>
      </c>
    </row>
    <row r="514" spans="2:11">
      <c r="B514" s="18" t="str">
        <f xml:space="preserve"> TRIM( "9781609949150" )</f>
        <v>9781609949150</v>
      </c>
      <c r="C514" s="18" t="str">
        <f xml:space="preserve"> TRIM( "9781609949174" )</f>
        <v>9781609949174</v>
      </c>
      <c r="D514" s="18" t="s">
        <v>1174</v>
      </c>
      <c r="E514" s="18" t="s">
        <v>37</v>
      </c>
      <c r="F514" s="18" t="s">
        <v>1175</v>
      </c>
      <c r="G514" s="18" t="s">
        <v>39</v>
      </c>
      <c r="H514" s="18">
        <v>0.2</v>
      </c>
      <c r="I514" s="20">
        <v>3.76</v>
      </c>
      <c r="J514" s="21">
        <v>0.2</v>
      </c>
      <c r="K514" s="20">
        <f t="shared" ca="1" si="8"/>
        <v>0.75</v>
      </c>
    </row>
    <row r="515" spans="2:11">
      <c r="B515" s="18" t="str">
        <f xml:space="preserve"> TRIM( "9781609949198" )</f>
        <v>9781609949198</v>
      </c>
      <c r="C515" s="18" t="str">
        <f xml:space="preserve"> TRIM( "9781609949211" )</f>
        <v>9781609949211</v>
      </c>
      <c r="D515" s="18" t="s">
        <v>1178</v>
      </c>
      <c r="E515" s="18" t="s">
        <v>37</v>
      </c>
      <c r="F515" s="18" t="s">
        <v>1179</v>
      </c>
      <c r="G515" s="18" t="s">
        <v>39</v>
      </c>
      <c r="H515" s="18">
        <v>0.2</v>
      </c>
      <c r="I515" s="20">
        <v>3.22</v>
      </c>
      <c r="J515" s="21">
        <v>0.2</v>
      </c>
      <c r="K515" s="20">
        <f t="shared" ca="1" si="8"/>
        <v>0.64</v>
      </c>
    </row>
    <row r="516" spans="2:11">
      <c r="B516" s="18" t="str">
        <f xml:space="preserve"> TRIM( "9781609949198" )</f>
        <v>9781609949198</v>
      </c>
      <c r="C516" s="18" t="str">
        <f xml:space="preserve"> TRIM( "9781609949211" )</f>
        <v>9781609949211</v>
      </c>
      <c r="D516" s="18" t="s">
        <v>1178</v>
      </c>
      <c r="E516" s="18" t="s">
        <v>37</v>
      </c>
      <c r="F516" s="18" t="s">
        <v>1179</v>
      </c>
      <c r="G516" s="18" t="s">
        <v>40</v>
      </c>
      <c r="H516" s="18">
        <v>0.25</v>
      </c>
      <c r="I516" s="20">
        <v>0.02</v>
      </c>
      <c r="J516" s="21">
        <v>0.25</v>
      </c>
      <c r="K516" s="20">
        <f t="shared" ca="1" si="8"/>
        <v>0.01</v>
      </c>
    </row>
    <row r="517" spans="2:11">
      <c r="B517" s="18" t="str">
        <f xml:space="preserve"> TRIM( "9781609949235" )</f>
        <v>9781609949235</v>
      </c>
      <c r="C517" s="18" t="str">
        <f xml:space="preserve"> TRIM( "9781609949259" )</f>
        <v>9781609949259</v>
      </c>
      <c r="D517" s="18" t="s">
        <v>1182</v>
      </c>
      <c r="E517" s="18" t="s">
        <v>37</v>
      </c>
      <c r="F517" s="18" t="s">
        <v>172</v>
      </c>
      <c r="G517" s="18" t="s">
        <v>39</v>
      </c>
      <c r="H517" s="18">
        <v>0.2</v>
      </c>
      <c r="I517" s="20">
        <v>8.16</v>
      </c>
      <c r="J517" s="21">
        <v>0.2</v>
      </c>
      <c r="K517" s="20">
        <f t="shared" ca="1" si="8"/>
        <v>1.63</v>
      </c>
    </row>
    <row r="518" spans="2:11">
      <c r="B518" s="18" t="str">
        <f xml:space="preserve"> TRIM( "9781609949235" )</f>
        <v>9781609949235</v>
      </c>
      <c r="C518" s="18" t="str">
        <f xml:space="preserve"> TRIM( "9781609949259" )</f>
        <v>9781609949259</v>
      </c>
      <c r="D518" s="18" t="s">
        <v>1182</v>
      </c>
      <c r="E518" s="18" t="s">
        <v>37</v>
      </c>
      <c r="F518" s="18" t="s">
        <v>172</v>
      </c>
      <c r="G518" s="18" t="s">
        <v>40</v>
      </c>
      <c r="H518" s="18">
        <v>0.25</v>
      </c>
      <c r="I518" s="20">
        <v>0.63</v>
      </c>
      <c r="J518" s="21">
        <v>0.25</v>
      </c>
      <c r="K518" s="20">
        <f t="shared" ca="1" si="8"/>
        <v>0.16</v>
      </c>
    </row>
    <row r="519" spans="2:11">
      <c r="B519" s="18" t="str">
        <f xml:space="preserve"> TRIM( "9781609949273" )</f>
        <v>9781609949273</v>
      </c>
      <c r="C519" s="18" t="str">
        <f xml:space="preserve"> TRIM( "9781609949297" )</f>
        <v>9781609949297</v>
      </c>
      <c r="D519" s="18" t="s">
        <v>1185</v>
      </c>
      <c r="E519" s="18" t="s">
        <v>37</v>
      </c>
      <c r="F519" s="18" t="s">
        <v>1186</v>
      </c>
      <c r="G519" s="18" t="s">
        <v>39</v>
      </c>
      <c r="H519" s="18">
        <v>0.2</v>
      </c>
      <c r="I519" s="20">
        <v>26.55</v>
      </c>
      <c r="J519" s="21">
        <v>0.2</v>
      </c>
      <c r="K519" s="20">
        <f t="shared" ca="1" si="8"/>
        <v>5.31</v>
      </c>
    </row>
    <row r="520" spans="2:11">
      <c r="B520" s="18" t="str">
        <f xml:space="preserve"> TRIM( "9781609949273" )</f>
        <v>9781609949273</v>
      </c>
      <c r="C520" s="18" t="str">
        <f xml:space="preserve"> TRIM( "9781609949297" )</f>
        <v>9781609949297</v>
      </c>
      <c r="D520" s="18" t="s">
        <v>1185</v>
      </c>
      <c r="E520" s="18" t="s">
        <v>37</v>
      </c>
      <c r="F520" s="18" t="s">
        <v>1186</v>
      </c>
      <c r="G520" s="18" t="s">
        <v>40</v>
      </c>
      <c r="H520" s="18">
        <v>0.25</v>
      </c>
      <c r="I520" s="20">
        <v>0.16</v>
      </c>
      <c r="J520" s="21">
        <v>0.25</v>
      </c>
      <c r="K520" s="20">
        <f t="shared" ca="1" si="8"/>
        <v>0.04</v>
      </c>
    </row>
    <row r="521" spans="2:11">
      <c r="B521" s="18" t="str">
        <f xml:space="preserve"> TRIM( "9781609949327" )</f>
        <v>9781609949327</v>
      </c>
      <c r="C521" s="18" t="str">
        <f xml:space="preserve"> TRIM( "9781609949549" )</f>
        <v>9781609949549</v>
      </c>
      <c r="D521" s="18" t="s">
        <v>1189</v>
      </c>
      <c r="E521" s="18" t="s">
        <v>37</v>
      </c>
      <c r="F521" s="18" t="s">
        <v>1190</v>
      </c>
      <c r="G521" s="18" t="s">
        <v>39</v>
      </c>
      <c r="H521" s="18">
        <v>0.2</v>
      </c>
      <c r="I521" s="20">
        <v>4.3600000000000003</v>
      </c>
      <c r="J521" s="21">
        <v>0.2</v>
      </c>
      <c r="K521" s="20">
        <f t="shared" ca="1" si="8"/>
        <v>0.87</v>
      </c>
    </row>
    <row r="522" spans="2:11">
      <c r="B522" s="18" t="str">
        <f xml:space="preserve"> TRIM( "9781609949327" )</f>
        <v>9781609949327</v>
      </c>
      <c r="C522" s="18" t="str">
        <f xml:space="preserve"> TRIM( "9781609949549" )</f>
        <v>9781609949549</v>
      </c>
      <c r="D522" s="18" t="s">
        <v>1189</v>
      </c>
      <c r="E522" s="18" t="s">
        <v>37</v>
      </c>
      <c r="F522" s="18" t="s">
        <v>1190</v>
      </c>
      <c r="G522" s="18" t="s">
        <v>40</v>
      </c>
      <c r="H522" s="18">
        <v>0.25</v>
      </c>
      <c r="I522" s="20">
        <v>1.78</v>
      </c>
      <c r="J522" s="21">
        <v>0.25</v>
      </c>
      <c r="K522" s="20">
        <f t="shared" ca="1" si="8"/>
        <v>0.45</v>
      </c>
    </row>
    <row r="523" spans="2:11">
      <c r="B523" s="18" t="str">
        <f xml:space="preserve"> TRIM( "9781609949587" )</f>
        <v>9781609949587</v>
      </c>
      <c r="C523" s="18" t="str">
        <f xml:space="preserve"> TRIM( " " )</f>
        <v/>
      </c>
      <c r="D523" s="18" t="s">
        <v>1192</v>
      </c>
      <c r="E523" s="18" t="s">
        <v>37</v>
      </c>
      <c r="F523" s="18" t="s">
        <v>1193</v>
      </c>
      <c r="G523" s="18" t="s">
        <v>39</v>
      </c>
      <c r="H523" s="18">
        <v>0.2</v>
      </c>
      <c r="I523" s="20">
        <v>5.59</v>
      </c>
      <c r="J523" s="21">
        <v>0.2</v>
      </c>
      <c r="K523" s="20">
        <f t="shared" ca="1" si="8"/>
        <v>1.1200000000000001</v>
      </c>
    </row>
    <row r="524" spans="2:11">
      <c r="B524" s="18" t="str">
        <f xml:space="preserve"> TRIM( "9781609949600" )</f>
        <v>9781609949600</v>
      </c>
      <c r="C524" s="18" t="str">
        <f xml:space="preserve"> TRIM( "9781609949624" )</f>
        <v>9781609949624</v>
      </c>
      <c r="D524" s="18" t="s">
        <v>1196</v>
      </c>
      <c r="E524" s="18" t="s">
        <v>37</v>
      </c>
      <c r="F524" s="18" t="s">
        <v>943</v>
      </c>
      <c r="G524" s="18" t="s">
        <v>39</v>
      </c>
      <c r="H524" s="18">
        <v>0.2</v>
      </c>
      <c r="I524" s="20">
        <v>10.52</v>
      </c>
      <c r="J524" s="21">
        <v>0.2</v>
      </c>
      <c r="K524" s="20">
        <f t="shared" ca="1" si="8"/>
        <v>2.1</v>
      </c>
    </row>
    <row r="525" spans="2:11">
      <c r="B525" s="18" t="str">
        <f xml:space="preserve"> TRIM( "9781609949648" )</f>
        <v>9781609949648</v>
      </c>
      <c r="C525" s="18" t="str">
        <f xml:space="preserve"> TRIM( "9781609949662" )</f>
        <v>9781609949662</v>
      </c>
      <c r="D525" s="18" t="s">
        <v>1199</v>
      </c>
      <c r="E525" s="18" t="s">
        <v>37</v>
      </c>
      <c r="F525" s="18" t="s">
        <v>1200</v>
      </c>
      <c r="G525" s="18" t="s">
        <v>39</v>
      </c>
      <c r="H525" s="18">
        <v>0.2</v>
      </c>
      <c r="I525" s="20">
        <v>9.11</v>
      </c>
      <c r="J525" s="21">
        <v>0.2</v>
      </c>
      <c r="K525" s="20">
        <f t="shared" ca="1" si="8"/>
        <v>1.82</v>
      </c>
    </row>
    <row r="526" spans="2:11">
      <c r="B526" s="18" t="str">
        <f xml:space="preserve"> TRIM( "9781609949648" )</f>
        <v>9781609949648</v>
      </c>
      <c r="C526" s="18" t="str">
        <f xml:space="preserve"> TRIM( "9781609949662" )</f>
        <v>9781609949662</v>
      </c>
      <c r="D526" s="18" t="s">
        <v>1199</v>
      </c>
      <c r="E526" s="18" t="s">
        <v>37</v>
      </c>
      <c r="F526" s="18" t="s">
        <v>1200</v>
      </c>
      <c r="G526" s="18" t="s">
        <v>40</v>
      </c>
      <c r="H526" s="18">
        <v>0.25</v>
      </c>
      <c r="I526" s="20">
        <v>0.16</v>
      </c>
      <c r="J526" s="21">
        <v>0.25</v>
      </c>
      <c r="K526" s="20">
        <f t="shared" ca="1" si="8"/>
        <v>0.04</v>
      </c>
    </row>
    <row r="527" spans="2:11">
      <c r="B527" s="18" t="str">
        <f xml:space="preserve"> TRIM( "9781609949686" )</f>
        <v>9781609949686</v>
      </c>
      <c r="C527" s="18" t="str">
        <f xml:space="preserve"> TRIM( "9781609949709" )</f>
        <v>9781609949709</v>
      </c>
      <c r="D527" s="18" t="s">
        <v>1203</v>
      </c>
      <c r="E527" s="18" t="s">
        <v>37</v>
      </c>
      <c r="F527" s="18" t="s">
        <v>1029</v>
      </c>
      <c r="G527" s="18" t="s">
        <v>39</v>
      </c>
      <c r="H527" s="18">
        <v>0.2</v>
      </c>
      <c r="I527" s="20">
        <v>13.97</v>
      </c>
      <c r="J527" s="21">
        <v>0.2</v>
      </c>
      <c r="K527" s="20">
        <f t="shared" ca="1" si="8"/>
        <v>2.79</v>
      </c>
    </row>
    <row r="528" spans="2:11">
      <c r="B528" s="18" t="str">
        <f xml:space="preserve"> TRIM( "9781609949686" )</f>
        <v>9781609949686</v>
      </c>
      <c r="C528" s="18" t="str">
        <f xml:space="preserve"> TRIM( "9781609949709" )</f>
        <v>9781609949709</v>
      </c>
      <c r="D528" s="18" t="s">
        <v>1203</v>
      </c>
      <c r="E528" s="18" t="s">
        <v>37</v>
      </c>
      <c r="F528" s="18" t="s">
        <v>1029</v>
      </c>
      <c r="G528" s="18" t="s">
        <v>40</v>
      </c>
      <c r="H528" s="18">
        <v>0.25</v>
      </c>
      <c r="I528" s="20">
        <v>0.75</v>
      </c>
      <c r="J528" s="21">
        <v>0.25</v>
      </c>
      <c r="K528" s="20">
        <f t="shared" ref="K528:K591" ca="1" si="9" xml:space="preserve"> ROUND( ( INDIRECT( ADDRESS( ROW(), COLUMN()- 2 ))) * ( INDIRECT( ADDRESS( ROW(), COLUMN()- 1 ))), 2 )</f>
        <v>0.19</v>
      </c>
    </row>
    <row r="529" spans="2:11">
      <c r="B529" s="18" t="str">
        <f xml:space="preserve"> TRIM( "9781609949723" )</f>
        <v>9781609949723</v>
      </c>
      <c r="C529" s="18" t="str">
        <f xml:space="preserve"> TRIM( "9781609949747" )</f>
        <v>9781609949747</v>
      </c>
      <c r="D529" s="18" t="s">
        <v>1206</v>
      </c>
      <c r="E529" s="18" t="s">
        <v>37</v>
      </c>
      <c r="F529" s="18" t="s">
        <v>401</v>
      </c>
      <c r="G529" s="18" t="s">
        <v>39</v>
      </c>
      <c r="H529" s="18">
        <v>0.2</v>
      </c>
      <c r="I529" s="20">
        <v>2.86</v>
      </c>
      <c r="J529" s="21">
        <v>0.2</v>
      </c>
      <c r="K529" s="20">
        <f t="shared" ca="1" si="9"/>
        <v>0.56999999999999995</v>
      </c>
    </row>
    <row r="530" spans="2:11">
      <c r="B530" s="18" t="str">
        <f xml:space="preserve"> TRIM( "9781609949723" )</f>
        <v>9781609949723</v>
      </c>
      <c r="C530" s="18" t="str">
        <f xml:space="preserve"> TRIM( "9781609949747" )</f>
        <v>9781609949747</v>
      </c>
      <c r="D530" s="18" t="s">
        <v>1206</v>
      </c>
      <c r="E530" s="18" t="s">
        <v>37</v>
      </c>
      <c r="F530" s="18" t="s">
        <v>401</v>
      </c>
      <c r="G530" s="18" t="s">
        <v>40</v>
      </c>
      <c r="H530" s="18">
        <v>0.25</v>
      </c>
      <c r="I530" s="20">
        <v>4.84</v>
      </c>
      <c r="J530" s="21">
        <v>0.25</v>
      </c>
      <c r="K530" s="20">
        <f t="shared" ca="1" si="9"/>
        <v>1.21</v>
      </c>
    </row>
    <row r="531" spans="2:11">
      <c r="B531" s="18" t="str">
        <f xml:space="preserve"> TRIM( "9781609949778" )</f>
        <v>9781609949778</v>
      </c>
      <c r="C531" s="18" t="str">
        <f xml:space="preserve"> TRIM( "9781609949792" )</f>
        <v>9781609949792</v>
      </c>
      <c r="D531" s="18" t="s">
        <v>1209</v>
      </c>
      <c r="E531" s="18" t="s">
        <v>37</v>
      </c>
      <c r="F531" s="18" t="s">
        <v>1210</v>
      </c>
      <c r="G531" s="18" t="s">
        <v>39</v>
      </c>
      <c r="H531" s="18">
        <v>0.2</v>
      </c>
      <c r="I531" s="20">
        <v>26.06</v>
      </c>
      <c r="J531" s="21">
        <v>0.2</v>
      </c>
      <c r="K531" s="20">
        <f t="shared" ca="1" si="9"/>
        <v>5.21</v>
      </c>
    </row>
    <row r="532" spans="2:11">
      <c r="B532" s="18" t="str">
        <f xml:space="preserve"> TRIM( "9781609949778" )</f>
        <v>9781609949778</v>
      </c>
      <c r="C532" s="18" t="str">
        <f xml:space="preserve"> TRIM( "9781609949792" )</f>
        <v>9781609949792</v>
      </c>
      <c r="D532" s="18" t="s">
        <v>1209</v>
      </c>
      <c r="E532" s="18" t="s">
        <v>37</v>
      </c>
      <c r="F532" s="18" t="s">
        <v>1210</v>
      </c>
      <c r="G532" s="18" t="s">
        <v>40</v>
      </c>
      <c r="H532" s="18">
        <v>0.25</v>
      </c>
      <c r="I532" s="20">
        <v>0.05</v>
      </c>
      <c r="J532" s="21">
        <v>0.25</v>
      </c>
      <c r="K532" s="20">
        <f t="shared" ca="1" si="9"/>
        <v>0.01</v>
      </c>
    </row>
    <row r="533" spans="2:11">
      <c r="B533" s="18" t="str">
        <f xml:space="preserve"> TRIM( "9781609949815" )</f>
        <v>9781609949815</v>
      </c>
      <c r="C533" s="18" t="str">
        <f xml:space="preserve"> TRIM( "9781609949839" )</f>
        <v>9781609949839</v>
      </c>
      <c r="D533" s="18" t="s">
        <v>1213</v>
      </c>
      <c r="E533" s="18" t="s">
        <v>37</v>
      </c>
      <c r="F533" s="18" t="s">
        <v>1214</v>
      </c>
      <c r="G533" s="18" t="s">
        <v>39</v>
      </c>
      <c r="H533" s="18">
        <v>0.2</v>
      </c>
      <c r="I533" s="20">
        <v>122.47</v>
      </c>
      <c r="J533" s="21">
        <v>0.2</v>
      </c>
      <c r="K533" s="20">
        <f t="shared" ca="1" si="9"/>
        <v>24.49</v>
      </c>
    </row>
    <row r="534" spans="2:11">
      <c r="B534" s="18" t="str">
        <f xml:space="preserve"> TRIM( "9781609949815" )</f>
        <v>9781609949815</v>
      </c>
      <c r="C534" s="18" t="str">
        <f xml:space="preserve"> TRIM( "9781609949839" )</f>
        <v>9781609949839</v>
      </c>
      <c r="D534" s="18" t="s">
        <v>1213</v>
      </c>
      <c r="E534" s="18" t="s">
        <v>37</v>
      </c>
      <c r="F534" s="18" t="s">
        <v>1214</v>
      </c>
      <c r="G534" s="18" t="s">
        <v>40</v>
      </c>
      <c r="H534" s="18">
        <v>0.25</v>
      </c>
      <c r="I534" s="20">
        <v>10.25</v>
      </c>
      <c r="J534" s="21">
        <v>0.25</v>
      </c>
      <c r="K534" s="20">
        <f t="shared" ca="1" si="9"/>
        <v>2.56</v>
      </c>
    </row>
    <row r="535" spans="2:11">
      <c r="B535" s="18" t="str">
        <f xml:space="preserve"> TRIM( "9781609949853" )</f>
        <v>9781609949853</v>
      </c>
      <c r="C535" s="18" t="str">
        <f xml:space="preserve"> TRIM( "9781609949877" )</f>
        <v>9781609949877</v>
      </c>
      <c r="D535" s="18" t="s">
        <v>1217</v>
      </c>
      <c r="E535" s="18" t="s">
        <v>37</v>
      </c>
      <c r="F535" s="18" t="s">
        <v>1218</v>
      </c>
      <c r="G535" s="18" t="s">
        <v>39</v>
      </c>
      <c r="H535" s="18">
        <v>0.2</v>
      </c>
      <c r="I535" s="20">
        <v>5.94</v>
      </c>
      <c r="J535" s="21">
        <v>0.2</v>
      </c>
      <c r="K535" s="20">
        <f t="shared" ca="1" si="9"/>
        <v>1.19</v>
      </c>
    </row>
    <row r="536" spans="2:11">
      <c r="B536" s="18" t="str">
        <f xml:space="preserve"> TRIM( "9781609949853" )</f>
        <v>9781609949853</v>
      </c>
      <c r="C536" s="18" t="str">
        <f xml:space="preserve"> TRIM( "9781609949877" )</f>
        <v>9781609949877</v>
      </c>
      <c r="D536" s="18" t="s">
        <v>1217</v>
      </c>
      <c r="E536" s="18" t="s">
        <v>37</v>
      </c>
      <c r="F536" s="18" t="s">
        <v>1218</v>
      </c>
      <c r="G536" s="18" t="s">
        <v>40</v>
      </c>
      <c r="H536" s="18">
        <v>0.25</v>
      </c>
      <c r="I536" s="20">
        <v>32.25</v>
      </c>
      <c r="J536" s="21">
        <v>0.25</v>
      </c>
      <c r="K536" s="20">
        <f t="shared" ca="1" si="9"/>
        <v>8.06</v>
      </c>
    </row>
    <row r="537" spans="2:11">
      <c r="B537" s="18" t="str">
        <f xml:space="preserve"> TRIM( "9781609949891" )</f>
        <v>9781609949891</v>
      </c>
      <c r="C537" s="18" t="str">
        <f xml:space="preserve"> TRIM( "9781609949914" )</f>
        <v>9781609949914</v>
      </c>
      <c r="D537" s="18" t="s">
        <v>1221</v>
      </c>
      <c r="E537" s="18" t="s">
        <v>37</v>
      </c>
      <c r="F537" s="18" t="s">
        <v>1222</v>
      </c>
      <c r="G537" s="18" t="s">
        <v>39</v>
      </c>
      <c r="H537" s="18">
        <v>0.2</v>
      </c>
      <c r="I537" s="20">
        <v>23.52</v>
      </c>
      <c r="J537" s="21">
        <v>0.2</v>
      </c>
      <c r="K537" s="20">
        <f t="shared" ca="1" si="9"/>
        <v>4.7</v>
      </c>
    </row>
    <row r="538" spans="2:11">
      <c r="B538" s="18" t="str">
        <f xml:space="preserve"> TRIM( "9781609949891" )</f>
        <v>9781609949891</v>
      </c>
      <c r="C538" s="18" t="str">
        <f xml:space="preserve"> TRIM( "9781609949914" )</f>
        <v>9781609949914</v>
      </c>
      <c r="D538" s="18" t="s">
        <v>1221</v>
      </c>
      <c r="E538" s="18" t="s">
        <v>37</v>
      </c>
      <c r="F538" s="18" t="s">
        <v>1222</v>
      </c>
      <c r="G538" s="18" t="s">
        <v>40</v>
      </c>
      <c r="H538" s="18">
        <v>0.25</v>
      </c>
      <c r="I538" s="20">
        <v>12.04</v>
      </c>
      <c r="J538" s="21">
        <v>0.25</v>
      </c>
      <c r="K538" s="20">
        <f t="shared" ca="1" si="9"/>
        <v>3.01</v>
      </c>
    </row>
    <row r="539" spans="2:11">
      <c r="B539" s="18" t="str">
        <f xml:space="preserve"> TRIM( "9781609949938" )</f>
        <v>9781609949938</v>
      </c>
      <c r="C539" s="18" t="str">
        <f xml:space="preserve"> TRIM( "9781609949952" )</f>
        <v>9781609949952</v>
      </c>
      <c r="D539" s="18" t="s">
        <v>1225</v>
      </c>
      <c r="E539" s="18" t="s">
        <v>37</v>
      </c>
      <c r="F539" s="18" t="s">
        <v>1226</v>
      </c>
      <c r="G539" s="18" t="s">
        <v>39</v>
      </c>
      <c r="H539" s="18">
        <v>0.2</v>
      </c>
      <c r="I539" s="20">
        <v>24.39</v>
      </c>
      <c r="J539" s="21">
        <v>0.2</v>
      </c>
      <c r="K539" s="20">
        <f t="shared" ca="1" si="9"/>
        <v>4.88</v>
      </c>
    </row>
    <row r="540" spans="2:11">
      <c r="B540" s="18" t="str">
        <f xml:space="preserve"> TRIM( "9781609949938" )</f>
        <v>9781609949938</v>
      </c>
      <c r="C540" s="18" t="str">
        <f xml:space="preserve"> TRIM( "9781609949952" )</f>
        <v>9781609949952</v>
      </c>
      <c r="D540" s="18" t="s">
        <v>1225</v>
      </c>
      <c r="E540" s="18" t="s">
        <v>37</v>
      </c>
      <c r="F540" s="18" t="s">
        <v>1226</v>
      </c>
      <c r="G540" s="18" t="s">
        <v>40</v>
      </c>
      <c r="H540" s="18">
        <v>0.25</v>
      </c>
      <c r="I540" s="20">
        <v>2.06</v>
      </c>
      <c r="J540" s="21">
        <v>0.25</v>
      </c>
      <c r="K540" s="20">
        <f t="shared" ca="1" si="9"/>
        <v>0.52</v>
      </c>
    </row>
    <row r="541" spans="2:11">
      <c r="B541" s="18" t="str">
        <f xml:space="preserve"> TRIM( "9781626560246" )</f>
        <v>9781626560246</v>
      </c>
      <c r="C541" s="18" t="str">
        <f xml:space="preserve"> TRIM( "9781626560260" )</f>
        <v>9781626560260</v>
      </c>
      <c r="D541" s="18" t="s">
        <v>1229</v>
      </c>
      <c r="E541" s="18" t="s">
        <v>37</v>
      </c>
      <c r="F541" s="18" t="s">
        <v>1230</v>
      </c>
      <c r="G541" s="18" t="s">
        <v>39</v>
      </c>
      <c r="H541" s="18">
        <v>0.2</v>
      </c>
      <c r="I541" s="20">
        <v>7.88</v>
      </c>
      <c r="J541" s="21">
        <v>0.2</v>
      </c>
      <c r="K541" s="20">
        <f t="shared" ca="1" si="9"/>
        <v>1.58</v>
      </c>
    </row>
    <row r="542" spans="2:11">
      <c r="B542" s="18" t="str">
        <f xml:space="preserve"> TRIM( "9781626560246" )</f>
        <v>9781626560246</v>
      </c>
      <c r="C542" s="18" t="str">
        <f xml:space="preserve"> TRIM( "9781626560260" )</f>
        <v>9781626560260</v>
      </c>
      <c r="D542" s="18" t="s">
        <v>1229</v>
      </c>
      <c r="E542" s="18" t="s">
        <v>37</v>
      </c>
      <c r="F542" s="18" t="s">
        <v>1230</v>
      </c>
      <c r="G542" s="18" t="s">
        <v>40</v>
      </c>
      <c r="H542" s="18">
        <v>0.25</v>
      </c>
      <c r="I542" s="20">
        <v>0.05</v>
      </c>
      <c r="J542" s="21">
        <v>0.25</v>
      </c>
      <c r="K542" s="20">
        <f t="shared" ca="1" si="9"/>
        <v>0.01</v>
      </c>
    </row>
    <row r="543" spans="2:11">
      <c r="B543" s="18" t="str">
        <f xml:space="preserve"> TRIM( "9781626560284" )</f>
        <v>9781626560284</v>
      </c>
      <c r="C543" s="18" t="str">
        <f xml:space="preserve"> TRIM( "9781626560307" )</f>
        <v>9781626560307</v>
      </c>
      <c r="D543" s="18" t="s">
        <v>1233</v>
      </c>
      <c r="E543" s="18" t="s">
        <v>37</v>
      </c>
      <c r="F543" s="18" t="s">
        <v>1234</v>
      </c>
      <c r="G543" s="18" t="s">
        <v>39</v>
      </c>
      <c r="H543" s="18">
        <v>0.2</v>
      </c>
      <c r="I543" s="20">
        <v>5.1100000000000003</v>
      </c>
      <c r="J543" s="21">
        <v>0.2</v>
      </c>
      <c r="K543" s="20">
        <f t="shared" ca="1" si="9"/>
        <v>1.02</v>
      </c>
    </row>
    <row r="544" spans="2:11">
      <c r="B544" s="18" t="str">
        <f xml:space="preserve"> TRIM( "9781626560321" )</f>
        <v>9781626560321</v>
      </c>
      <c r="C544" s="18" t="str">
        <f xml:space="preserve"> TRIM( "9781626560345" )</f>
        <v>9781626560345</v>
      </c>
      <c r="D544" s="18" t="s">
        <v>1237</v>
      </c>
      <c r="E544" s="18" t="s">
        <v>37</v>
      </c>
      <c r="F544" s="18" t="s">
        <v>1238</v>
      </c>
      <c r="G544" s="18" t="s">
        <v>39</v>
      </c>
      <c r="H544" s="18">
        <v>0.2</v>
      </c>
      <c r="I544" s="20">
        <v>3.45</v>
      </c>
      <c r="J544" s="21">
        <v>0.2</v>
      </c>
      <c r="K544" s="20">
        <f t="shared" ca="1" si="9"/>
        <v>0.69</v>
      </c>
    </row>
    <row r="545" spans="2:11">
      <c r="B545" s="18" t="str">
        <f xml:space="preserve"> TRIM( "9781626560437" )</f>
        <v>9781626560437</v>
      </c>
      <c r="C545" s="18" t="str">
        <f xml:space="preserve"> TRIM( "9781626560451" )</f>
        <v>9781626560451</v>
      </c>
      <c r="D545" s="18" t="s">
        <v>1241</v>
      </c>
      <c r="E545" s="18" t="s">
        <v>37</v>
      </c>
      <c r="F545" s="18" t="s">
        <v>1242</v>
      </c>
      <c r="G545" s="18" t="s">
        <v>39</v>
      </c>
      <c r="H545" s="18">
        <v>0.2</v>
      </c>
      <c r="I545" s="20">
        <v>3.72</v>
      </c>
      <c r="J545" s="21">
        <v>0.2</v>
      </c>
      <c r="K545" s="20">
        <f t="shared" ca="1" si="9"/>
        <v>0.74</v>
      </c>
    </row>
    <row r="546" spans="2:11">
      <c r="B546" s="18" t="str">
        <f xml:space="preserve"> TRIM( "9781626560437" )</f>
        <v>9781626560437</v>
      </c>
      <c r="C546" s="18" t="str">
        <f xml:space="preserve"> TRIM( "9781626560451" )</f>
        <v>9781626560451</v>
      </c>
      <c r="D546" s="18" t="s">
        <v>1241</v>
      </c>
      <c r="E546" s="18" t="s">
        <v>37</v>
      </c>
      <c r="F546" s="18" t="s">
        <v>1242</v>
      </c>
      <c r="G546" s="18" t="s">
        <v>40</v>
      </c>
      <c r="H546" s="18">
        <v>0.25</v>
      </c>
      <c r="I546" s="20">
        <v>0.46</v>
      </c>
      <c r="J546" s="21">
        <v>0.25</v>
      </c>
      <c r="K546" s="20">
        <f t="shared" ca="1" si="9"/>
        <v>0.12</v>
      </c>
    </row>
    <row r="547" spans="2:11">
      <c r="B547" s="18" t="str">
        <f xml:space="preserve"> TRIM( "9781626560475" )</f>
        <v>9781626560475</v>
      </c>
      <c r="C547" s="18" t="str">
        <f xml:space="preserve"> TRIM( "9781626560499" )</f>
        <v>9781626560499</v>
      </c>
      <c r="D547" s="18" t="s">
        <v>1245</v>
      </c>
      <c r="E547" s="18" t="s">
        <v>37</v>
      </c>
      <c r="F547" s="18" t="s">
        <v>762</v>
      </c>
      <c r="G547" s="18" t="s">
        <v>39</v>
      </c>
      <c r="H547" s="18">
        <v>0.2</v>
      </c>
      <c r="I547" s="20">
        <v>25.39</v>
      </c>
      <c r="J547" s="21">
        <v>0.2</v>
      </c>
      <c r="K547" s="20">
        <f t="shared" ca="1" si="9"/>
        <v>5.08</v>
      </c>
    </row>
    <row r="548" spans="2:11">
      <c r="B548" s="18" t="str">
        <f xml:space="preserve"> TRIM( "9781626560475" )</f>
        <v>9781626560475</v>
      </c>
      <c r="C548" s="18" t="str">
        <f xml:space="preserve"> TRIM( "9781626560499" )</f>
        <v>9781626560499</v>
      </c>
      <c r="D548" s="18" t="s">
        <v>1245</v>
      </c>
      <c r="E548" s="18" t="s">
        <v>37</v>
      </c>
      <c r="F548" s="18" t="s">
        <v>762</v>
      </c>
      <c r="G548" s="18" t="s">
        <v>40</v>
      </c>
      <c r="H548" s="18">
        <v>0.25</v>
      </c>
      <c r="I548" s="20">
        <v>1.1599999999999999</v>
      </c>
      <c r="J548" s="21">
        <v>0.25</v>
      </c>
      <c r="K548" s="20">
        <f t="shared" ca="1" si="9"/>
        <v>0.28999999999999998</v>
      </c>
    </row>
    <row r="549" spans="2:11">
      <c r="B549" s="18" t="str">
        <f xml:space="preserve"> TRIM( "9781626560574" )</f>
        <v>9781626560574</v>
      </c>
      <c r="C549" s="18" t="str">
        <f xml:space="preserve"> TRIM( " " )</f>
        <v/>
      </c>
      <c r="D549" s="18" t="s">
        <v>1247</v>
      </c>
      <c r="E549" s="18" t="s">
        <v>37</v>
      </c>
      <c r="F549" s="18" t="s">
        <v>1248</v>
      </c>
      <c r="G549" s="18" t="s">
        <v>39</v>
      </c>
      <c r="H549" s="18">
        <v>0.2</v>
      </c>
      <c r="I549" s="20">
        <v>78.569999999999993</v>
      </c>
      <c r="J549" s="21">
        <v>0.2</v>
      </c>
      <c r="K549" s="20">
        <f t="shared" ca="1" si="9"/>
        <v>15.71</v>
      </c>
    </row>
    <row r="550" spans="2:11">
      <c r="B550" s="18" t="str">
        <f xml:space="preserve"> TRIM( "9781626560574" )</f>
        <v>9781626560574</v>
      </c>
      <c r="C550" s="18" t="str">
        <f xml:space="preserve"> TRIM( " " )</f>
        <v/>
      </c>
      <c r="D550" s="18" t="s">
        <v>1247</v>
      </c>
      <c r="E550" s="18" t="s">
        <v>37</v>
      </c>
      <c r="F550" s="18" t="s">
        <v>1248</v>
      </c>
      <c r="G550" s="18" t="s">
        <v>40</v>
      </c>
      <c r="H550" s="18">
        <v>0.25</v>
      </c>
      <c r="I550" s="20">
        <v>1.91</v>
      </c>
      <c r="J550" s="21">
        <v>0.25</v>
      </c>
      <c r="K550" s="20">
        <f t="shared" ca="1" si="9"/>
        <v>0.48</v>
      </c>
    </row>
    <row r="551" spans="2:11">
      <c r="B551" s="18" t="str">
        <f xml:space="preserve"> TRIM( "9781626560604" )</f>
        <v>9781626560604</v>
      </c>
      <c r="C551" s="18" t="str">
        <f xml:space="preserve"> TRIM( "9781626560628" )</f>
        <v>9781626560628</v>
      </c>
      <c r="D551" s="18" t="s">
        <v>1251</v>
      </c>
      <c r="E551" s="18" t="s">
        <v>37</v>
      </c>
      <c r="F551" s="18" t="s">
        <v>1252</v>
      </c>
      <c r="G551" s="18" t="s">
        <v>39</v>
      </c>
      <c r="H551" s="18">
        <v>0.2</v>
      </c>
      <c r="I551" s="20">
        <v>6.73</v>
      </c>
      <c r="J551" s="21">
        <v>0.2</v>
      </c>
      <c r="K551" s="20">
        <f t="shared" ca="1" si="9"/>
        <v>1.35</v>
      </c>
    </row>
    <row r="552" spans="2:11">
      <c r="B552" s="18" t="str">
        <f xml:space="preserve"> TRIM( "9781626560604" )</f>
        <v>9781626560604</v>
      </c>
      <c r="C552" s="18" t="str">
        <f xml:space="preserve"> TRIM( "9781626560628" )</f>
        <v>9781626560628</v>
      </c>
      <c r="D552" s="18" t="s">
        <v>1251</v>
      </c>
      <c r="E552" s="18" t="s">
        <v>37</v>
      </c>
      <c r="F552" s="18" t="s">
        <v>1252</v>
      </c>
      <c r="G552" s="18" t="s">
        <v>40</v>
      </c>
      <c r="H552" s="18">
        <v>0.25</v>
      </c>
      <c r="I552" s="20">
        <v>0.72</v>
      </c>
      <c r="J552" s="21">
        <v>0.25</v>
      </c>
      <c r="K552" s="20">
        <f t="shared" ca="1" si="9"/>
        <v>0.18</v>
      </c>
    </row>
    <row r="553" spans="2:11">
      <c r="B553" s="18" t="str">
        <f xml:space="preserve"> TRIM( "9781626560659" )</f>
        <v>9781626560659</v>
      </c>
      <c r="C553" s="18" t="str">
        <f xml:space="preserve"> TRIM( "9781626560673" )</f>
        <v>9781626560673</v>
      </c>
      <c r="D553" s="18" t="s">
        <v>1255</v>
      </c>
      <c r="E553" s="18" t="s">
        <v>37</v>
      </c>
      <c r="F553" s="18" t="s">
        <v>586</v>
      </c>
      <c r="G553" s="18" t="s">
        <v>39</v>
      </c>
      <c r="H553" s="18">
        <v>0.2</v>
      </c>
      <c r="I553" s="20">
        <v>3.11</v>
      </c>
      <c r="J553" s="21">
        <v>0.2</v>
      </c>
      <c r="K553" s="20">
        <f t="shared" ca="1" si="9"/>
        <v>0.62</v>
      </c>
    </row>
    <row r="554" spans="2:11">
      <c r="B554" s="18" t="str">
        <f xml:space="preserve"> TRIM( "9781626560659" )</f>
        <v>9781626560659</v>
      </c>
      <c r="C554" s="18" t="str">
        <f xml:space="preserve"> TRIM( "9781626560673" )</f>
        <v>9781626560673</v>
      </c>
      <c r="D554" s="18" t="s">
        <v>1255</v>
      </c>
      <c r="E554" s="18" t="s">
        <v>37</v>
      </c>
      <c r="F554" s="18" t="s">
        <v>586</v>
      </c>
      <c r="G554" s="18" t="s">
        <v>40</v>
      </c>
      <c r="H554" s="18">
        <v>0.25</v>
      </c>
      <c r="I554" s="20">
        <v>0.01</v>
      </c>
      <c r="J554" s="21">
        <v>0.25</v>
      </c>
      <c r="K554" s="20">
        <f t="shared" ca="1" si="9"/>
        <v>0</v>
      </c>
    </row>
    <row r="555" spans="2:11">
      <c r="B555" s="18" t="str">
        <f xml:space="preserve"> TRIM( "9781626560734" )</f>
        <v>9781626560734</v>
      </c>
      <c r="C555" s="18" t="str">
        <f xml:space="preserve"> TRIM( "9781626560758" )</f>
        <v>9781626560758</v>
      </c>
      <c r="D555" s="18" t="s">
        <v>1258</v>
      </c>
      <c r="E555" s="18" t="s">
        <v>37</v>
      </c>
      <c r="F555" s="18" t="s">
        <v>1259</v>
      </c>
      <c r="G555" s="18" t="s">
        <v>39</v>
      </c>
      <c r="H555" s="18">
        <v>0.2</v>
      </c>
      <c r="I555" s="20">
        <v>2.9</v>
      </c>
      <c r="J555" s="21">
        <v>0.2</v>
      </c>
      <c r="K555" s="20">
        <f t="shared" ca="1" si="9"/>
        <v>0.57999999999999996</v>
      </c>
    </row>
    <row r="556" spans="2:11">
      <c r="B556" s="18" t="str">
        <f xml:space="preserve"> TRIM( "9781626560734" )</f>
        <v>9781626560734</v>
      </c>
      <c r="C556" s="18" t="str">
        <f xml:space="preserve"> TRIM( "9781626560758" )</f>
        <v>9781626560758</v>
      </c>
      <c r="D556" s="18" t="s">
        <v>1258</v>
      </c>
      <c r="E556" s="18" t="s">
        <v>37</v>
      </c>
      <c r="F556" s="18" t="s">
        <v>1259</v>
      </c>
      <c r="G556" s="18" t="s">
        <v>40</v>
      </c>
      <c r="H556" s="18">
        <v>0.25</v>
      </c>
      <c r="I556" s="20">
        <v>-0.03</v>
      </c>
      <c r="J556" s="21">
        <v>0.25</v>
      </c>
      <c r="K556" s="20">
        <f t="shared" ca="1" si="9"/>
        <v>-0.01</v>
      </c>
    </row>
    <row r="557" spans="2:11">
      <c r="B557" s="18" t="str">
        <f xml:space="preserve"> TRIM( "9781626560772" )</f>
        <v>9781626560772</v>
      </c>
      <c r="C557" s="18" t="str">
        <f xml:space="preserve"> TRIM( "9781626560796" )</f>
        <v>9781626560796</v>
      </c>
      <c r="D557" s="18" t="s">
        <v>1262</v>
      </c>
      <c r="E557" s="18" t="s">
        <v>37</v>
      </c>
      <c r="F557" s="18" t="s">
        <v>580</v>
      </c>
      <c r="G557" s="18" t="s">
        <v>39</v>
      </c>
      <c r="H557" s="18">
        <v>0.2</v>
      </c>
      <c r="I557" s="20">
        <v>13.77</v>
      </c>
      <c r="J557" s="21">
        <v>0.2</v>
      </c>
      <c r="K557" s="20">
        <f t="shared" ca="1" si="9"/>
        <v>2.75</v>
      </c>
    </row>
    <row r="558" spans="2:11">
      <c r="B558" s="18" t="str">
        <f xml:space="preserve"> TRIM( "9781626560819" )</f>
        <v>9781626560819</v>
      </c>
      <c r="C558" s="18" t="str">
        <f xml:space="preserve"> TRIM( "9781626560857" )</f>
        <v>9781626560857</v>
      </c>
      <c r="D558" s="18" t="s">
        <v>1265</v>
      </c>
      <c r="E558" s="18" t="s">
        <v>37</v>
      </c>
      <c r="F558" s="18" t="s">
        <v>1266</v>
      </c>
      <c r="G558" s="18" t="s">
        <v>39</v>
      </c>
      <c r="H558" s="18">
        <v>0.2</v>
      </c>
      <c r="I558" s="20">
        <v>47.55</v>
      </c>
      <c r="J558" s="21">
        <v>0.2</v>
      </c>
      <c r="K558" s="20">
        <f t="shared" ca="1" si="9"/>
        <v>9.51</v>
      </c>
    </row>
    <row r="559" spans="2:11">
      <c r="B559" s="18" t="str">
        <f xml:space="preserve"> TRIM( "9781626560819" )</f>
        <v>9781626560819</v>
      </c>
      <c r="C559" s="18" t="str">
        <f xml:space="preserve"> TRIM( "9781626560857" )</f>
        <v>9781626560857</v>
      </c>
      <c r="D559" s="18" t="s">
        <v>1265</v>
      </c>
      <c r="E559" s="18" t="s">
        <v>37</v>
      </c>
      <c r="F559" s="18" t="s">
        <v>1266</v>
      </c>
      <c r="G559" s="18" t="s">
        <v>40</v>
      </c>
      <c r="H559" s="18">
        <v>0.25</v>
      </c>
      <c r="I559" s="20">
        <v>52.62</v>
      </c>
      <c r="J559" s="21">
        <v>0.25</v>
      </c>
      <c r="K559" s="20">
        <f t="shared" ca="1" si="9"/>
        <v>13.16</v>
      </c>
    </row>
    <row r="560" spans="2:11">
      <c r="B560" s="18" t="str">
        <f xml:space="preserve"> TRIM( "9781626560871" )</f>
        <v>9781626560871</v>
      </c>
      <c r="C560" s="18" t="str">
        <f xml:space="preserve"> TRIM( "9781626560895" )</f>
        <v>9781626560895</v>
      </c>
      <c r="D560" s="18" t="s">
        <v>1269</v>
      </c>
      <c r="E560" s="18" t="s">
        <v>37</v>
      </c>
      <c r="F560" s="18" t="s">
        <v>1270</v>
      </c>
      <c r="G560" s="18" t="s">
        <v>39</v>
      </c>
      <c r="H560" s="18">
        <v>0.2</v>
      </c>
      <c r="I560" s="20">
        <v>9.6199999999999992</v>
      </c>
      <c r="J560" s="21">
        <v>0.2</v>
      </c>
      <c r="K560" s="20">
        <f t="shared" ca="1" si="9"/>
        <v>1.92</v>
      </c>
    </row>
    <row r="561" spans="2:11">
      <c r="B561" s="18" t="str">
        <f xml:space="preserve"> TRIM( "9781626560871" )</f>
        <v>9781626560871</v>
      </c>
      <c r="C561" s="18" t="str">
        <f xml:space="preserve"> TRIM( "9781626560895" )</f>
        <v>9781626560895</v>
      </c>
      <c r="D561" s="18" t="s">
        <v>1269</v>
      </c>
      <c r="E561" s="18" t="s">
        <v>37</v>
      </c>
      <c r="F561" s="18" t="s">
        <v>1270</v>
      </c>
      <c r="G561" s="18" t="s">
        <v>40</v>
      </c>
      <c r="H561" s="18">
        <v>0.25</v>
      </c>
      <c r="I561" s="20">
        <v>0.16</v>
      </c>
      <c r="J561" s="21">
        <v>0.25</v>
      </c>
      <c r="K561" s="20">
        <f t="shared" ca="1" si="9"/>
        <v>0.04</v>
      </c>
    </row>
    <row r="562" spans="2:11">
      <c r="B562" s="18" t="str">
        <f xml:space="preserve"> TRIM( "9781626560970" )</f>
        <v>9781626560970</v>
      </c>
      <c r="C562" s="18" t="str">
        <f xml:space="preserve"> TRIM( "9781626560994" )</f>
        <v>9781626560994</v>
      </c>
      <c r="D562" s="18" t="s">
        <v>1273</v>
      </c>
      <c r="E562" s="18" t="s">
        <v>37</v>
      </c>
      <c r="F562" s="18" t="s">
        <v>1274</v>
      </c>
      <c r="G562" s="18" t="s">
        <v>39</v>
      </c>
      <c r="H562" s="18">
        <v>0.2</v>
      </c>
      <c r="I562" s="20">
        <v>79.31</v>
      </c>
      <c r="J562" s="21">
        <v>0.2</v>
      </c>
      <c r="K562" s="20">
        <f t="shared" ca="1" si="9"/>
        <v>15.86</v>
      </c>
    </row>
    <row r="563" spans="2:11">
      <c r="B563" s="18" t="str">
        <f xml:space="preserve"> TRIM( "9781626561038" )</f>
        <v>9781626561038</v>
      </c>
      <c r="C563" s="18" t="str">
        <f xml:space="preserve"> TRIM( "9781626561038" )</f>
        <v>9781626561038</v>
      </c>
      <c r="D563" s="18" t="s">
        <v>1276</v>
      </c>
      <c r="E563" s="18" t="s">
        <v>37</v>
      </c>
      <c r="F563" s="18" t="s">
        <v>1277</v>
      </c>
      <c r="G563" s="18" t="s">
        <v>39</v>
      </c>
      <c r="H563" s="18">
        <v>0.2</v>
      </c>
      <c r="I563" s="20">
        <v>6.95</v>
      </c>
      <c r="J563" s="21">
        <v>0.2</v>
      </c>
      <c r="K563" s="20">
        <f t="shared" ca="1" si="9"/>
        <v>1.39</v>
      </c>
    </row>
    <row r="564" spans="2:11">
      <c r="B564" s="18" t="str">
        <f xml:space="preserve"> TRIM( "9781626561069" )</f>
        <v>9781626561069</v>
      </c>
      <c r="C564" s="18" t="str">
        <f xml:space="preserve"> TRIM( "9781626561083" )</f>
        <v>9781626561083</v>
      </c>
      <c r="D564" s="18" t="s">
        <v>1280</v>
      </c>
      <c r="E564" s="18" t="s">
        <v>37</v>
      </c>
      <c r="F564" s="18" t="s">
        <v>1281</v>
      </c>
      <c r="G564" s="18" t="s">
        <v>39</v>
      </c>
      <c r="H564" s="18">
        <v>0.2</v>
      </c>
      <c r="I564" s="20">
        <v>10.47</v>
      </c>
      <c r="J564" s="21">
        <v>0.2</v>
      </c>
      <c r="K564" s="20">
        <f t="shared" ca="1" si="9"/>
        <v>2.09</v>
      </c>
    </row>
    <row r="565" spans="2:11">
      <c r="B565" s="18" t="str">
        <f xml:space="preserve"> TRIM( "9781626561069" )</f>
        <v>9781626561069</v>
      </c>
      <c r="C565" s="18" t="str">
        <f xml:space="preserve"> TRIM( "9781626561083" )</f>
        <v>9781626561083</v>
      </c>
      <c r="D565" s="18" t="s">
        <v>1280</v>
      </c>
      <c r="E565" s="18" t="s">
        <v>37</v>
      </c>
      <c r="F565" s="18" t="s">
        <v>1281</v>
      </c>
      <c r="G565" s="18" t="s">
        <v>40</v>
      </c>
      <c r="H565" s="18">
        <v>0.25</v>
      </c>
      <c r="I565" s="20">
        <v>2.79</v>
      </c>
      <c r="J565" s="21">
        <v>0.25</v>
      </c>
      <c r="K565" s="20">
        <f t="shared" ca="1" si="9"/>
        <v>0.7</v>
      </c>
    </row>
    <row r="566" spans="2:11">
      <c r="B566" s="18" t="str">
        <f xml:space="preserve"> TRIM( "9781626561106" )</f>
        <v>9781626561106</v>
      </c>
      <c r="C566" s="18" t="str">
        <f xml:space="preserve"> TRIM( " " )</f>
        <v/>
      </c>
      <c r="D566" s="18" t="s">
        <v>1283</v>
      </c>
      <c r="E566" s="18" t="s">
        <v>37</v>
      </c>
      <c r="F566" s="18" t="s">
        <v>1284</v>
      </c>
      <c r="G566" s="18" t="s">
        <v>39</v>
      </c>
      <c r="H566" s="18">
        <v>0.2</v>
      </c>
      <c r="I566" s="20">
        <v>17.010000000000002</v>
      </c>
      <c r="J566" s="21">
        <v>0.2</v>
      </c>
      <c r="K566" s="20">
        <f t="shared" ca="1" si="9"/>
        <v>3.4</v>
      </c>
    </row>
    <row r="567" spans="2:11">
      <c r="B567" s="18" t="str">
        <f xml:space="preserve"> TRIM( "9781626561199" )</f>
        <v>9781626561199</v>
      </c>
      <c r="C567" s="18" t="str">
        <f xml:space="preserve"> TRIM( "9781626561212" )</f>
        <v>9781626561212</v>
      </c>
      <c r="D567" s="18" t="s">
        <v>1287</v>
      </c>
      <c r="E567" s="18" t="s">
        <v>37</v>
      </c>
      <c r="F567" s="18" t="s">
        <v>1248</v>
      </c>
      <c r="G567" s="18" t="s">
        <v>39</v>
      </c>
      <c r="H567" s="18">
        <v>0.2</v>
      </c>
      <c r="I567" s="20">
        <v>11.69</v>
      </c>
      <c r="J567" s="21">
        <v>0.2</v>
      </c>
      <c r="K567" s="20">
        <f t="shared" ca="1" si="9"/>
        <v>2.34</v>
      </c>
    </row>
    <row r="568" spans="2:11">
      <c r="B568" s="18" t="str">
        <f xml:space="preserve"> TRIM( "9781626561236" )</f>
        <v>9781626561236</v>
      </c>
      <c r="C568" s="18" t="str">
        <f xml:space="preserve"> TRIM( "9781626561250" )</f>
        <v>9781626561250</v>
      </c>
      <c r="D568" s="18" t="s">
        <v>1290</v>
      </c>
      <c r="E568" s="18" t="s">
        <v>37</v>
      </c>
      <c r="F568" s="18" t="s">
        <v>1291</v>
      </c>
      <c r="G568" s="18" t="s">
        <v>39</v>
      </c>
      <c r="H568" s="18">
        <v>0.2</v>
      </c>
      <c r="I568" s="20">
        <v>154.07</v>
      </c>
      <c r="J568" s="21">
        <v>0.2</v>
      </c>
      <c r="K568" s="20">
        <f t="shared" ca="1" si="9"/>
        <v>30.81</v>
      </c>
    </row>
    <row r="569" spans="2:11">
      <c r="B569" s="18" t="str">
        <f xml:space="preserve"> TRIM( "9781626561236" )</f>
        <v>9781626561236</v>
      </c>
      <c r="C569" s="18" t="str">
        <f xml:space="preserve"> TRIM( "9781626561250" )</f>
        <v>9781626561250</v>
      </c>
      <c r="D569" s="18" t="s">
        <v>1290</v>
      </c>
      <c r="E569" s="18" t="s">
        <v>37</v>
      </c>
      <c r="F569" s="18" t="s">
        <v>1291</v>
      </c>
      <c r="G569" s="18" t="s">
        <v>40</v>
      </c>
      <c r="H569" s="18">
        <v>0.25</v>
      </c>
      <c r="I569" s="20">
        <v>0.03</v>
      </c>
      <c r="J569" s="21">
        <v>0.25</v>
      </c>
      <c r="K569" s="20">
        <f t="shared" ca="1" si="9"/>
        <v>0.01</v>
      </c>
    </row>
    <row r="570" spans="2:11">
      <c r="B570" s="18" t="str">
        <f xml:space="preserve"> TRIM( "9781626561458" )</f>
        <v>9781626561458</v>
      </c>
      <c r="C570" s="18" t="str">
        <f xml:space="preserve"> TRIM( "9781626561472" )</f>
        <v>9781626561472</v>
      </c>
      <c r="D570" s="18" t="s">
        <v>1294</v>
      </c>
      <c r="E570" s="18" t="s">
        <v>37</v>
      </c>
      <c r="F570" s="18" t="s">
        <v>1295</v>
      </c>
      <c r="G570" s="18" t="s">
        <v>39</v>
      </c>
      <c r="H570" s="18">
        <v>0.2</v>
      </c>
      <c r="I570" s="20">
        <v>15.99</v>
      </c>
      <c r="J570" s="21">
        <v>0.2</v>
      </c>
      <c r="K570" s="20">
        <f t="shared" ca="1" si="9"/>
        <v>3.2</v>
      </c>
    </row>
    <row r="571" spans="2:11">
      <c r="B571" s="18" t="str">
        <f xml:space="preserve"> TRIM( "9781626561519" )</f>
        <v>9781626561519</v>
      </c>
      <c r="C571" s="18" t="str">
        <f xml:space="preserve"> TRIM( "9781626561519" )</f>
        <v>9781626561519</v>
      </c>
      <c r="D571" s="18" t="s">
        <v>1297</v>
      </c>
      <c r="E571" s="18" t="s">
        <v>37</v>
      </c>
      <c r="F571" s="18" t="s">
        <v>1298</v>
      </c>
      <c r="G571" s="18" t="s">
        <v>39</v>
      </c>
      <c r="H571" s="18">
        <v>0.2</v>
      </c>
      <c r="I571" s="20">
        <v>54.85</v>
      </c>
      <c r="J571" s="21">
        <v>0.2</v>
      </c>
      <c r="K571" s="20">
        <f t="shared" ca="1" si="9"/>
        <v>10.97</v>
      </c>
    </row>
    <row r="572" spans="2:11">
      <c r="B572" s="18" t="str">
        <f xml:space="preserve"> TRIM( "9781626561519" )</f>
        <v>9781626561519</v>
      </c>
      <c r="C572" s="18" t="str">
        <f xml:space="preserve"> TRIM( "9781626561519" )</f>
        <v>9781626561519</v>
      </c>
      <c r="D572" s="18" t="s">
        <v>1297</v>
      </c>
      <c r="E572" s="18" t="s">
        <v>37</v>
      </c>
      <c r="F572" s="18" t="s">
        <v>1298</v>
      </c>
      <c r="G572" s="18" t="s">
        <v>40</v>
      </c>
      <c r="H572" s="18">
        <v>0.25</v>
      </c>
      <c r="I572" s="20">
        <v>0.49</v>
      </c>
      <c r="J572" s="21">
        <v>0.25</v>
      </c>
      <c r="K572" s="20">
        <f t="shared" ca="1" si="9"/>
        <v>0.12</v>
      </c>
    </row>
    <row r="573" spans="2:11">
      <c r="B573" s="18" t="str">
        <f xml:space="preserve"> TRIM( "9781626561588" )</f>
        <v>9781626561588</v>
      </c>
      <c r="C573" s="18" t="str">
        <f xml:space="preserve"> TRIM( "9781626561601" )</f>
        <v>9781626561601</v>
      </c>
      <c r="D573" s="18" t="s">
        <v>1301</v>
      </c>
      <c r="E573" s="18" t="s">
        <v>37</v>
      </c>
      <c r="F573" s="18" t="s">
        <v>1302</v>
      </c>
      <c r="G573" s="18" t="s">
        <v>39</v>
      </c>
      <c r="H573" s="18">
        <v>0.2</v>
      </c>
      <c r="I573" s="20">
        <v>4.66</v>
      </c>
      <c r="J573" s="21">
        <v>0.2</v>
      </c>
      <c r="K573" s="20">
        <f t="shared" ca="1" si="9"/>
        <v>0.93</v>
      </c>
    </row>
    <row r="574" spans="2:11">
      <c r="B574" s="18" t="str">
        <f xml:space="preserve"> TRIM( "9781626561625" )</f>
        <v>9781626561625</v>
      </c>
      <c r="C574" s="18" t="str">
        <f xml:space="preserve"> TRIM( "9781626561649" )</f>
        <v>9781626561649</v>
      </c>
      <c r="D574" s="18" t="s">
        <v>1305</v>
      </c>
      <c r="E574" s="18" t="s">
        <v>37</v>
      </c>
      <c r="F574" s="18" t="s">
        <v>1306</v>
      </c>
      <c r="G574" s="18" t="s">
        <v>39</v>
      </c>
      <c r="H574" s="18">
        <v>0.2</v>
      </c>
      <c r="I574" s="20">
        <v>9.08</v>
      </c>
      <c r="J574" s="21">
        <v>0.2</v>
      </c>
      <c r="K574" s="20">
        <f t="shared" ca="1" si="9"/>
        <v>1.82</v>
      </c>
    </row>
    <row r="575" spans="2:11">
      <c r="B575" s="18" t="str">
        <f xml:space="preserve"> TRIM( "9781626561625" )</f>
        <v>9781626561625</v>
      </c>
      <c r="C575" s="18" t="str">
        <f xml:space="preserve"> TRIM( "9781626561649" )</f>
        <v>9781626561649</v>
      </c>
      <c r="D575" s="18" t="s">
        <v>1305</v>
      </c>
      <c r="E575" s="18" t="s">
        <v>37</v>
      </c>
      <c r="F575" s="18" t="s">
        <v>1306</v>
      </c>
      <c r="G575" s="18" t="s">
        <v>40</v>
      </c>
      <c r="H575" s="18">
        <v>0.25</v>
      </c>
      <c r="I575" s="20">
        <v>11.04</v>
      </c>
      <c r="J575" s="21">
        <v>0.25</v>
      </c>
      <c r="K575" s="20">
        <f t="shared" ca="1" si="9"/>
        <v>2.76</v>
      </c>
    </row>
    <row r="576" spans="2:11">
      <c r="B576" s="18" t="str">
        <f xml:space="preserve"> TRIM( "9781626561687" )</f>
        <v>9781626561687</v>
      </c>
      <c r="C576" s="18" t="str">
        <f xml:space="preserve"> TRIM( "9781626561687" )</f>
        <v>9781626561687</v>
      </c>
      <c r="D576" s="18" t="s">
        <v>1308</v>
      </c>
      <c r="E576" s="18" t="s">
        <v>37</v>
      </c>
      <c r="F576" s="18" t="s">
        <v>1309</v>
      </c>
      <c r="G576" s="18" t="s">
        <v>39</v>
      </c>
      <c r="H576" s="18">
        <v>0.2</v>
      </c>
      <c r="I576" s="20">
        <v>28.97</v>
      </c>
      <c r="J576" s="21">
        <v>0.2</v>
      </c>
      <c r="K576" s="20">
        <f t="shared" ca="1" si="9"/>
        <v>5.79</v>
      </c>
    </row>
    <row r="577" spans="2:11">
      <c r="B577" s="18" t="str">
        <f xml:space="preserve"> TRIM( "9781626561786" )</f>
        <v>9781626561786</v>
      </c>
      <c r="C577" s="18" t="str">
        <f xml:space="preserve"> TRIM( "9781626561809" )</f>
        <v>9781626561809</v>
      </c>
      <c r="D577" s="18" t="s">
        <v>1312</v>
      </c>
      <c r="E577" s="18" t="s">
        <v>37</v>
      </c>
      <c r="F577" s="18" t="s">
        <v>1313</v>
      </c>
      <c r="G577" s="18" t="s">
        <v>39</v>
      </c>
      <c r="H577" s="18">
        <v>0.2</v>
      </c>
      <c r="I577" s="20">
        <v>3.51</v>
      </c>
      <c r="J577" s="21">
        <v>0.2</v>
      </c>
      <c r="K577" s="20">
        <f t="shared" ca="1" si="9"/>
        <v>0.7</v>
      </c>
    </row>
    <row r="578" spans="2:11">
      <c r="B578" s="18" t="str">
        <f xml:space="preserve"> TRIM( "9781626561823" )</f>
        <v>9781626561823</v>
      </c>
      <c r="C578" s="18" t="str">
        <f xml:space="preserve"> TRIM( "9781626561847" )</f>
        <v>9781626561847</v>
      </c>
      <c r="D578" s="18" t="s">
        <v>1316</v>
      </c>
      <c r="E578" s="18" t="s">
        <v>37</v>
      </c>
      <c r="F578" s="18" t="s">
        <v>1317</v>
      </c>
      <c r="G578" s="18" t="s">
        <v>39</v>
      </c>
      <c r="H578" s="18">
        <v>0.2</v>
      </c>
      <c r="I578" s="20">
        <v>28.73</v>
      </c>
      <c r="J578" s="21">
        <v>0.2</v>
      </c>
      <c r="K578" s="20">
        <f t="shared" ca="1" si="9"/>
        <v>5.75</v>
      </c>
    </row>
    <row r="579" spans="2:11">
      <c r="B579" s="18" t="str">
        <f xml:space="preserve"> TRIM( "9781626561823" )</f>
        <v>9781626561823</v>
      </c>
      <c r="C579" s="18" t="str">
        <f xml:space="preserve"> TRIM( "9781626561847" )</f>
        <v>9781626561847</v>
      </c>
      <c r="D579" s="18" t="s">
        <v>1316</v>
      </c>
      <c r="E579" s="18" t="s">
        <v>37</v>
      </c>
      <c r="F579" s="18" t="s">
        <v>1317</v>
      </c>
      <c r="G579" s="18" t="s">
        <v>40</v>
      </c>
      <c r="H579" s="18">
        <v>0.25</v>
      </c>
      <c r="I579" s="20">
        <v>16.25</v>
      </c>
      <c r="J579" s="21">
        <v>0.25</v>
      </c>
      <c r="K579" s="20">
        <f t="shared" ca="1" si="9"/>
        <v>4.0599999999999996</v>
      </c>
    </row>
    <row r="580" spans="2:11">
      <c r="B580" s="18" t="str">
        <f xml:space="preserve"> TRIM( "9781626561861" )</f>
        <v>9781626561861</v>
      </c>
      <c r="C580" s="18" t="str">
        <f xml:space="preserve"> TRIM( "9781626561885" )</f>
        <v>9781626561885</v>
      </c>
      <c r="D580" s="18" t="s">
        <v>1320</v>
      </c>
      <c r="E580" s="18" t="s">
        <v>37</v>
      </c>
      <c r="F580" s="18" t="s">
        <v>1321</v>
      </c>
      <c r="G580" s="18" t="s">
        <v>39</v>
      </c>
      <c r="H580" s="18">
        <v>0.2</v>
      </c>
      <c r="I580" s="20">
        <v>7.22</v>
      </c>
      <c r="J580" s="21">
        <v>0.2</v>
      </c>
      <c r="K580" s="20">
        <f t="shared" ca="1" si="9"/>
        <v>1.44</v>
      </c>
    </row>
    <row r="581" spans="2:11">
      <c r="B581" s="18" t="str">
        <f xml:space="preserve"> TRIM( "9781626561861" )</f>
        <v>9781626561861</v>
      </c>
      <c r="C581" s="18" t="str">
        <f xml:space="preserve"> TRIM( "9781626561885" )</f>
        <v>9781626561885</v>
      </c>
      <c r="D581" s="18" t="s">
        <v>1320</v>
      </c>
      <c r="E581" s="18" t="s">
        <v>37</v>
      </c>
      <c r="F581" s="18" t="s">
        <v>1321</v>
      </c>
      <c r="G581" s="18" t="s">
        <v>40</v>
      </c>
      <c r="H581" s="18">
        <v>0.25</v>
      </c>
      <c r="I581" s="20">
        <v>12.08</v>
      </c>
      <c r="J581" s="21">
        <v>0.25</v>
      </c>
      <c r="K581" s="20">
        <f t="shared" ca="1" si="9"/>
        <v>3.02</v>
      </c>
    </row>
    <row r="582" spans="2:11">
      <c r="B582" s="18" t="str">
        <f xml:space="preserve"> TRIM( "9781626561946" )</f>
        <v>9781626561946</v>
      </c>
      <c r="C582" s="18" t="str">
        <f xml:space="preserve"> TRIM( "9781626561960" )</f>
        <v>9781626561960</v>
      </c>
      <c r="D582" s="18" t="s">
        <v>1324</v>
      </c>
      <c r="E582" s="18" t="s">
        <v>37</v>
      </c>
      <c r="F582" s="18" t="s">
        <v>1325</v>
      </c>
      <c r="G582" s="18" t="s">
        <v>39</v>
      </c>
      <c r="H582" s="18">
        <v>0.2</v>
      </c>
      <c r="I582" s="20">
        <v>2.41</v>
      </c>
      <c r="J582" s="21">
        <v>0.2</v>
      </c>
      <c r="K582" s="20">
        <f t="shared" ca="1" si="9"/>
        <v>0.48</v>
      </c>
    </row>
    <row r="583" spans="2:11">
      <c r="B583" s="18" t="str">
        <f xml:space="preserve"> TRIM( "9781626562028" )</f>
        <v>9781626562028</v>
      </c>
      <c r="C583" s="18" t="str">
        <f xml:space="preserve"> TRIM( "9781626562042" )</f>
        <v>9781626562042</v>
      </c>
      <c r="D583" s="18" t="s">
        <v>1328</v>
      </c>
      <c r="E583" s="18" t="s">
        <v>37</v>
      </c>
      <c r="F583" s="18" t="s">
        <v>1329</v>
      </c>
      <c r="G583" s="18" t="s">
        <v>39</v>
      </c>
      <c r="H583" s="18">
        <v>0.2</v>
      </c>
      <c r="I583" s="20">
        <v>29.56</v>
      </c>
      <c r="J583" s="21">
        <v>0.2</v>
      </c>
      <c r="K583" s="20">
        <f t="shared" ca="1" si="9"/>
        <v>5.91</v>
      </c>
    </row>
    <row r="584" spans="2:11">
      <c r="B584" s="18" t="str">
        <f xml:space="preserve"> TRIM( "9781626562028" )</f>
        <v>9781626562028</v>
      </c>
      <c r="C584" s="18" t="str">
        <f xml:space="preserve"> TRIM( "9781626562042" )</f>
        <v>9781626562042</v>
      </c>
      <c r="D584" s="18" t="s">
        <v>1328</v>
      </c>
      <c r="E584" s="18" t="s">
        <v>37</v>
      </c>
      <c r="F584" s="18" t="s">
        <v>1329</v>
      </c>
      <c r="G584" s="18" t="s">
        <v>40</v>
      </c>
      <c r="H584" s="18">
        <v>0.25</v>
      </c>
      <c r="I584" s="20">
        <v>10</v>
      </c>
      <c r="J584" s="21">
        <v>0.25</v>
      </c>
      <c r="K584" s="20">
        <f t="shared" ca="1" si="9"/>
        <v>2.5</v>
      </c>
    </row>
    <row r="585" spans="2:11">
      <c r="B585" s="18" t="str">
        <f xml:space="preserve"> TRIM( "9781626562080" )</f>
        <v>9781626562080</v>
      </c>
      <c r="C585" s="18" t="str">
        <f xml:space="preserve"> TRIM( " " )</f>
        <v/>
      </c>
      <c r="D585" s="18" t="s">
        <v>1331</v>
      </c>
      <c r="E585" s="18" t="s">
        <v>37</v>
      </c>
      <c r="F585" s="18" t="s">
        <v>1332</v>
      </c>
      <c r="G585" s="18" t="s">
        <v>39</v>
      </c>
      <c r="H585" s="18">
        <v>0.2</v>
      </c>
      <c r="I585" s="20">
        <v>4.12</v>
      </c>
      <c r="J585" s="21">
        <v>0.2</v>
      </c>
      <c r="K585" s="20">
        <f t="shared" ca="1" si="9"/>
        <v>0.82</v>
      </c>
    </row>
    <row r="586" spans="2:11">
      <c r="B586" s="18" t="str">
        <f xml:space="preserve"> TRIM( "9781626562080" )</f>
        <v>9781626562080</v>
      </c>
      <c r="C586" s="18" t="str">
        <f xml:space="preserve"> TRIM( " " )</f>
        <v/>
      </c>
      <c r="D586" s="18" t="s">
        <v>1331</v>
      </c>
      <c r="E586" s="18" t="s">
        <v>37</v>
      </c>
      <c r="F586" s="18" t="s">
        <v>1332</v>
      </c>
      <c r="G586" s="18" t="s">
        <v>40</v>
      </c>
      <c r="H586" s="18">
        <v>0.25</v>
      </c>
      <c r="I586" s="20">
        <v>6.17</v>
      </c>
      <c r="J586" s="21">
        <v>0.25</v>
      </c>
      <c r="K586" s="20">
        <f t="shared" ca="1" si="9"/>
        <v>1.54</v>
      </c>
    </row>
    <row r="587" spans="2:11">
      <c r="B587" s="18" t="str">
        <f xml:space="preserve"> TRIM( "9781626562141" )</f>
        <v>9781626562141</v>
      </c>
      <c r="C587" s="18" t="str">
        <f xml:space="preserve"> TRIM( "9781626562165" )</f>
        <v>9781626562165</v>
      </c>
      <c r="D587" s="18" t="s">
        <v>1335</v>
      </c>
      <c r="E587" s="18" t="s">
        <v>37</v>
      </c>
      <c r="F587" s="18" t="s">
        <v>150</v>
      </c>
      <c r="G587" s="18" t="s">
        <v>39</v>
      </c>
      <c r="H587" s="18">
        <v>0.2</v>
      </c>
      <c r="I587" s="20">
        <v>3.25</v>
      </c>
      <c r="J587" s="21">
        <v>0.2</v>
      </c>
      <c r="K587" s="20">
        <f t="shared" ca="1" si="9"/>
        <v>0.65</v>
      </c>
    </row>
    <row r="588" spans="2:11">
      <c r="B588" s="18" t="str">
        <f xml:space="preserve"> TRIM( "9781626562141" )</f>
        <v>9781626562141</v>
      </c>
      <c r="C588" s="18" t="str">
        <f xml:space="preserve"> TRIM( "9781626562165" )</f>
        <v>9781626562165</v>
      </c>
      <c r="D588" s="18" t="s">
        <v>1335</v>
      </c>
      <c r="E588" s="18" t="s">
        <v>37</v>
      </c>
      <c r="F588" s="18" t="s">
        <v>150</v>
      </c>
      <c r="G588" s="18" t="s">
        <v>40</v>
      </c>
      <c r="H588" s="18">
        <v>0.25</v>
      </c>
      <c r="I588" s="20">
        <v>2.19</v>
      </c>
      <c r="J588" s="21">
        <v>0.25</v>
      </c>
      <c r="K588" s="20">
        <f t="shared" ca="1" si="9"/>
        <v>0.55000000000000004</v>
      </c>
    </row>
    <row r="589" spans="2:11">
      <c r="B589" s="18" t="str">
        <f xml:space="preserve"> TRIM( "9781626562226" )</f>
        <v>9781626562226</v>
      </c>
      <c r="C589" s="18" t="str">
        <f xml:space="preserve"> TRIM( "9781626562240" )</f>
        <v>9781626562240</v>
      </c>
      <c r="D589" s="18" t="s">
        <v>1338</v>
      </c>
      <c r="E589" s="18" t="s">
        <v>37</v>
      </c>
      <c r="F589" s="18" t="s">
        <v>1339</v>
      </c>
      <c r="G589" s="18" t="s">
        <v>39</v>
      </c>
      <c r="H589" s="18">
        <v>0.2</v>
      </c>
      <c r="I589" s="20">
        <v>8.94</v>
      </c>
      <c r="J589" s="21">
        <v>0.2</v>
      </c>
      <c r="K589" s="20">
        <f t="shared" ca="1" si="9"/>
        <v>1.79</v>
      </c>
    </row>
    <row r="590" spans="2:11">
      <c r="B590" s="18" t="str">
        <f xml:space="preserve"> TRIM( "9781626562295" )</f>
        <v>9781626562295</v>
      </c>
      <c r="C590" s="18" t="str">
        <f xml:space="preserve"> TRIM( " " )</f>
        <v/>
      </c>
      <c r="D590" s="18" t="s">
        <v>1341</v>
      </c>
      <c r="E590" s="18" t="s">
        <v>37</v>
      </c>
      <c r="F590" s="18" t="s">
        <v>1342</v>
      </c>
      <c r="G590" s="18" t="s">
        <v>39</v>
      </c>
      <c r="H590" s="18">
        <v>0.2</v>
      </c>
      <c r="I590" s="20">
        <v>14.24</v>
      </c>
      <c r="J590" s="21">
        <v>0.2</v>
      </c>
      <c r="K590" s="20">
        <f t="shared" ca="1" si="9"/>
        <v>2.85</v>
      </c>
    </row>
    <row r="591" spans="2:11">
      <c r="B591" s="18" t="str">
        <f xml:space="preserve"> TRIM( "9781626562295" )</f>
        <v>9781626562295</v>
      </c>
      <c r="C591" s="18" t="str">
        <f xml:space="preserve"> TRIM( " " )</f>
        <v/>
      </c>
      <c r="D591" s="18" t="s">
        <v>1341</v>
      </c>
      <c r="E591" s="18" t="s">
        <v>37</v>
      </c>
      <c r="F591" s="18" t="s">
        <v>1342</v>
      </c>
      <c r="G591" s="18" t="s">
        <v>40</v>
      </c>
      <c r="H591" s="18">
        <v>0.25</v>
      </c>
      <c r="I591" s="20">
        <v>1.42</v>
      </c>
      <c r="J591" s="21">
        <v>0.25</v>
      </c>
      <c r="K591" s="20">
        <f t="shared" ca="1" si="9"/>
        <v>0.36</v>
      </c>
    </row>
    <row r="592" spans="2:11">
      <c r="B592" s="18" t="str">
        <f xml:space="preserve"> TRIM( "9781626562356" )</f>
        <v>9781626562356</v>
      </c>
      <c r="C592" s="18" t="str">
        <f xml:space="preserve"> TRIM( "9781626562370" )</f>
        <v>9781626562370</v>
      </c>
      <c r="D592" s="18" t="s">
        <v>1345</v>
      </c>
      <c r="E592" s="18" t="s">
        <v>37</v>
      </c>
      <c r="F592" s="18" t="s">
        <v>1346</v>
      </c>
      <c r="G592" s="18" t="s">
        <v>39</v>
      </c>
      <c r="H592" s="18">
        <v>0.2</v>
      </c>
      <c r="I592" s="20">
        <v>8.27</v>
      </c>
      <c r="J592" s="21">
        <v>0.2</v>
      </c>
      <c r="K592" s="20">
        <f t="shared" ref="K592:K655" ca="1" si="10" xml:space="preserve"> ROUND( ( INDIRECT( ADDRESS( ROW(), COLUMN()- 2 ))) * ( INDIRECT( ADDRESS( ROW(), COLUMN()- 1 ))), 2 )</f>
        <v>1.65</v>
      </c>
    </row>
    <row r="593" spans="2:11">
      <c r="B593" s="18" t="str">
        <f xml:space="preserve"> TRIM( "9781626562356" )</f>
        <v>9781626562356</v>
      </c>
      <c r="C593" s="18" t="str">
        <f xml:space="preserve"> TRIM( "9781626562370" )</f>
        <v>9781626562370</v>
      </c>
      <c r="D593" s="18" t="s">
        <v>1345</v>
      </c>
      <c r="E593" s="18" t="s">
        <v>37</v>
      </c>
      <c r="F593" s="18" t="s">
        <v>1346</v>
      </c>
      <c r="G593" s="18" t="s">
        <v>40</v>
      </c>
      <c r="H593" s="18">
        <v>0.25</v>
      </c>
      <c r="I593" s="20">
        <v>3.88</v>
      </c>
      <c r="J593" s="21">
        <v>0.25</v>
      </c>
      <c r="K593" s="20">
        <f t="shared" ca="1" si="10"/>
        <v>0.97</v>
      </c>
    </row>
    <row r="594" spans="2:11">
      <c r="B594" s="18" t="str">
        <f xml:space="preserve"> TRIM( "9781626562431" )</f>
        <v>9781626562431</v>
      </c>
      <c r="C594" s="18" t="str">
        <f xml:space="preserve"> TRIM( "9781626562455" )</f>
        <v>9781626562455</v>
      </c>
      <c r="D594" s="18" t="s">
        <v>110</v>
      </c>
      <c r="E594" s="18" t="s">
        <v>37</v>
      </c>
      <c r="F594" s="18" t="s">
        <v>1349</v>
      </c>
      <c r="G594" s="18" t="s">
        <v>39</v>
      </c>
      <c r="H594" s="18">
        <v>0.2</v>
      </c>
      <c r="I594" s="20">
        <v>18.09</v>
      </c>
      <c r="J594" s="21">
        <v>0.2</v>
      </c>
      <c r="K594" s="20">
        <f t="shared" ca="1" si="10"/>
        <v>3.62</v>
      </c>
    </row>
    <row r="595" spans="2:11">
      <c r="B595" s="18" t="str">
        <f xml:space="preserve"> TRIM( "9781626562431" )</f>
        <v>9781626562431</v>
      </c>
      <c r="C595" s="18" t="str">
        <f xml:space="preserve"> TRIM( "9781626562455" )</f>
        <v>9781626562455</v>
      </c>
      <c r="D595" s="18" t="s">
        <v>110</v>
      </c>
      <c r="E595" s="18" t="s">
        <v>37</v>
      </c>
      <c r="F595" s="18" t="s">
        <v>1349</v>
      </c>
      <c r="G595" s="18" t="s">
        <v>40</v>
      </c>
      <c r="H595" s="18">
        <v>0.25</v>
      </c>
      <c r="I595" s="20">
        <v>3.27</v>
      </c>
      <c r="J595" s="21">
        <v>0.25</v>
      </c>
      <c r="K595" s="20">
        <f t="shared" ca="1" si="10"/>
        <v>0.82</v>
      </c>
    </row>
    <row r="596" spans="2:11">
      <c r="B596" s="18" t="str">
        <f xml:space="preserve"> TRIM( "9781626562462" )</f>
        <v>9781626562462</v>
      </c>
      <c r="C596" s="18" t="str">
        <f xml:space="preserve"> TRIM( "9781626562486" )</f>
        <v>9781626562486</v>
      </c>
      <c r="D596" s="18" t="s">
        <v>1352</v>
      </c>
      <c r="E596" s="18" t="s">
        <v>37</v>
      </c>
      <c r="F596" s="18" t="s">
        <v>1353</v>
      </c>
      <c r="G596" s="18" t="s">
        <v>39</v>
      </c>
      <c r="H596" s="18">
        <v>0.2</v>
      </c>
      <c r="I596" s="20">
        <v>3.84</v>
      </c>
      <c r="J596" s="21">
        <v>0.2</v>
      </c>
      <c r="K596" s="20">
        <f t="shared" ca="1" si="10"/>
        <v>0.77</v>
      </c>
    </row>
    <row r="597" spans="2:11">
      <c r="B597" s="18" t="str">
        <f xml:space="preserve"> TRIM( "9781626562509" )</f>
        <v>9781626562509</v>
      </c>
      <c r="C597" s="18" t="str">
        <f xml:space="preserve"> TRIM( "9781626562523" )</f>
        <v>9781626562523</v>
      </c>
      <c r="D597" s="18" t="s">
        <v>1356</v>
      </c>
      <c r="E597" s="18" t="s">
        <v>37</v>
      </c>
      <c r="F597" s="18" t="s">
        <v>1357</v>
      </c>
      <c r="G597" s="18" t="s">
        <v>39</v>
      </c>
      <c r="H597" s="18">
        <v>0.2</v>
      </c>
      <c r="I597" s="20">
        <v>5.16</v>
      </c>
      <c r="J597" s="21">
        <v>0.2</v>
      </c>
      <c r="K597" s="20">
        <f t="shared" ca="1" si="10"/>
        <v>1.03</v>
      </c>
    </row>
    <row r="598" spans="2:11">
      <c r="B598" s="18" t="str">
        <f xml:space="preserve"> TRIM( "9781626562509" )</f>
        <v>9781626562509</v>
      </c>
      <c r="C598" s="18" t="str">
        <f xml:space="preserve"> TRIM( "9781626562523" )</f>
        <v>9781626562523</v>
      </c>
      <c r="D598" s="18" t="s">
        <v>1356</v>
      </c>
      <c r="E598" s="18" t="s">
        <v>37</v>
      </c>
      <c r="F598" s="18" t="s">
        <v>1357</v>
      </c>
      <c r="G598" s="18" t="s">
        <v>40</v>
      </c>
      <c r="H598" s="18">
        <v>0.25</v>
      </c>
      <c r="I598" s="20">
        <v>4.99</v>
      </c>
      <c r="J598" s="21">
        <v>0.25</v>
      </c>
      <c r="K598" s="20">
        <f t="shared" ca="1" si="10"/>
        <v>1.25</v>
      </c>
    </row>
    <row r="599" spans="2:11">
      <c r="B599" s="18" t="str">
        <f xml:space="preserve"> TRIM( "9781626562578" )</f>
        <v>9781626562578</v>
      </c>
      <c r="C599" s="18" t="str">
        <f xml:space="preserve"> TRIM( "9781626562592" )</f>
        <v>9781626562592</v>
      </c>
      <c r="D599" s="18" t="s">
        <v>385</v>
      </c>
      <c r="E599" s="18" t="s">
        <v>37</v>
      </c>
      <c r="F599" s="18" t="s">
        <v>1360</v>
      </c>
      <c r="G599" s="18" t="s">
        <v>39</v>
      </c>
      <c r="H599" s="18">
        <v>0.2</v>
      </c>
      <c r="I599" s="20">
        <v>73.459999999999994</v>
      </c>
      <c r="J599" s="21">
        <v>0.2</v>
      </c>
      <c r="K599" s="20">
        <f t="shared" ca="1" si="10"/>
        <v>14.69</v>
      </c>
    </row>
    <row r="600" spans="2:11">
      <c r="B600" s="18" t="str">
        <f xml:space="preserve"> TRIM( "9781626562578" )</f>
        <v>9781626562578</v>
      </c>
      <c r="C600" s="18" t="str">
        <f xml:space="preserve"> TRIM( "9781626562592" )</f>
        <v>9781626562592</v>
      </c>
      <c r="D600" s="18" t="s">
        <v>385</v>
      </c>
      <c r="E600" s="18" t="s">
        <v>37</v>
      </c>
      <c r="F600" s="18" t="s">
        <v>1360</v>
      </c>
      <c r="G600" s="18" t="s">
        <v>40</v>
      </c>
      <c r="H600" s="18">
        <v>0.25</v>
      </c>
      <c r="I600" s="20">
        <v>2.52</v>
      </c>
      <c r="J600" s="21">
        <v>0.25</v>
      </c>
      <c r="K600" s="20">
        <f t="shared" ca="1" si="10"/>
        <v>0.63</v>
      </c>
    </row>
    <row r="601" spans="2:11">
      <c r="B601" s="18" t="str">
        <f xml:space="preserve"> TRIM( "9781626562615" )</f>
        <v>9781626562615</v>
      </c>
      <c r="C601" s="18" t="str">
        <f xml:space="preserve"> TRIM( " " )</f>
        <v/>
      </c>
      <c r="D601" s="18" t="s">
        <v>1362</v>
      </c>
      <c r="E601" s="18" t="s">
        <v>37</v>
      </c>
      <c r="F601" s="18" t="s">
        <v>705</v>
      </c>
      <c r="G601" s="18" t="s">
        <v>39</v>
      </c>
      <c r="H601" s="18">
        <v>0.2</v>
      </c>
      <c r="I601" s="20">
        <v>19.5</v>
      </c>
      <c r="J601" s="21">
        <v>0.2</v>
      </c>
      <c r="K601" s="20">
        <f t="shared" ca="1" si="10"/>
        <v>3.9</v>
      </c>
    </row>
    <row r="602" spans="2:11">
      <c r="B602" s="18" t="str">
        <f xml:space="preserve"> TRIM( "9781626562615" )</f>
        <v>9781626562615</v>
      </c>
      <c r="C602" s="18" t="str">
        <f xml:space="preserve"> TRIM( " " )</f>
        <v/>
      </c>
      <c r="D602" s="18" t="s">
        <v>1362</v>
      </c>
      <c r="E602" s="18" t="s">
        <v>37</v>
      </c>
      <c r="F602" s="18" t="s">
        <v>705</v>
      </c>
      <c r="G602" s="18" t="s">
        <v>40</v>
      </c>
      <c r="H602" s="18">
        <v>0.25</v>
      </c>
      <c r="I602" s="20">
        <v>4.75</v>
      </c>
      <c r="J602" s="21">
        <v>0.25</v>
      </c>
      <c r="K602" s="20">
        <f t="shared" ca="1" si="10"/>
        <v>1.19</v>
      </c>
    </row>
    <row r="603" spans="2:11">
      <c r="B603" s="18" t="str">
        <f xml:space="preserve"> TRIM( "9781626562653" )</f>
        <v>9781626562653</v>
      </c>
      <c r="C603" s="18" t="str">
        <f xml:space="preserve"> TRIM( "9781626562677" )</f>
        <v>9781626562677</v>
      </c>
      <c r="D603" s="18" t="s">
        <v>1365</v>
      </c>
      <c r="E603" s="18" t="s">
        <v>37</v>
      </c>
      <c r="F603" s="18" t="s">
        <v>723</v>
      </c>
      <c r="G603" s="18" t="s">
        <v>39</v>
      </c>
      <c r="H603" s="18">
        <v>0.2</v>
      </c>
      <c r="I603" s="20">
        <v>3.92</v>
      </c>
      <c r="J603" s="21">
        <v>0.2</v>
      </c>
      <c r="K603" s="20">
        <f t="shared" ca="1" si="10"/>
        <v>0.78</v>
      </c>
    </row>
    <row r="604" spans="2:11">
      <c r="B604" s="18" t="str">
        <f xml:space="preserve"> TRIM( "9781626562691" )</f>
        <v>9781626562691</v>
      </c>
      <c r="C604" s="18" t="str">
        <f xml:space="preserve"> TRIM( "9781626562714" )</f>
        <v>9781626562714</v>
      </c>
      <c r="D604" s="18" t="s">
        <v>1368</v>
      </c>
      <c r="E604" s="18" t="s">
        <v>37</v>
      </c>
      <c r="F604" s="18" t="s">
        <v>1369</v>
      </c>
      <c r="G604" s="18" t="s">
        <v>39</v>
      </c>
      <c r="H604" s="18">
        <v>0.2</v>
      </c>
      <c r="I604" s="20">
        <v>3.05</v>
      </c>
      <c r="J604" s="21">
        <v>0.2</v>
      </c>
      <c r="K604" s="20">
        <f t="shared" ca="1" si="10"/>
        <v>0.61</v>
      </c>
    </row>
    <row r="605" spans="2:11">
      <c r="B605" s="18" t="str">
        <f xml:space="preserve"> TRIM( "9781626562752" )</f>
        <v>9781626562752</v>
      </c>
      <c r="C605" s="18" t="str">
        <f xml:space="preserve"> TRIM( "9781626562776" )</f>
        <v>9781626562776</v>
      </c>
      <c r="D605" s="18" t="s">
        <v>1372</v>
      </c>
      <c r="E605" s="18" t="s">
        <v>37</v>
      </c>
      <c r="F605" s="18" t="s">
        <v>1373</v>
      </c>
      <c r="G605" s="18" t="s">
        <v>39</v>
      </c>
      <c r="H605" s="18">
        <v>0.2</v>
      </c>
      <c r="I605" s="20">
        <v>3</v>
      </c>
      <c r="J605" s="21">
        <v>0.2</v>
      </c>
      <c r="K605" s="20">
        <f t="shared" ca="1" si="10"/>
        <v>0.6</v>
      </c>
    </row>
    <row r="606" spans="2:11">
      <c r="B606" s="18" t="str">
        <f xml:space="preserve"> TRIM( "9781626562813" )</f>
        <v>9781626562813</v>
      </c>
      <c r="C606" s="18" t="str">
        <f xml:space="preserve"> TRIM( "9781626562813" )</f>
        <v>9781626562813</v>
      </c>
      <c r="D606" s="18" t="s">
        <v>1375</v>
      </c>
      <c r="E606" s="18" t="s">
        <v>37</v>
      </c>
      <c r="F606" s="18" t="s">
        <v>1376</v>
      </c>
      <c r="G606" s="18" t="s">
        <v>39</v>
      </c>
      <c r="H606" s="18">
        <v>0.2</v>
      </c>
      <c r="I606" s="20">
        <v>18.059999999999999</v>
      </c>
      <c r="J606" s="21">
        <v>0.2</v>
      </c>
      <c r="K606" s="20">
        <f t="shared" ca="1" si="10"/>
        <v>3.61</v>
      </c>
    </row>
    <row r="607" spans="2:11">
      <c r="B607" s="18" t="str">
        <f xml:space="preserve"> TRIM( "9781626562837" )</f>
        <v>9781626562837</v>
      </c>
      <c r="C607" s="18" t="str">
        <f xml:space="preserve"> TRIM( " " )</f>
        <v/>
      </c>
      <c r="D607" s="18" t="s">
        <v>1378</v>
      </c>
      <c r="E607" s="18" t="s">
        <v>37</v>
      </c>
      <c r="F607" s="18" t="s">
        <v>1379</v>
      </c>
      <c r="G607" s="18" t="s">
        <v>39</v>
      </c>
      <c r="H607" s="18">
        <v>0.2</v>
      </c>
      <c r="I607" s="20">
        <v>12.47</v>
      </c>
      <c r="J607" s="21">
        <v>0.2</v>
      </c>
      <c r="K607" s="20">
        <f t="shared" ca="1" si="10"/>
        <v>2.4900000000000002</v>
      </c>
    </row>
    <row r="608" spans="2:11">
      <c r="B608" s="18" t="str">
        <f xml:space="preserve"> TRIM( "9781626562837" )</f>
        <v>9781626562837</v>
      </c>
      <c r="C608" s="18" t="str">
        <f xml:space="preserve"> TRIM( " " )</f>
        <v/>
      </c>
      <c r="D608" s="18" t="s">
        <v>1378</v>
      </c>
      <c r="E608" s="18" t="s">
        <v>37</v>
      </c>
      <c r="F608" s="18" t="s">
        <v>1379</v>
      </c>
      <c r="G608" s="18" t="s">
        <v>40</v>
      </c>
      <c r="H608" s="18">
        <v>0.25</v>
      </c>
      <c r="I608" s="20">
        <v>0.31</v>
      </c>
      <c r="J608" s="21">
        <v>0.25</v>
      </c>
      <c r="K608" s="20">
        <f t="shared" ca="1" si="10"/>
        <v>0.08</v>
      </c>
    </row>
    <row r="609" spans="2:11">
      <c r="B609" s="18" t="str">
        <f xml:space="preserve"> TRIM( "9781626562875" )</f>
        <v>9781626562875</v>
      </c>
      <c r="C609" s="18" t="str">
        <f xml:space="preserve"> TRIM( " " )</f>
        <v/>
      </c>
      <c r="D609" s="18" t="s">
        <v>1381</v>
      </c>
      <c r="E609" s="18" t="s">
        <v>37</v>
      </c>
      <c r="F609" s="18" t="s">
        <v>221</v>
      </c>
      <c r="G609" s="18" t="s">
        <v>39</v>
      </c>
      <c r="H609" s="18">
        <v>0.2</v>
      </c>
      <c r="I609" s="20">
        <v>5.58</v>
      </c>
      <c r="J609" s="21">
        <v>0.2</v>
      </c>
      <c r="K609" s="20">
        <f t="shared" ca="1" si="10"/>
        <v>1.1200000000000001</v>
      </c>
    </row>
    <row r="610" spans="2:11">
      <c r="B610" s="18" t="str">
        <f xml:space="preserve"> TRIM( "9781626562875" )</f>
        <v>9781626562875</v>
      </c>
      <c r="C610" s="18" t="str">
        <f xml:space="preserve"> TRIM( " " )</f>
        <v/>
      </c>
      <c r="D610" s="18" t="s">
        <v>1381</v>
      </c>
      <c r="E610" s="18" t="s">
        <v>37</v>
      </c>
      <c r="F610" s="18" t="s">
        <v>221</v>
      </c>
      <c r="G610" s="18" t="s">
        <v>40</v>
      </c>
      <c r="H610" s="18">
        <v>0.25</v>
      </c>
      <c r="I610" s="20">
        <v>0.14000000000000001</v>
      </c>
      <c r="J610" s="21">
        <v>0.25</v>
      </c>
      <c r="K610" s="20">
        <f t="shared" ca="1" si="10"/>
        <v>0.04</v>
      </c>
    </row>
    <row r="611" spans="2:11">
      <c r="B611" s="18" t="str">
        <f xml:space="preserve"> TRIM( "9781626562905" )</f>
        <v>9781626562905</v>
      </c>
      <c r="C611" s="18" t="str">
        <f xml:space="preserve"> TRIM( "9781626562929" )</f>
        <v>9781626562929</v>
      </c>
      <c r="D611" s="18" t="s">
        <v>1384</v>
      </c>
      <c r="E611" s="18" t="s">
        <v>37</v>
      </c>
      <c r="F611" s="18" t="s">
        <v>221</v>
      </c>
      <c r="G611" s="18" t="s">
        <v>39</v>
      </c>
      <c r="H611" s="18">
        <v>0.2</v>
      </c>
      <c r="I611" s="20">
        <v>5.92</v>
      </c>
      <c r="J611" s="21">
        <v>0.2</v>
      </c>
      <c r="K611" s="20">
        <f t="shared" ca="1" si="10"/>
        <v>1.18</v>
      </c>
    </row>
    <row r="612" spans="2:11">
      <c r="B612" s="18" t="str">
        <f xml:space="preserve"> TRIM( "9781626562943" )</f>
        <v>9781626562943</v>
      </c>
      <c r="C612" s="18" t="str">
        <f xml:space="preserve"> TRIM( "9781626562967" )</f>
        <v>9781626562967</v>
      </c>
      <c r="D612" s="18" t="s">
        <v>1387</v>
      </c>
      <c r="E612" s="18" t="s">
        <v>37</v>
      </c>
      <c r="F612" s="18" t="s">
        <v>1388</v>
      </c>
      <c r="G612" s="18" t="s">
        <v>39</v>
      </c>
      <c r="H612" s="18">
        <v>0.2</v>
      </c>
      <c r="I612" s="20">
        <v>13.29</v>
      </c>
      <c r="J612" s="21">
        <v>0.2</v>
      </c>
      <c r="K612" s="20">
        <f t="shared" ca="1" si="10"/>
        <v>2.66</v>
      </c>
    </row>
    <row r="613" spans="2:11">
      <c r="B613" s="18" t="str">
        <f xml:space="preserve"> TRIM( "9781626562943" )</f>
        <v>9781626562943</v>
      </c>
      <c r="C613" s="18" t="str">
        <f xml:space="preserve"> TRIM( "9781626562967" )</f>
        <v>9781626562967</v>
      </c>
      <c r="D613" s="18" t="s">
        <v>1387</v>
      </c>
      <c r="E613" s="18" t="s">
        <v>37</v>
      </c>
      <c r="F613" s="18" t="s">
        <v>1388</v>
      </c>
      <c r="G613" s="18" t="s">
        <v>40</v>
      </c>
      <c r="H613" s="18">
        <v>0.25</v>
      </c>
      <c r="I613" s="20">
        <v>5.1100000000000003</v>
      </c>
      <c r="J613" s="21">
        <v>0.25</v>
      </c>
      <c r="K613" s="20">
        <f t="shared" ca="1" si="10"/>
        <v>1.28</v>
      </c>
    </row>
    <row r="614" spans="2:11">
      <c r="B614" s="18" t="str">
        <f xml:space="preserve"> TRIM( "9781626563018" )</f>
        <v>9781626563018</v>
      </c>
      <c r="C614" s="18" t="str">
        <f xml:space="preserve"> TRIM( "9781626563452" )</f>
        <v>9781626563452</v>
      </c>
      <c r="D614" s="18" t="s">
        <v>1391</v>
      </c>
      <c r="E614" s="18" t="s">
        <v>37</v>
      </c>
      <c r="F614" s="18" t="s">
        <v>1392</v>
      </c>
      <c r="G614" s="18" t="s">
        <v>39</v>
      </c>
      <c r="H614" s="18">
        <v>0.2</v>
      </c>
      <c r="I614" s="20">
        <v>4.54</v>
      </c>
      <c r="J614" s="21">
        <v>0.2</v>
      </c>
      <c r="K614" s="20">
        <f t="shared" ca="1" si="10"/>
        <v>0.91</v>
      </c>
    </row>
    <row r="615" spans="2:11">
      <c r="B615" s="18" t="str">
        <f xml:space="preserve"> TRIM( "9781626563018" )</f>
        <v>9781626563018</v>
      </c>
      <c r="C615" s="18" t="str">
        <f xml:space="preserve"> TRIM( "9781626563452" )</f>
        <v>9781626563452</v>
      </c>
      <c r="D615" s="18" t="s">
        <v>1391</v>
      </c>
      <c r="E615" s="18" t="s">
        <v>37</v>
      </c>
      <c r="F615" s="18" t="s">
        <v>1392</v>
      </c>
      <c r="G615" s="18" t="s">
        <v>40</v>
      </c>
      <c r="H615" s="18">
        <v>0.25</v>
      </c>
      <c r="I615" s="20">
        <v>7.0000000000000007E-2</v>
      </c>
      <c r="J615" s="21">
        <v>0.25</v>
      </c>
      <c r="K615" s="20">
        <f t="shared" ca="1" si="10"/>
        <v>0.02</v>
      </c>
    </row>
    <row r="616" spans="2:11">
      <c r="B616" s="18" t="str">
        <f xml:space="preserve"> TRIM( "9781626563070" )</f>
        <v>9781626563070</v>
      </c>
      <c r="C616" s="18" t="str">
        <f xml:space="preserve"> TRIM( " " )</f>
        <v/>
      </c>
      <c r="D616" s="18" t="s">
        <v>1394</v>
      </c>
      <c r="E616" s="18" t="s">
        <v>37</v>
      </c>
      <c r="F616" s="18" t="s">
        <v>1395</v>
      </c>
      <c r="G616" s="18" t="s">
        <v>39</v>
      </c>
      <c r="H616" s="18">
        <v>0.2</v>
      </c>
      <c r="I616" s="20">
        <v>11.47</v>
      </c>
      <c r="J616" s="21">
        <v>0.2</v>
      </c>
      <c r="K616" s="20">
        <f t="shared" ca="1" si="10"/>
        <v>2.29</v>
      </c>
    </row>
    <row r="617" spans="2:11">
      <c r="B617" s="18" t="str">
        <f xml:space="preserve"> TRIM( "9781626563070" )</f>
        <v>9781626563070</v>
      </c>
      <c r="C617" s="18" t="str">
        <f xml:space="preserve"> TRIM( " " )</f>
        <v/>
      </c>
      <c r="D617" s="18" t="s">
        <v>1394</v>
      </c>
      <c r="E617" s="18" t="s">
        <v>37</v>
      </c>
      <c r="F617" s="18" t="s">
        <v>1395</v>
      </c>
      <c r="G617" s="18" t="s">
        <v>40</v>
      </c>
      <c r="H617" s="18">
        <v>0.25</v>
      </c>
      <c r="I617" s="20">
        <v>2.33</v>
      </c>
      <c r="J617" s="21">
        <v>0.25</v>
      </c>
      <c r="K617" s="20">
        <f t="shared" ca="1" si="10"/>
        <v>0.57999999999999996</v>
      </c>
    </row>
    <row r="618" spans="2:11">
      <c r="B618" s="18" t="str">
        <f xml:space="preserve"> TRIM( "9781626563179" )</f>
        <v>9781626563179</v>
      </c>
      <c r="C618" s="18" t="str">
        <f xml:space="preserve"> TRIM( "9781626563193" )</f>
        <v>9781626563193</v>
      </c>
      <c r="D618" s="18" t="s">
        <v>1398</v>
      </c>
      <c r="E618" s="18" t="s">
        <v>37</v>
      </c>
      <c r="F618" s="18" t="s">
        <v>172</v>
      </c>
      <c r="G618" s="18" t="s">
        <v>39</v>
      </c>
      <c r="H618" s="18">
        <v>0.2</v>
      </c>
      <c r="I618" s="20">
        <v>7.28</v>
      </c>
      <c r="J618" s="21">
        <v>0.2</v>
      </c>
      <c r="K618" s="20">
        <f t="shared" ca="1" si="10"/>
        <v>1.46</v>
      </c>
    </row>
    <row r="619" spans="2:11">
      <c r="B619" s="18" t="str">
        <f xml:space="preserve"> TRIM( "9781626563179" )</f>
        <v>9781626563179</v>
      </c>
      <c r="C619" s="18" t="str">
        <f xml:space="preserve"> TRIM( "9781626563193" )</f>
        <v>9781626563193</v>
      </c>
      <c r="D619" s="18" t="s">
        <v>1398</v>
      </c>
      <c r="E619" s="18" t="s">
        <v>37</v>
      </c>
      <c r="F619" s="18" t="s">
        <v>172</v>
      </c>
      <c r="G619" s="18" t="s">
        <v>40</v>
      </c>
      <c r="H619" s="18">
        <v>0.25</v>
      </c>
      <c r="I619" s="20">
        <v>0.02</v>
      </c>
      <c r="J619" s="21">
        <v>0.25</v>
      </c>
      <c r="K619" s="20">
        <f t="shared" ca="1" si="10"/>
        <v>0.01</v>
      </c>
    </row>
    <row r="620" spans="2:11">
      <c r="B620" s="18" t="str">
        <f xml:space="preserve"> TRIM( "9781626563292" )</f>
        <v>9781626563292</v>
      </c>
      <c r="C620" s="18" t="str">
        <f xml:space="preserve"> TRIM( "9781626563315" )</f>
        <v>9781626563315</v>
      </c>
      <c r="D620" s="18" t="s">
        <v>1401</v>
      </c>
      <c r="E620" s="18" t="s">
        <v>37</v>
      </c>
      <c r="F620" s="18" t="s">
        <v>1402</v>
      </c>
      <c r="G620" s="18" t="s">
        <v>39</v>
      </c>
      <c r="H620" s="18">
        <v>0.2</v>
      </c>
      <c r="I620" s="20">
        <v>31.04</v>
      </c>
      <c r="J620" s="21">
        <v>0.2</v>
      </c>
      <c r="K620" s="20">
        <f t="shared" ca="1" si="10"/>
        <v>6.21</v>
      </c>
    </row>
    <row r="621" spans="2:11">
      <c r="B621" s="18" t="str">
        <f xml:space="preserve"> TRIM( "9781626563292" )</f>
        <v>9781626563292</v>
      </c>
      <c r="C621" s="18" t="str">
        <f xml:space="preserve"> TRIM( "9781626563315" )</f>
        <v>9781626563315</v>
      </c>
      <c r="D621" s="18" t="s">
        <v>1401</v>
      </c>
      <c r="E621" s="18" t="s">
        <v>37</v>
      </c>
      <c r="F621" s="18" t="s">
        <v>1402</v>
      </c>
      <c r="G621" s="18" t="s">
        <v>40</v>
      </c>
      <c r="H621" s="18">
        <v>0.25</v>
      </c>
      <c r="I621" s="20">
        <v>0.17</v>
      </c>
      <c r="J621" s="21">
        <v>0.25</v>
      </c>
      <c r="K621" s="20">
        <f t="shared" ca="1" si="10"/>
        <v>0.04</v>
      </c>
    </row>
    <row r="622" spans="2:11">
      <c r="B622" s="18" t="str">
        <f xml:space="preserve"> TRIM( "9781626563339" )</f>
        <v>9781626563339</v>
      </c>
      <c r="C622" s="18" t="str">
        <f xml:space="preserve"> TRIM( "9781626563353" )</f>
        <v>9781626563353</v>
      </c>
      <c r="D622" s="18" t="s">
        <v>1405</v>
      </c>
      <c r="E622" s="18" t="s">
        <v>37</v>
      </c>
      <c r="F622" s="18" t="s">
        <v>1406</v>
      </c>
      <c r="G622" s="18" t="s">
        <v>39</v>
      </c>
      <c r="H622" s="18">
        <v>0.2</v>
      </c>
      <c r="I622" s="20">
        <v>11.64</v>
      </c>
      <c r="J622" s="21">
        <v>0.2</v>
      </c>
      <c r="K622" s="20">
        <f t="shared" ca="1" si="10"/>
        <v>2.33</v>
      </c>
    </row>
    <row r="623" spans="2:11">
      <c r="B623" s="18" t="str">
        <f xml:space="preserve"> TRIM( "9781626563339" )</f>
        <v>9781626563339</v>
      </c>
      <c r="C623" s="18" t="str">
        <f xml:space="preserve"> TRIM( "9781626563353" )</f>
        <v>9781626563353</v>
      </c>
      <c r="D623" s="18" t="s">
        <v>1405</v>
      </c>
      <c r="E623" s="18" t="s">
        <v>37</v>
      </c>
      <c r="F623" s="18" t="s">
        <v>1406</v>
      </c>
      <c r="G623" s="18" t="s">
        <v>40</v>
      </c>
      <c r="H623" s="18">
        <v>0.25</v>
      </c>
      <c r="I623" s="20">
        <v>3.49</v>
      </c>
      <c r="J623" s="21">
        <v>0.25</v>
      </c>
      <c r="K623" s="20">
        <f t="shared" ca="1" si="10"/>
        <v>0.87</v>
      </c>
    </row>
    <row r="624" spans="2:11">
      <c r="B624" s="18" t="str">
        <f xml:space="preserve"> TRIM( "9781626563377" )</f>
        <v>9781626563377</v>
      </c>
      <c r="C624" s="18" t="str">
        <f xml:space="preserve"> TRIM( "9781626563391" )</f>
        <v>9781626563391</v>
      </c>
      <c r="D624" s="18" t="s">
        <v>1409</v>
      </c>
      <c r="E624" s="18" t="s">
        <v>37</v>
      </c>
      <c r="F624" s="18" t="s">
        <v>1410</v>
      </c>
      <c r="G624" s="18" t="s">
        <v>39</v>
      </c>
      <c r="H624" s="18">
        <v>0.2</v>
      </c>
      <c r="I624" s="20">
        <v>3.05</v>
      </c>
      <c r="J624" s="21">
        <v>0.2</v>
      </c>
      <c r="K624" s="20">
        <f t="shared" ca="1" si="10"/>
        <v>0.61</v>
      </c>
    </row>
    <row r="625" spans="2:11">
      <c r="B625" s="18" t="str">
        <f xml:space="preserve"> TRIM( "9781626563377" )</f>
        <v>9781626563377</v>
      </c>
      <c r="C625" s="18" t="str">
        <f xml:space="preserve"> TRIM( "9781626563391" )</f>
        <v>9781626563391</v>
      </c>
      <c r="D625" s="18" t="s">
        <v>1409</v>
      </c>
      <c r="E625" s="18" t="s">
        <v>37</v>
      </c>
      <c r="F625" s="18" t="s">
        <v>1410</v>
      </c>
      <c r="G625" s="18" t="s">
        <v>40</v>
      </c>
      <c r="H625" s="18">
        <v>0.25</v>
      </c>
      <c r="I625" s="20">
        <v>0.04</v>
      </c>
      <c r="J625" s="21">
        <v>0.25</v>
      </c>
      <c r="K625" s="20">
        <f t="shared" ca="1" si="10"/>
        <v>0.01</v>
      </c>
    </row>
    <row r="626" spans="2:11">
      <c r="B626" s="18" t="str">
        <f xml:space="preserve"> TRIM( "9781626563469" )</f>
        <v>9781626563469</v>
      </c>
      <c r="C626" s="18" t="str">
        <f xml:space="preserve"> TRIM( "9781626562981" )</f>
        <v>9781626562981</v>
      </c>
      <c r="D626" s="18" t="s">
        <v>1413</v>
      </c>
      <c r="E626" s="18" t="s">
        <v>37</v>
      </c>
      <c r="F626" s="18" t="s">
        <v>1414</v>
      </c>
      <c r="G626" s="18" t="s">
        <v>39</v>
      </c>
      <c r="H626" s="18">
        <v>0.2</v>
      </c>
      <c r="I626" s="20">
        <v>1.4</v>
      </c>
      <c r="J626" s="21">
        <v>0.2</v>
      </c>
      <c r="K626" s="20">
        <f t="shared" ca="1" si="10"/>
        <v>0.28000000000000003</v>
      </c>
    </row>
    <row r="627" spans="2:11">
      <c r="B627" s="18" t="str">
        <f xml:space="preserve"> TRIM( "9781626563469" )</f>
        <v>9781626563469</v>
      </c>
      <c r="C627" s="18" t="str">
        <f xml:space="preserve"> TRIM( "9781626562981" )</f>
        <v>9781626562981</v>
      </c>
      <c r="D627" s="18" t="s">
        <v>1413</v>
      </c>
      <c r="E627" s="18" t="s">
        <v>37</v>
      </c>
      <c r="F627" s="18" t="s">
        <v>1414</v>
      </c>
      <c r="G627" s="18" t="s">
        <v>40</v>
      </c>
      <c r="H627" s="18">
        <v>0.25</v>
      </c>
      <c r="I627" s="20">
        <v>4.32</v>
      </c>
      <c r="J627" s="21">
        <v>0.25</v>
      </c>
      <c r="K627" s="20">
        <f t="shared" ca="1" si="10"/>
        <v>1.08</v>
      </c>
    </row>
    <row r="628" spans="2:11">
      <c r="B628" s="18" t="str">
        <f xml:space="preserve"> TRIM( "9781626563476" )</f>
        <v>9781626563476</v>
      </c>
      <c r="C628" s="18" t="str">
        <f xml:space="preserve"> TRIM( " " )</f>
        <v/>
      </c>
      <c r="D628" s="18" t="s">
        <v>1416</v>
      </c>
      <c r="E628" s="18" t="s">
        <v>37</v>
      </c>
      <c r="F628" s="18" t="s">
        <v>1417</v>
      </c>
      <c r="G628" s="18" t="s">
        <v>39</v>
      </c>
      <c r="H628" s="18">
        <v>0.2</v>
      </c>
      <c r="I628" s="20">
        <v>4.1500000000000004</v>
      </c>
      <c r="J628" s="21">
        <v>0.2</v>
      </c>
      <c r="K628" s="20">
        <f t="shared" ca="1" si="10"/>
        <v>0.83</v>
      </c>
    </row>
    <row r="629" spans="2:11">
      <c r="B629" s="18" t="str">
        <f xml:space="preserve"> TRIM( "9781626563476" )</f>
        <v>9781626563476</v>
      </c>
      <c r="C629" s="18" t="str">
        <f xml:space="preserve"> TRIM( " " )</f>
        <v/>
      </c>
      <c r="D629" s="18" t="s">
        <v>1416</v>
      </c>
      <c r="E629" s="18" t="s">
        <v>37</v>
      </c>
      <c r="F629" s="18" t="s">
        <v>1417</v>
      </c>
      <c r="G629" s="18" t="s">
        <v>40</v>
      </c>
      <c r="H629" s="18">
        <v>0.25</v>
      </c>
      <c r="I629" s="20">
        <v>0.53</v>
      </c>
      <c r="J629" s="21">
        <v>0.25</v>
      </c>
      <c r="K629" s="20">
        <f t="shared" ca="1" si="10"/>
        <v>0.13</v>
      </c>
    </row>
    <row r="630" spans="2:11">
      <c r="B630" s="18" t="str">
        <f xml:space="preserve"> TRIM( "9781626563513" )</f>
        <v>9781626563513</v>
      </c>
      <c r="C630" s="18" t="str">
        <f xml:space="preserve"> TRIM( " " )</f>
        <v/>
      </c>
      <c r="D630" s="18" t="s">
        <v>1419</v>
      </c>
      <c r="E630" s="18" t="s">
        <v>37</v>
      </c>
      <c r="F630" s="18" t="s">
        <v>1420</v>
      </c>
      <c r="G630" s="18" t="s">
        <v>39</v>
      </c>
      <c r="H630" s="18">
        <v>0.2</v>
      </c>
      <c r="I630" s="20">
        <v>19.37</v>
      </c>
      <c r="J630" s="21">
        <v>0.2</v>
      </c>
      <c r="K630" s="20">
        <f t="shared" ca="1" si="10"/>
        <v>3.87</v>
      </c>
    </row>
    <row r="631" spans="2:11">
      <c r="B631" s="18" t="str">
        <f xml:space="preserve"> TRIM( "9781626563513" )</f>
        <v>9781626563513</v>
      </c>
      <c r="C631" s="18" t="str">
        <f xml:space="preserve"> TRIM( " " )</f>
        <v/>
      </c>
      <c r="D631" s="18" t="s">
        <v>1419</v>
      </c>
      <c r="E631" s="18" t="s">
        <v>37</v>
      </c>
      <c r="F631" s="18" t="s">
        <v>1420</v>
      </c>
      <c r="G631" s="18" t="s">
        <v>40</v>
      </c>
      <c r="H631" s="18">
        <v>0.25</v>
      </c>
      <c r="I631" s="20">
        <v>0.05</v>
      </c>
      <c r="J631" s="21">
        <v>0.25</v>
      </c>
      <c r="K631" s="20">
        <f t="shared" ca="1" si="10"/>
        <v>0.01</v>
      </c>
    </row>
    <row r="632" spans="2:11">
      <c r="B632" s="18" t="str">
        <f xml:space="preserve"> TRIM( "9781626563940" )</f>
        <v>9781626563940</v>
      </c>
      <c r="C632" s="18" t="str">
        <f xml:space="preserve"> TRIM( "9781626563964" )</f>
        <v>9781626563964</v>
      </c>
      <c r="D632" s="18" t="s">
        <v>1423</v>
      </c>
      <c r="E632" s="18" t="s">
        <v>37</v>
      </c>
      <c r="F632" s="18" t="s">
        <v>943</v>
      </c>
      <c r="G632" s="18" t="s">
        <v>39</v>
      </c>
      <c r="H632" s="18">
        <v>0.2</v>
      </c>
      <c r="I632" s="20">
        <v>93.88</v>
      </c>
      <c r="J632" s="21">
        <v>0.2</v>
      </c>
      <c r="K632" s="20">
        <f t="shared" ca="1" si="10"/>
        <v>18.78</v>
      </c>
    </row>
    <row r="633" spans="2:11">
      <c r="B633" s="18" t="str">
        <f xml:space="preserve"> TRIM( "9781626563940" )</f>
        <v>9781626563940</v>
      </c>
      <c r="C633" s="18" t="str">
        <f xml:space="preserve"> TRIM( "9781626563964" )</f>
        <v>9781626563964</v>
      </c>
      <c r="D633" s="18" t="s">
        <v>1423</v>
      </c>
      <c r="E633" s="18" t="s">
        <v>37</v>
      </c>
      <c r="F633" s="18" t="s">
        <v>943</v>
      </c>
      <c r="G633" s="18" t="s">
        <v>40</v>
      </c>
      <c r="H633" s="18">
        <v>0.25</v>
      </c>
      <c r="I633" s="20">
        <v>46.23</v>
      </c>
      <c r="J633" s="21">
        <v>0.25</v>
      </c>
      <c r="K633" s="20">
        <f t="shared" ca="1" si="10"/>
        <v>11.56</v>
      </c>
    </row>
    <row r="634" spans="2:11">
      <c r="B634" s="18" t="str">
        <f xml:space="preserve"> TRIM( "9781626564046" )</f>
        <v>9781626564046</v>
      </c>
      <c r="C634" s="18" t="str">
        <f t="shared" ref="C634:C639" si="11" xml:space="preserve"> TRIM( " " )</f>
        <v/>
      </c>
      <c r="D634" s="18" t="s">
        <v>1425</v>
      </c>
      <c r="E634" s="18" t="s">
        <v>37</v>
      </c>
      <c r="F634" s="18" t="s">
        <v>1426</v>
      </c>
      <c r="G634" s="18" t="s">
        <v>39</v>
      </c>
      <c r="H634" s="18">
        <v>0.2</v>
      </c>
      <c r="I634" s="20">
        <v>14.5</v>
      </c>
      <c r="J634" s="21">
        <v>0.2</v>
      </c>
      <c r="K634" s="20">
        <f t="shared" ca="1" si="10"/>
        <v>2.9</v>
      </c>
    </row>
    <row r="635" spans="2:11">
      <c r="B635" s="18" t="str">
        <f xml:space="preserve"> TRIM( "9781626564046" )</f>
        <v>9781626564046</v>
      </c>
      <c r="C635" s="18" t="str">
        <f t="shared" si="11"/>
        <v/>
      </c>
      <c r="D635" s="18" t="s">
        <v>1425</v>
      </c>
      <c r="E635" s="18" t="s">
        <v>37</v>
      </c>
      <c r="F635" s="18" t="s">
        <v>1426</v>
      </c>
      <c r="G635" s="18" t="s">
        <v>40</v>
      </c>
      <c r="H635" s="18">
        <v>0.25</v>
      </c>
      <c r="I635" s="20">
        <v>4.6500000000000004</v>
      </c>
      <c r="J635" s="21">
        <v>0.25</v>
      </c>
      <c r="K635" s="20">
        <f t="shared" ca="1" si="10"/>
        <v>1.1599999999999999</v>
      </c>
    </row>
    <row r="636" spans="2:11">
      <c r="B636" s="18" t="str">
        <f xml:space="preserve"> TRIM( "9781626564145" )</f>
        <v>9781626564145</v>
      </c>
      <c r="C636" s="18" t="str">
        <f t="shared" si="11"/>
        <v/>
      </c>
      <c r="D636" s="18" t="s">
        <v>1428</v>
      </c>
      <c r="E636" s="18" t="s">
        <v>37</v>
      </c>
      <c r="F636" s="18" t="s">
        <v>1429</v>
      </c>
      <c r="G636" s="18" t="s">
        <v>39</v>
      </c>
      <c r="H636" s="18">
        <v>0.2</v>
      </c>
      <c r="I636" s="20">
        <v>19.13</v>
      </c>
      <c r="J636" s="21">
        <v>0.2</v>
      </c>
      <c r="K636" s="20">
        <f t="shared" ca="1" si="10"/>
        <v>3.83</v>
      </c>
    </row>
    <row r="637" spans="2:11">
      <c r="B637" s="18" t="str">
        <f xml:space="preserve"> TRIM( "9781626564145" )</f>
        <v>9781626564145</v>
      </c>
      <c r="C637" s="18" t="str">
        <f t="shared" si="11"/>
        <v/>
      </c>
      <c r="D637" s="18" t="s">
        <v>1428</v>
      </c>
      <c r="E637" s="18" t="s">
        <v>37</v>
      </c>
      <c r="F637" s="18" t="s">
        <v>1429</v>
      </c>
      <c r="G637" s="18" t="s">
        <v>40</v>
      </c>
      <c r="H637" s="18">
        <v>0.25</v>
      </c>
      <c r="I637" s="20">
        <v>0.16</v>
      </c>
      <c r="J637" s="21">
        <v>0.25</v>
      </c>
      <c r="K637" s="20">
        <f t="shared" ca="1" si="10"/>
        <v>0.04</v>
      </c>
    </row>
    <row r="638" spans="2:11">
      <c r="B638" s="18" t="str">
        <f xml:space="preserve"> TRIM( "9781626564183" )</f>
        <v>9781626564183</v>
      </c>
      <c r="C638" s="18" t="str">
        <f t="shared" si="11"/>
        <v/>
      </c>
      <c r="D638" s="18" t="s">
        <v>1431</v>
      </c>
      <c r="E638" s="18" t="s">
        <v>37</v>
      </c>
      <c r="F638" s="18" t="s">
        <v>1432</v>
      </c>
      <c r="G638" s="18" t="s">
        <v>39</v>
      </c>
      <c r="H638" s="18">
        <v>0.2</v>
      </c>
      <c r="I638" s="20">
        <v>100.72</v>
      </c>
      <c r="J638" s="21">
        <v>0.2</v>
      </c>
      <c r="K638" s="20">
        <f t="shared" ca="1" si="10"/>
        <v>20.14</v>
      </c>
    </row>
    <row r="639" spans="2:11">
      <c r="B639" s="18" t="str">
        <f xml:space="preserve"> TRIM( "9781626564183" )</f>
        <v>9781626564183</v>
      </c>
      <c r="C639" s="18" t="str">
        <f t="shared" si="11"/>
        <v/>
      </c>
      <c r="D639" s="18" t="s">
        <v>1431</v>
      </c>
      <c r="E639" s="18" t="s">
        <v>37</v>
      </c>
      <c r="F639" s="18" t="s">
        <v>1432</v>
      </c>
      <c r="G639" s="18" t="s">
        <v>40</v>
      </c>
      <c r="H639" s="18">
        <v>0.25</v>
      </c>
      <c r="I639" s="20">
        <v>22.52</v>
      </c>
      <c r="J639" s="21">
        <v>0.25</v>
      </c>
      <c r="K639" s="20">
        <f t="shared" ca="1" si="10"/>
        <v>5.63</v>
      </c>
    </row>
    <row r="640" spans="2:11">
      <c r="B640" s="18" t="str">
        <f xml:space="preserve"> TRIM( "9781626564213" )</f>
        <v>9781626564213</v>
      </c>
      <c r="C640" s="18" t="str">
        <f xml:space="preserve"> TRIM( "9781626564213" )</f>
        <v>9781626564213</v>
      </c>
      <c r="D640" s="18" t="s">
        <v>1434</v>
      </c>
      <c r="E640" s="18" t="s">
        <v>37</v>
      </c>
      <c r="F640" s="18" t="s">
        <v>1435</v>
      </c>
      <c r="G640" s="18" t="s">
        <v>39</v>
      </c>
      <c r="H640" s="18">
        <v>0.2</v>
      </c>
      <c r="I640" s="20">
        <v>17.75</v>
      </c>
      <c r="J640" s="21">
        <v>0.2</v>
      </c>
      <c r="K640" s="20">
        <f t="shared" ca="1" si="10"/>
        <v>3.55</v>
      </c>
    </row>
    <row r="641" spans="2:11">
      <c r="B641" s="18" t="str">
        <f xml:space="preserve"> TRIM( "9781626564213" )</f>
        <v>9781626564213</v>
      </c>
      <c r="C641" s="18" t="str">
        <f xml:space="preserve"> TRIM( "9781626564213" )</f>
        <v>9781626564213</v>
      </c>
      <c r="D641" s="18" t="s">
        <v>1434</v>
      </c>
      <c r="E641" s="18" t="s">
        <v>37</v>
      </c>
      <c r="F641" s="18" t="s">
        <v>1435</v>
      </c>
      <c r="G641" s="18" t="s">
        <v>40</v>
      </c>
      <c r="H641" s="18">
        <v>0.25</v>
      </c>
      <c r="I641" s="20">
        <v>0.5</v>
      </c>
      <c r="J641" s="21">
        <v>0.25</v>
      </c>
      <c r="K641" s="20">
        <f t="shared" ca="1" si="10"/>
        <v>0.13</v>
      </c>
    </row>
    <row r="642" spans="2:11">
      <c r="B642" s="18" t="str">
        <f xml:space="preserve"> TRIM( "9781626564275" )</f>
        <v>9781626564275</v>
      </c>
      <c r="C642" s="18" t="str">
        <f xml:space="preserve"> TRIM( " " )</f>
        <v/>
      </c>
      <c r="D642" s="18" t="s">
        <v>1437</v>
      </c>
      <c r="E642" s="18" t="s">
        <v>37</v>
      </c>
      <c r="F642" s="18" t="s">
        <v>1438</v>
      </c>
      <c r="G642" s="18" t="s">
        <v>39</v>
      </c>
      <c r="H642" s="18">
        <v>0.2</v>
      </c>
      <c r="I642" s="20">
        <v>10.58</v>
      </c>
      <c r="J642" s="21">
        <v>0.2</v>
      </c>
      <c r="K642" s="20">
        <f t="shared" ca="1" si="10"/>
        <v>2.12</v>
      </c>
    </row>
    <row r="643" spans="2:11">
      <c r="B643" s="18" t="str">
        <f xml:space="preserve"> TRIM( "9781626564312" )</f>
        <v>9781626564312</v>
      </c>
      <c r="C643" s="18" t="str">
        <f xml:space="preserve"> TRIM( " " )</f>
        <v/>
      </c>
      <c r="D643" s="18" t="s">
        <v>1440</v>
      </c>
      <c r="E643" s="18" t="s">
        <v>37</v>
      </c>
      <c r="F643" s="18" t="s">
        <v>1441</v>
      </c>
      <c r="G643" s="18" t="s">
        <v>39</v>
      </c>
      <c r="H643" s="18">
        <v>0.2</v>
      </c>
      <c r="I643" s="20">
        <v>148.21</v>
      </c>
      <c r="J643" s="21">
        <v>0.2</v>
      </c>
      <c r="K643" s="20">
        <f t="shared" ca="1" si="10"/>
        <v>29.64</v>
      </c>
    </row>
    <row r="644" spans="2:11">
      <c r="B644" s="18" t="str">
        <f xml:space="preserve"> TRIM( "9781626564435" )</f>
        <v>9781626564435</v>
      </c>
      <c r="C644" s="18" t="str">
        <f xml:space="preserve"> TRIM( " " )</f>
        <v/>
      </c>
      <c r="D644" s="18" t="s">
        <v>1443</v>
      </c>
      <c r="E644" s="18" t="s">
        <v>37</v>
      </c>
      <c r="F644" s="18" t="s">
        <v>1444</v>
      </c>
      <c r="G644" s="18" t="s">
        <v>39</v>
      </c>
      <c r="H644" s="18">
        <v>0.2</v>
      </c>
      <c r="I644" s="20">
        <v>3.55</v>
      </c>
      <c r="J644" s="21">
        <v>0.2</v>
      </c>
      <c r="K644" s="20">
        <f t="shared" ca="1" si="10"/>
        <v>0.71</v>
      </c>
    </row>
    <row r="645" spans="2:11">
      <c r="B645" s="18" t="str">
        <f xml:space="preserve"> TRIM( "9781626564435" )</f>
        <v>9781626564435</v>
      </c>
      <c r="C645" s="18" t="str">
        <f xml:space="preserve"> TRIM( " " )</f>
        <v/>
      </c>
      <c r="D645" s="18" t="s">
        <v>1443</v>
      </c>
      <c r="E645" s="18" t="s">
        <v>37</v>
      </c>
      <c r="F645" s="18" t="s">
        <v>1444</v>
      </c>
      <c r="G645" s="18" t="s">
        <v>40</v>
      </c>
      <c r="H645" s="18">
        <v>0.25</v>
      </c>
      <c r="I645" s="20">
        <v>0.04</v>
      </c>
      <c r="J645" s="21">
        <v>0.25</v>
      </c>
      <c r="K645" s="20">
        <f t="shared" ca="1" si="10"/>
        <v>0.01</v>
      </c>
    </row>
    <row r="646" spans="2:11">
      <c r="B646" s="18" t="str">
        <f xml:space="preserve"> TRIM( "9781626564473" )</f>
        <v>9781626564473</v>
      </c>
      <c r="C646" s="18" t="str">
        <f xml:space="preserve"> TRIM( "9781626564473" )</f>
        <v>9781626564473</v>
      </c>
      <c r="D646" s="18" t="s">
        <v>1446</v>
      </c>
      <c r="E646" s="18" t="s">
        <v>37</v>
      </c>
      <c r="F646" s="18" t="s">
        <v>1447</v>
      </c>
      <c r="G646" s="18" t="s">
        <v>39</v>
      </c>
      <c r="H646" s="18">
        <v>0.2</v>
      </c>
      <c r="I646" s="20">
        <v>64.75</v>
      </c>
      <c r="J646" s="21">
        <v>0.2</v>
      </c>
      <c r="K646" s="20">
        <f t="shared" ca="1" si="10"/>
        <v>12.95</v>
      </c>
    </row>
    <row r="647" spans="2:11">
      <c r="B647" s="18" t="str">
        <f xml:space="preserve"> TRIM( "9781626564473" )</f>
        <v>9781626564473</v>
      </c>
      <c r="C647" s="18" t="str">
        <f xml:space="preserve"> TRIM( "9781626564473" )</f>
        <v>9781626564473</v>
      </c>
      <c r="D647" s="18" t="s">
        <v>1446</v>
      </c>
      <c r="E647" s="18" t="s">
        <v>37</v>
      </c>
      <c r="F647" s="18" t="s">
        <v>1447</v>
      </c>
      <c r="G647" s="18" t="s">
        <v>40</v>
      </c>
      <c r="H647" s="18">
        <v>0.25</v>
      </c>
      <c r="I647" s="20">
        <v>39.130000000000003</v>
      </c>
      <c r="J647" s="21">
        <v>0.25</v>
      </c>
      <c r="K647" s="20">
        <f t="shared" ca="1" si="10"/>
        <v>9.7799999999999994</v>
      </c>
    </row>
    <row r="648" spans="2:11">
      <c r="B648" s="18" t="str">
        <f xml:space="preserve"> TRIM( "9781626564510" )</f>
        <v>9781626564510</v>
      </c>
      <c r="C648" s="18" t="str">
        <f xml:space="preserve"> TRIM( "9781626564510" )</f>
        <v>9781626564510</v>
      </c>
      <c r="D648" s="18" t="s">
        <v>1449</v>
      </c>
      <c r="E648" s="18" t="s">
        <v>37</v>
      </c>
      <c r="F648" s="18" t="s">
        <v>1450</v>
      </c>
      <c r="G648" s="18" t="s">
        <v>39</v>
      </c>
      <c r="H648" s="18">
        <v>0.2</v>
      </c>
      <c r="I648" s="20">
        <v>7.15</v>
      </c>
      <c r="J648" s="21">
        <v>0.2</v>
      </c>
      <c r="K648" s="20">
        <f t="shared" ca="1" si="10"/>
        <v>1.43</v>
      </c>
    </row>
    <row r="649" spans="2:11">
      <c r="B649" s="18" t="str">
        <f xml:space="preserve"> TRIM( "9781626564671" )</f>
        <v>9781626564671</v>
      </c>
      <c r="C649" s="18" t="str">
        <f xml:space="preserve"> TRIM( "9781626564671" )</f>
        <v>9781626564671</v>
      </c>
      <c r="D649" s="18" t="s">
        <v>1452</v>
      </c>
      <c r="E649" s="18" t="s">
        <v>37</v>
      </c>
      <c r="F649" s="18" t="s">
        <v>1453</v>
      </c>
      <c r="G649" s="18" t="s">
        <v>39</v>
      </c>
      <c r="H649" s="18">
        <v>0.2</v>
      </c>
      <c r="I649" s="20">
        <v>8.8000000000000007</v>
      </c>
      <c r="J649" s="21">
        <v>0.2</v>
      </c>
      <c r="K649" s="20">
        <f t="shared" ca="1" si="10"/>
        <v>1.76</v>
      </c>
    </row>
    <row r="650" spans="2:11">
      <c r="B650" s="18" t="str">
        <f xml:space="preserve"> TRIM( "9781626565609" )</f>
        <v>9781626565609</v>
      </c>
      <c r="C650" s="18" t="str">
        <f xml:space="preserve"> TRIM( " " )</f>
        <v/>
      </c>
      <c r="D650" s="18" t="s">
        <v>1455</v>
      </c>
      <c r="E650" s="18" t="s">
        <v>37</v>
      </c>
      <c r="F650" s="18" t="s">
        <v>1456</v>
      </c>
      <c r="G650" s="18" t="s">
        <v>39</v>
      </c>
      <c r="H650" s="18">
        <v>0.2</v>
      </c>
      <c r="I650" s="20">
        <v>5.29</v>
      </c>
      <c r="J650" s="21">
        <v>0.2</v>
      </c>
      <c r="K650" s="20">
        <f t="shared" ca="1" si="10"/>
        <v>1.06</v>
      </c>
    </row>
    <row r="651" spans="2:11">
      <c r="B651" s="18" t="str">
        <f xml:space="preserve"> TRIM( "9781626565609" )</f>
        <v>9781626565609</v>
      </c>
      <c r="C651" s="18" t="str">
        <f xml:space="preserve"> TRIM( " " )</f>
        <v/>
      </c>
      <c r="D651" s="18" t="s">
        <v>1455</v>
      </c>
      <c r="E651" s="18" t="s">
        <v>37</v>
      </c>
      <c r="F651" s="18" t="s">
        <v>1456</v>
      </c>
      <c r="G651" s="18" t="s">
        <v>40</v>
      </c>
      <c r="H651" s="18">
        <v>0.25</v>
      </c>
      <c r="I651" s="20">
        <v>6.61</v>
      </c>
      <c r="J651" s="21">
        <v>0.25</v>
      </c>
      <c r="K651" s="20">
        <f t="shared" ca="1" si="10"/>
        <v>1.65</v>
      </c>
    </row>
    <row r="652" spans="2:11">
      <c r="B652" s="18" t="str">
        <f xml:space="preserve"> TRIM( "9781626565647" )</f>
        <v>9781626565647</v>
      </c>
      <c r="C652" s="18" t="str">
        <f xml:space="preserve"> TRIM( " " )</f>
        <v/>
      </c>
      <c r="D652" s="18" t="s">
        <v>1458</v>
      </c>
      <c r="E652" s="18" t="s">
        <v>37</v>
      </c>
      <c r="F652" s="18" t="s">
        <v>1459</v>
      </c>
      <c r="G652" s="18" t="s">
        <v>39</v>
      </c>
      <c r="H652" s="18">
        <v>0.2</v>
      </c>
      <c r="I652" s="20">
        <v>9.7200000000000006</v>
      </c>
      <c r="J652" s="21">
        <v>0.2</v>
      </c>
      <c r="K652" s="20">
        <f t="shared" ca="1" si="10"/>
        <v>1.94</v>
      </c>
    </row>
    <row r="653" spans="2:11">
      <c r="B653" s="18" t="str">
        <f xml:space="preserve"> TRIM( "9781626565685" )</f>
        <v>9781626565685</v>
      </c>
      <c r="C653" s="18" t="str">
        <f xml:space="preserve"> TRIM( "9781626565685" )</f>
        <v>9781626565685</v>
      </c>
      <c r="D653" s="18" t="s">
        <v>1461</v>
      </c>
      <c r="E653" s="18" t="s">
        <v>37</v>
      </c>
      <c r="F653" s="18" t="s">
        <v>1462</v>
      </c>
      <c r="G653" s="18" t="s">
        <v>39</v>
      </c>
      <c r="H653" s="18">
        <v>0.2</v>
      </c>
      <c r="I653" s="20">
        <v>4.2300000000000004</v>
      </c>
      <c r="J653" s="21">
        <v>0.2</v>
      </c>
      <c r="K653" s="20">
        <f t="shared" ca="1" si="10"/>
        <v>0.85</v>
      </c>
    </row>
    <row r="654" spans="2:11">
      <c r="B654" s="18" t="str">
        <f xml:space="preserve"> TRIM( "9781626565685" )</f>
        <v>9781626565685</v>
      </c>
      <c r="C654" s="18" t="str">
        <f xml:space="preserve"> TRIM( "9781626565685" )</f>
        <v>9781626565685</v>
      </c>
      <c r="D654" s="18" t="s">
        <v>1461</v>
      </c>
      <c r="E654" s="18" t="s">
        <v>37</v>
      </c>
      <c r="F654" s="18" t="s">
        <v>1462</v>
      </c>
      <c r="G654" s="18" t="s">
        <v>40</v>
      </c>
      <c r="H654" s="18">
        <v>0.25</v>
      </c>
      <c r="I654" s="20">
        <v>18.66</v>
      </c>
      <c r="J654" s="21">
        <v>0.25</v>
      </c>
      <c r="K654" s="20">
        <f t="shared" ca="1" si="10"/>
        <v>4.67</v>
      </c>
    </row>
    <row r="655" spans="2:11">
      <c r="B655" s="18" t="str">
        <f xml:space="preserve"> TRIM( "9781626565746" )</f>
        <v>9781626565746</v>
      </c>
      <c r="C655" s="18" t="str">
        <f xml:space="preserve"> TRIM( " " )</f>
        <v/>
      </c>
      <c r="D655" s="18" t="s">
        <v>1464</v>
      </c>
      <c r="E655" s="18" t="s">
        <v>37</v>
      </c>
      <c r="F655" s="18" t="s">
        <v>962</v>
      </c>
      <c r="G655" s="18" t="s">
        <v>39</v>
      </c>
      <c r="H655" s="18">
        <v>0.2</v>
      </c>
      <c r="I655" s="20">
        <v>21.03</v>
      </c>
      <c r="J655" s="21">
        <v>0.2</v>
      </c>
      <c r="K655" s="20">
        <f t="shared" ca="1" si="10"/>
        <v>4.21</v>
      </c>
    </row>
    <row r="656" spans="2:11">
      <c r="B656" s="18" t="str">
        <f xml:space="preserve"> TRIM( "9781626565746" )</f>
        <v>9781626565746</v>
      </c>
      <c r="C656" s="18" t="str">
        <f xml:space="preserve"> TRIM( " " )</f>
        <v/>
      </c>
      <c r="D656" s="18" t="s">
        <v>1464</v>
      </c>
      <c r="E656" s="18" t="s">
        <v>37</v>
      </c>
      <c r="F656" s="18" t="s">
        <v>962</v>
      </c>
      <c r="G656" s="18" t="s">
        <v>40</v>
      </c>
      <c r="H656" s="18">
        <v>0.25</v>
      </c>
      <c r="I656" s="20">
        <v>1.1599999999999999</v>
      </c>
      <c r="J656" s="21">
        <v>0.25</v>
      </c>
      <c r="K656" s="20">
        <f t="shared" ref="K656:K719" ca="1" si="12" xml:space="preserve"> ROUND( ( INDIRECT( ADDRESS( ROW(), COLUMN()- 2 ))) * ( INDIRECT( ADDRESS( ROW(), COLUMN()- 1 ))), 2 )</f>
        <v>0.28999999999999998</v>
      </c>
    </row>
    <row r="657" spans="2:11">
      <c r="B657" s="18" t="str">
        <f xml:space="preserve"> TRIM( "9781626565784" )</f>
        <v>9781626565784</v>
      </c>
      <c r="C657" s="18" t="str">
        <f xml:space="preserve"> TRIM( "9781626565784" )</f>
        <v>9781626565784</v>
      </c>
      <c r="D657" s="18" t="s">
        <v>1466</v>
      </c>
      <c r="E657" s="18" t="s">
        <v>37</v>
      </c>
      <c r="F657" s="18" t="s">
        <v>1467</v>
      </c>
      <c r="G657" s="18" t="s">
        <v>39</v>
      </c>
      <c r="H657" s="18">
        <v>0.2</v>
      </c>
      <c r="I657" s="20">
        <v>2.82</v>
      </c>
      <c r="J657" s="21">
        <v>0.2</v>
      </c>
      <c r="K657" s="20">
        <f t="shared" ca="1" si="12"/>
        <v>0.56000000000000005</v>
      </c>
    </row>
    <row r="658" spans="2:11">
      <c r="B658" s="18" t="str">
        <f xml:space="preserve"> TRIM( "9781626565784" )</f>
        <v>9781626565784</v>
      </c>
      <c r="C658" s="18" t="str">
        <f xml:space="preserve"> TRIM( "9781626565784" )</f>
        <v>9781626565784</v>
      </c>
      <c r="D658" s="18" t="s">
        <v>1466</v>
      </c>
      <c r="E658" s="18" t="s">
        <v>37</v>
      </c>
      <c r="F658" s="18" t="s">
        <v>1467</v>
      </c>
      <c r="G658" s="18" t="s">
        <v>40</v>
      </c>
      <c r="H658" s="18">
        <v>0.25</v>
      </c>
      <c r="I658" s="20">
        <v>0</v>
      </c>
      <c r="J658" s="21">
        <v>0.25</v>
      </c>
      <c r="K658" s="20">
        <f t="shared" ca="1" si="12"/>
        <v>0</v>
      </c>
    </row>
    <row r="659" spans="2:11">
      <c r="B659" s="18" t="str">
        <f xml:space="preserve"> TRIM( "9781626565869" )</f>
        <v>9781626565869</v>
      </c>
      <c r="C659" s="18" t="str">
        <f xml:space="preserve"> TRIM( " " )</f>
        <v/>
      </c>
      <c r="D659" s="18" t="s">
        <v>1469</v>
      </c>
      <c r="E659" s="18" t="s">
        <v>37</v>
      </c>
      <c r="F659" s="18" t="s">
        <v>1470</v>
      </c>
      <c r="G659" s="18" t="s">
        <v>39</v>
      </c>
      <c r="H659" s="18">
        <v>0.2</v>
      </c>
      <c r="I659" s="20">
        <v>5.63</v>
      </c>
      <c r="J659" s="21">
        <v>0.2</v>
      </c>
      <c r="K659" s="20">
        <f t="shared" ca="1" si="12"/>
        <v>1.1299999999999999</v>
      </c>
    </row>
    <row r="660" spans="2:11">
      <c r="B660" s="18" t="str">
        <f xml:space="preserve"> TRIM( "9781626565906" )</f>
        <v>9781626565906</v>
      </c>
      <c r="C660" s="18" t="str">
        <f xml:space="preserve"> TRIM( "9781626565906" )</f>
        <v>9781626565906</v>
      </c>
      <c r="D660" s="18" t="s">
        <v>1472</v>
      </c>
      <c r="E660" s="18" t="s">
        <v>37</v>
      </c>
      <c r="F660" s="18" t="s">
        <v>1473</v>
      </c>
      <c r="G660" s="18" t="s">
        <v>39</v>
      </c>
      <c r="H660" s="18">
        <v>0.2</v>
      </c>
      <c r="I660" s="20">
        <v>63.03</v>
      </c>
      <c r="J660" s="21">
        <v>0.2</v>
      </c>
      <c r="K660" s="20">
        <f t="shared" ca="1" si="12"/>
        <v>12.61</v>
      </c>
    </row>
    <row r="661" spans="2:11">
      <c r="B661" s="18" t="str">
        <f xml:space="preserve"> TRIM( "9781626566125" )</f>
        <v>9781626566125</v>
      </c>
      <c r="C661" s="18" t="str">
        <f xml:space="preserve"> TRIM( "9781626566125" )</f>
        <v>9781626566125</v>
      </c>
      <c r="D661" s="18" t="s">
        <v>1475</v>
      </c>
      <c r="E661" s="18" t="s">
        <v>37</v>
      </c>
      <c r="F661" s="18" t="s">
        <v>1476</v>
      </c>
      <c r="G661" s="18" t="s">
        <v>39</v>
      </c>
      <c r="H661" s="18">
        <v>0.2</v>
      </c>
      <c r="I661" s="20">
        <v>6.69</v>
      </c>
      <c r="J661" s="21">
        <v>0.2</v>
      </c>
      <c r="K661" s="20">
        <f t="shared" ca="1" si="12"/>
        <v>1.34</v>
      </c>
    </row>
    <row r="662" spans="2:11">
      <c r="B662" s="18" t="str">
        <f xml:space="preserve"> TRIM( "9781626566163" )</f>
        <v>9781626566163</v>
      </c>
      <c r="C662" s="18" t="str">
        <f xml:space="preserve"> TRIM( "9781626566163" )</f>
        <v>9781626566163</v>
      </c>
      <c r="D662" s="18" t="s">
        <v>1478</v>
      </c>
      <c r="E662" s="18" t="s">
        <v>37</v>
      </c>
      <c r="F662" s="18" t="s">
        <v>958</v>
      </c>
      <c r="G662" s="18" t="s">
        <v>39</v>
      </c>
      <c r="H662" s="18">
        <v>0.2</v>
      </c>
      <c r="I662" s="20">
        <v>4.3600000000000003</v>
      </c>
      <c r="J662" s="21">
        <v>0.2</v>
      </c>
      <c r="K662" s="20">
        <f t="shared" ca="1" si="12"/>
        <v>0.87</v>
      </c>
    </row>
    <row r="663" spans="2:11">
      <c r="B663" s="18" t="str">
        <f xml:space="preserve"> TRIM( "9781626566163" )</f>
        <v>9781626566163</v>
      </c>
      <c r="C663" s="18" t="str">
        <f xml:space="preserve"> TRIM( "9781626566163" )</f>
        <v>9781626566163</v>
      </c>
      <c r="D663" s="18" t="s">
        <v>1478</v>
      </c>
      <c r="E663" s="18" t="s">
        <v>37</v>
      </c>
      <c r="F663" s="18" t="s">
        <v>958</v>
      </c>
      <c r="G663" s="18" t="s">
        <v>40</v>
      </c>
      <c r="H663" s="18">
        <v>0.25</v>
      </c>
      <c r="I663" s="20">
        <v>0.09</v>
      </c>
      <c r="J663" s="21">
        <v>0.25</v>
      </c>
      <c r="K663" s="20">
        <f t="shared" ca="1" si="12"/>
        <v>0.02</v>
      </c>
    </row>
    <row r="664" spans="2:11">
      <c r="B664" s="18" t="str">
        <f xml:space="preserve"> TRIM( "9781626566279" )</f>
        <v>9781626566279</v>
      </c>
      <c r="C664" s="18" t="str">
        <f xml:space="preserve"> TRIM( "9781626566279" )</f>
        <v>9781626566279</v>
      </c>
      <c r="D664" s="18" t="s">
        <v>1480</v>
      </c>
      <c r="E664" s="18" t="s">
        <v>37</v>
      </c>
      <c r="F664" s="18" t="s">
        <v>1481</v>
      </c>
      <c r="G664" s="18" t="s">
        <v>39</v>
      </c>
      <c r="H664" s="18">
        <v>0.2</v>
      </c>
      <c r="I664" s="20">
        <v>35.700000000000003</v>
      </c>
      <c r="J664" s="21">
        <v>0.2</v>
      </c>
      <c r="K664" s="20">
        <f t="shared" ca="1" si="12"/>
        <v>7.14</v>
      </c>
    </row>
    <row r="665" spans="2:11">
      <c r="B665" s="18" t="str">
        <f xml:space="preserve"> TRIM( "9781626566279" )</f>
        <v>9781626566279</v>
      </c>
      <c r="C665" s="18" t="str">
        <f xml:space="preserve"> TRIM( "9781626566279" )</f>
        <v>9781626566279</v>
      </c>
      <c r="D665" s="18" t="s">
        <v>1480</v>
      </c>
      <c r="E665" s="18" t="s">
        <v>37</v>
      </c>
      <c r="F665" s="18" t="s">
        <v>1481</v>
      </c>
      <c r="G665" s="18" t="s">
        <v>40</v>
      </c>
      <c r="H665" s="18">
        <v>0.25</v>
      </c>
      <c r="I665" s="20">
        <v>60.36</v>
      </c>
      <c r="J665" s="21">
        <v>0.25</v>
      </c>
      <c r="K665" s="20">
        <f t="shared" ca="1" si="12"/>
        <v>15.09</v>
      </c>
    </row>
    <row r="666" spans="2:11">
      <c r="B666" s="18" t="str">
        <f xml:space="preserve"> TRIM( "9781626566354" )</f>
        <v>9781626566354</v>
      </c>
      <c r="C666" s="18" t="str">
        <f xml:space="preserve"> TRIM( "9781626566354" )</f>
        <v>9781626566354</v>
      </c>
      <c r="D666" s="18" t="s">
        <v>1483</v>
      </c>
      <c r="E666" s="18" t="s">
        <v>37</v>
      </c>
      <c r="F666" s="18" t="s">
        <v>1484</v>
      </c>
      <c r="G666" s="18" t="s">
        <v>39</v>
      </c>
      <c r="H666" s="18">
        <v>0.2</v>
      </c>
      <c r="I666" s="20">
        <v>101.85</v>
      </c>
      <c r="J666" s="21">
        <v>0.2</v>
      </c>
      <c r="K666" s="20">
        <f t="shared" ca="1" si="12"/>
        <v>20.37</v>
      </c>
    </row>
    <row r="667" spans="2:11">
      <c r="B667" s="18" t="str">
        <f xml:space="preserve"> TRIM( "9781626566354" )</f>
        <v>9781626566354</v>
      </c>
      <c r="C667" s="18" t="str">
        <f xml:space="preserve"> TRIM( "9781626566354" )</f>
        <v>9781626566354</v>
      </c>
      <c r="D667" s="18" t="s">
        <v>1483</v>
      </c>
      <c r="E667" s="18" t="s">
        <v>37</v>
      </c>
      <c r="F667" s="18" t="s">
        <v>1484</v>
      </c>
      <c r="G667" s="18" t="s">
        <v>40</v>
      </c>
      <c r="H667" s="18">
        <v>0.25</v>
      </c>
      <c r="I667" s="20">
        <v>30.36</v>
      </c>
      <c r="J667" s="21">
        <v>0.25</v>
      </c>
      <c r="K667" s="20">
        <f t="shared" ca="1" si="12"/>
        <v>7.59</v>
      </c>
    </row>
    <row r="668" spans="2:11">
      <c r="B668" s="18" t="str">
        <f xml:space="preserve"> TRIM( "9781626566385" )</f>
        <v>9781626566385</v>
      </c>
      <c r="C668" s="18" t="str">
        <f xml:space="preserve"> TRIM( " " )</f>
        <v/>
      </c>
      <c r="D668" s="18" t="s">
        <v>1486</v>
      </c>
      <c r="E668" s="18" t="s">
        <v>37</v>
      </c>
      <c r="F668" s="18" t="s">
        <v>1190</v>
      </c>
      <c r="G668" s="18" t="s">
        <v>39</v>
      </c>
      <c r="H668" s="18">
        <v>0.2</v>
      </c>
      <c r="I668" s="20">
        <v>57.37</v>
      </c>
      <c r="J668" s="21">
        <v>0.2</v>
      </c>
      <c r="K668" s="20">
        <f t="shared" ca="1" si="12"/>
        <v>11.47</v>
      </c>
    </row>
    <row r="669" spans="2:11">
      <c r="B669" s="18" t="str">
        <f xml:space="preserve"> TRIM( "9781626566385" )</f>
        <v>9781626566385</v>
      </c>
      <c r="C669" s="18" t="str">
        <f xml:space="preserve"> TRIM( " " )</f>
        <v/>
      </c>
      <c r="D669" s="18" t="s">
        <v>1486</v>
      </c>
      <c r="E669" s="18" t="s">
        <v>37</v>
      </c>
      <c r="F669" s="18" t="s">
        <v>1190</v>
      </c>
      <c r="G669" s="18" t="s">
        <v>40</v>
      </c>
      <c r="H669" s="18">
        <v>0.25</v>
      </c>
      <c r="I669" s="20">
        <v>10</v>
      </c>
      <c r="J669" s="21">
        <v>0.25</v>
      </c>
      <c r="K669" s="20">
        <f t="shared" ca="1" si="12"/>
        <v>2.5</v>
      </c>
    </row>
    <row r="670" spans="2:11">
      <c r="B670" s="18" t="str">
        <f xml:space="preserve"> TRIM( "9781626566477" )</f>
        <v>9781626566477</v>
      </c>
      <c r="C670" s="18" t="str">
        <f xml:space="preserve"> TRIM( "9781626566477" )</f>
        <v>9781626566477</v>
      </c>
      <c r="D670" s="18" t="s">
        <v>1488</v>
      </c>
      <c r="E670" s="18" t="s">
        <v>37</v>
      </c>
      <c r="F670" s="18" t="s">
        <v>166</v>
      </c>
      <c r="G670" s="18" t="s">
        <v>39</v>
      </c>
      <c r="H670" s="18">
        <v>0.2</v>
      </c>
      <c r="I670" s="20">
        <v>3.71</v>
      </c>
      <c r="J670" s="21">
        <v>0.2</v>
      </c>
      <c r="K670" s="20">
        <f t="shared" ca="1" si="12"/>
        <v>0.74</v>
      </c>
    </row>
    <row r="671" spans="2:11">
      <c r="B671" s="18" t="str">
        <f xml:space="preserve"> TRIM( "9781626566477" )</f>
        <v>9781626566477</v>
      </c>
      <c r="C671" s="18" t="str">
        <f xml:space="preserve"> TRIM( "9781626566477" )</f>
        <v>9781626566477</v>
      </c>
      <c r="D671" s="18" t="s">
        <v>1488</v>
      </c>
      <c r="E671" s="18" t="s">
        <v>37</v>
      </c>
      <c r="F671" s="18" t="s">
        <v>166</v>
      </c>
      <c r="G671" s="18" t="s">
        <v>40</v>
      </c>
      <c r="H671" s="18">
        <v>0.25</v>
      </c>
      <c r="I671" s="20">
        <v>13.13</v>
      </c>
      <c r="J671" s="21">
        <v>0.25</v>
      </c>
      <c r="K671" s="20">
        <f t="shared" ca="1" si="12"/>
        <v>3.28</v>
      </c>
    </row>
    <row r="672" spans="2:11">
      <c r="B672" s="18" t="str">
        <f xml:space="preserve"> TRIM( "9781626566606" )</f>
        <v>9781626566606</v>
      </c>
      <c r="C672" s="18" t="str">
        <f xml:space="preserve"> TRIM( "9781626566606" )</f>
        <v>9781626566606</v>
      </c>
      <c r="D672" s="18" t="s">
        <v>1490</v>
      </c>
      <c r="E672" s="18" t="s">
        <v>37</v>
      </c>
      <c r="F672" s="18" t="s">
        <v>1491</v>
      </c>
      <c r="G672" s="18" t="s">
        <v>39</v>
      </c>
      <c r="H672" s="18">
        <v>0.2</v>
      </c>
      <c r="I672" s="20">
        <v>14.5</v>
      </c>
      <c r="J672" s="21">
        <v>0.2</v>
      </c>
      <c r="K672" s="20">
        <f t="shared" ca="1" si="12"/>
        <v>2.9</v>
      </c>
    </row>
    <row r="673" spans="2:11">
      <c r="B673" s="18" t="str">
        <f xml:space="preserve"> TRIM( "9781626566606" )</f>
        <v>9781626566606</v>
      </c>
      <c r="C673" s="18" t="str">
        <f xml:space="preserve"> TRIM( "9781626566606" )</f>
        <v>9781626566606</v>
      </c>
      <c r="D673" s="18" t="s">
        <v>1490</v>
      </c>
      <c r="E673" s="18" t="s">
        <v>37</v>
      </c>
      <c r="F673" s="18" t="s">
        <v>1491</v>
      </c>
      <c r="G673" s="18" t="s">
        <v>40</v>
      </c>
      <c r="H673" s="18">
        <v>0.25</v>
      </c>
      <c r="I673" s="20">
        <v>2.21</v>
      </c>
      <c r="J673" s="21">
        <v>0.25</v>
      </c>
      <c r="K673" s="20">
        <f t="shared" ca="1" si="12"/>
        <v>0.55000000000000004</v>
      </c>
    </row>
    <row r="674" spans="2:11">
      <c r="B674" s="18" t="str">
        <f xml:space="preserve"> TRIM( "9781626566644" )</f>
        <v>9781626566644</v>
      </c>
      <c r="C674" s="18" t="str">
        <f xml:space="preserve"> TRIM( "9781626566644" )</f>
        <v>9781626566644</v>
      </c>
      <c r="D674" s="18" t="s">
        <v>1493</v>
      </c>
      <c r="E674" s="18" t="s">
        <v>37</v>
      </c>
      <c r="F674" s="18" t="s">
        <v>1494</v>
      </c>
      <c r="G674" s="18" t="s">
        <v>39</v>
      </c>
      <c r="H674" s="18">
        <v>0.2</v>
      </c>
      <c r="I674" s="20">
        <v>16.170000000000002</v>
      </c>
      <c r="J674" s="21">
        <v>0.2</v>
      </c>
      <c r="K674" s="20">
        <f t="shared" ca="1" si="12"/>
        <v>3.23</v>
      </c>
    </row>
    <row r="675" spans="2:11">
      <c r="B675" s="18" t="str">
        <f xml:space="preserve"> TRIM( "9781626566644" )</f>
        <v>9781626566644</v>
      </c>
      <c r="C675" s="18" t="str">
        <f xml:space="preserve"> TRIM( "9781626566644" )</f>
        <v>9781626566644</v>
      </c>
      <c r="D675" s="18" t="s">
        <v>1493</v>
      </c>
      <c r="E675" s="18" t="s">
        <v>37</v>
      </c>
      <c r="F675" s="18" t="s">
        <v>1494</v>
      </c>
      <c r="G675" s="18" t="s">
        <v>40</v>
      </c>
      <c r="H675" s="18">
        <v>0.25</v>
      </c>
      <c r="I675" s="20">
        <v>2.25</v>
      </c>
      <c r="J675" s="21">
        <v>0.25</v>
      </c>
      <c r="K675" s="20">
        <f t="shared" ca="1" si="12"/>
        <v>0.56000000000000005</v>
      </c>
    </row>
    <row r="676" spans="2:11">
      <c r="B676" s="18" t="str">
        <f xml:space="preserve"> TRIM( "9781626566682" )</f>
        <v>9781626566682</v>
      </c>
      <c r="C676" s="18" t="str">
        <f xml:space="preserve"> TRIM( "9781626566682" )</f>
        <v>9781626566682</v>
      </c>
      <c r="D676" s="18" t="s">
        <v>1496</v>
      </c>
      <c r="E676" s="18" t="s">
        <v>37</v>
      </c>
      <c r="F676" s="18" t="s">
        <v>1497</v>
      </c>
      <c r="G676" s="18" t="s">
        <v>39</v>
      </c>
      <c r="H676" s="18">
        <v>0.2</v>
      </c>
      <c r="I676" s="20">
        <v>25.23</v>
      </c>
      <c r="J676" s="21">
        <v>0.2</v>
      </c>
      <c r="K676" s="20">
        <f t="shared" ca="1" si="12"/>
        <v>5.05</v>
      </c>
    </row>
    <row r="677" spans="2:11">
      <c r="B677" s="18" t="str">
        <f xml:space="preserve"> TRIM( "9781626566682" )</f>
        <v>9781626566682</v>
      </c>
      <c r="C677" s="18" t="str">
        <f xml:space="preserve"> TRIM( "9781626566682" )</f>
        <v>9781626566682</v>
      </c>
      <c r="D677" s="18" t="s">
        <v>1496</v>
      </c>
      <c r="E677" s="18" t="s">
        <v>37</v>
      </c>
      <c r="F677" s="18" t="s">
        <v>1497</v>
      </c>
      <c r="G677" s="18" t="s">
        <v>40</v>
      </c>
      <c r="H677" s="18">
        <v>0.25</v>
      </c>
      <c r="I677" s="20">
        <v>22.62</v>
      </c>
      <c r="J677" s="21">
        <v>0.25</v>
      </c>
      <c r="K677" s="20">
        <f t="shared" ca="1" si="12"/>
        <v>5.66</v>
      </c>
    </row>
    <row r="678" spans="2:11">
      <c r="B678" s="18" t="str">
        <f xml:space="preserve"> TRIM( "9781626566767" )</f>
        <v>9781626566767</v>
      </c>
      <c r="C678" s="18" t="str">
        <f xml:space="preserve"> TRIM( "9781626566767" )</f>
        <v>9781626566767</v>
      </c>
      <c r="D678" s="18" t="s">
        <v>1499</v>
      </c>
      <c r="E678" s="18" t="s">
        <v>37</v>
      </c>
      <c r="F678" s="18" t="s">
        <v>176</v>
      </c>
      <c r="G678" s="18" t="s">
        <v>39</v>
      </c>
      <c r="H678" s="18">
        <v>0.2</v>
      </c>
      <c r="I678" s="20">
        <v>38.79</v>
      </c>
      <c r="J678" s="21">
        <v>0.2</v>
      </c>
      <c r="K678" s="20">
        <f t="shared" ca="1" si="12"/>
        <v>7.76</v>
      </c>
    </row>
    <row r="679" spans="2:11">
      <c r="B679" s="18" t="str">
        <f xml:space="preserve"> TRIM( "9781626566767" )</f>
        <v>9781626566767</v>
      </c>
      <c r="C679" s="18" t="str">
        <f xml:space="preserve"> TRIM( "9781626566767" )</f>
        <v>9781626566767</v>
      </c>
      <c r="D679" s="18" t="s">
        <v>1499</v>
      </c>
      <c r="E679" s="18" t="s">
        <v>37</v>
      </c>
      <c r="F679" s="18" t="s">
        <v>176</v>
      </c>
      <c r="G679" s="18" t="s">
        <v>40</v>
      </c>
      <c r="H679" s="18">
        <v>0.25</v>
      </c>
      <c r="I679" s="20">
        <v>5.01</v>
      </c>
      <c r="J679" s="21">
        <v>0.25</v>
      </c>
      <c r="K679" s="20">
        <f t="shared" ca="1" si="12"/>
        <v>1.25</v>
      </c>
    </row>
    <row r="680" spans="2:11">
      <c r="B680" s="18" t="str">
        <f xml:space="preserve"> TRIM( "9781626566798" )</f>
        <v>9781626566798</v>
      </c>
      <c r="C680" s="18" t="str">
        <f xml:space="preserve"> TRIM( "9781626566798" )</f>
        <v>9781626566798</v>
      </c>
      <c r="D680" s="18" t="s">
        <v>1501</v>
      </c>
      <c r="E680" s="18" t="s">
        <v>37</v>
      </c>
      <c r="F680" s="18" t="s">
        <v>1502</v>
      </c>
      <c r="G680" s="18" t="s">
        <v>39</v>
      </c>
      <c r="H680" s="18">
        <v>0.2</v>
      </c>
      <c r="I680" s="20">
        <v>158.97999999999999</v>
      </c>
      <c r="J680" s="21">
        <v>0.2</v>
      </c>
      <c r="K680" s="20">
        <f t="shared" ca="1" si="12"/>
        <v>31.8</v>
      </c>
    </row>
    <row r="681" spans="2:11">
      <c r="B681" s="18" t="str">
        <f xml:space="preserve"> TRIM( "9781626566798" )</f>
        <v>9781626566798</v>
      </c>
      <c r="C681" s="18" t="str">
        <f xml:space="preserve"> TRIM( "9781626566798" )</f>
        <v>9781626566798</v>
      </c>
      <c r="D681" s="18" t="s">
        <v>1501</v>
      </c>
      <c r="E681" s="18" t="s">
        <v>37</v>
      </c>
      <c r="F681" s="18" t="s">
        <v>1502</v>
      </c>
      <c r="G681" s="18" t="s">
        <v>40</v>
      </c>
      <c r="H681" s="18">
        <v>0.25</v>
      </c>
      <c r="I681" s="20">
        <v>28</v>
      </c>
      <c r="J681" s="21">
        <v>0.25</v>
      </c>
      <c r="K681" s="20">
        <f t="shared" ca="1" si="12"/>
        <v>7</v>
      </c>
    </row>
    <row r="682" spans="2:11">
      <c r="B682" s="18" t="str">
        <f xml:space="preserve"> TRIM( "9781626566903" )</f>
        <v>9781626566903</v>
      </c>
      <c r="C682" s="18" t="str">
        <f xml:space="preserve"> TRIM( "9781626566903" )</f>
        <v>9781626566903</v>
      </c>
      <c r="D682" s="18" t="s">
        <v>1504</v>
      </c>
      <c r="E682" s="18" t="s">
        <v>37</v>
      </c>
      <c r="F682" s="18" t="s">
        <v>1505</v>
      </c>
      <c r="G682" s="18" t="s">
        <v>39</v>
      </c>
      <c r="H682" s="18">
        <v>0.2</v>
      </c>
      <c r="I682" s="20">
        <v>19.84</v>
      </c>
      <c r="J682" s="21">
        <v>0.2</v>
      </c>
      <c r="K682" s="20">
        <f t="shared" ca="1" si="12"/>
        <v>3.97</v>
      </c>
    </row>
    <row r="683" spans="2:11">
      <c r="B683" s="18" t="str">
        <f xml:space="preserve"> TRIM( "9781626566903" )</f>
        <v>9781626566903</v>
      </c>
      <c r="C683" s="18" t="str">
        <f xml:space="preserve"> TRIM( "9781626566903" )</f>
        <v>9781626566903</v>
      </c>
      <c r="D683" s="18" t="s">
        <v>1504</v>
      </c>
      <c r="E683" s="18" t="s">
        <v>37</v>
      </c>
      <c r="F683" s="18" t="s">
        <v>1505</v>
      </c>
      <c r="G683" s="18" t="s">
        <v>40</v>
      </c>
      <c r="H683" s="18">
        <v>0.25</v>
      </c>
      <c r="I683" s="20">
        <v>1.38</v>
      </c>
      <c r="J683" s="21">
        <v>0.25</v>
      </c>
      <c r="K683" s="20">
        <f t="shared" ca="1" si="12"/>
        <v>0.35</v>
      </c>
    </row>
    <row r="684" spans="2:11">
      <c r="B684" s="18" t="str">
        <f xml:space="preserve"> TRIM( "9781626566958" )</f>
        <v>9781626566958</v>
      </c>
      <c r="C684" s="18" t="str">
        <f xml:space="preserve"> TRIM( "9781626566958" )</f>
        <v>9781626566958</v>
      </c>
      <c r="D684" s="18" t="s">
        <v>1507</v>
      </c>
      <c r="E684" s="18" t="s">
        <v>37</v>
      </c>
      <c r="F684" s="18" t="s">
        <v>1508</v>
      </c>
      <c r="G684" s="18" t="s">
        <v>39</v>
      </c>
      <c r="H684" s="18">
        <v>0.2</v>
      </c>
      <c r="I684" s="20">
        <v>12.81</v>
      </c>
      <c r="J684" s="21">
        <v>0.2</v>
      </c>
      <c r="K684" s="20">
        <f t="shared" ca="1" si="12"/>
        <v>2.56</v>
      </c>
    </row>
    <row r="685" spans="2:11">
      <c r="B685" s="18" t="str">
        <f xml:space="preserve"> TRIM( "9781626566958" )</f>
        <v>9781626566958</v>
      </c>
      <c r="C685" s="18" t="str">
        <f xml:space="preserve"> TRIM( "9781626566958" )</f>
        <v>9781626566958</v>
      </c>
      <c r="D685" s="18" t="s">
        <v>1507</v>
      </c>
      <c r="E685" s="18" t="s">
        <v>37</v>
      </c>
      <c r="F685" s="18" t="s">
        <v>1508</v>
      </c>
      <c r="G685" s="18" t="s">
        <v>40</v>
      </c>
      <c r="H685" s="18">
        <v>0.25</v>
      </c>
      <c r="I685" s="20">
        <v>8.18</v>
      </c>
      <c r="J685" s="21">
        <v>0.25</v>
      </c>
      <c r="K685" s="20">
        <f t="shared" ca="1" si="12"/>
        <v>2.0499999999999998</v>
      </c>
    </row>
    <row r="686" spans="2:11">
      <c r="B686" s="18" t="str">
        <f xml:space="preserve"> TRIM( "9781626566996" )</f>
        <v>9781626566996</v>
      </c>
      <c r="C686" s="18" t="str">
        <f xml:space="preserve"> TRIM( "9781626566996" )</f>
        <v>9781626566996</v>
      </c>
      <c r="D686" s="18" t="s">
        <v>1510</v>
      </c>
      <c r="E686" s="18" t="s">
        <v>37</v>
      </c>
      <c r="F686" s="18" t="s">
        <v>929</v>
      </c>
      <c r="G686" s="18" t="s">
        <v>39</v>
      </c>
      <c r="H686" s="18">
        <v>0.2</v>
      </c>
      <c r="I686" s="20">
        <v>34.840000000000003</v>
      </c>
      <c r="J686" s="21">
        <v>0.2</v>
      </c>
      <c r="K686" s="20">
        <f t="shared" ca="1" si="12"/>
        <v>6.97</v>
      </c>
    </row>
    <row r="687" spans="2:11">
      <c r="B687" s="18" t="str">
        <f xml:space="preserve"> TRIM( "9781626566996" )</f>
        <v>9781626566996</v>
      </c>
      <c r="C687" s="18" t="str">
        <f xml:space="preserve"> TRIM( "9781626566996" )</f>
        <v>9781626566996</v>
      </c>
      <c r="D687" s="18" t="s">
        <v>1510</v>
      </c>
      <c r="E687" s="18" t="s">
        <v>37</v>
      </c>
      <c r="F687" s="18" t="s">
        <v>929</v>
      </c>
      <c r="G687" s="18" t="s">
        <v>40</v>
      </c>
      <c r="H687" s="18">
        <v>0.25</v>
      </c>
      <c r="I687" s="20">
        <v>20.84</v>
      </c>
      <c r="J687" s="21">
        <v>0.25</v>
      </c>
      <c r="K687" s="20">
        <f t="shared" ca="1" si="12"/>
        <v>5.21</v>
      </c>
    </row>
    <row r="688" spans="2:11">
      <c r="B688" s="18" t="str">
        <f xml:space="preserve"> TRIM( "9781626567122" )</f>
        <v>9781626567122</v>
      </c>
      <c r="C688" s="18" t="str">
        <f xml:space="preserve"> TRIM( "9781626567122" )</f>
        <v>9781626567122</v>
      </c>
      <c r="D688" s="18" t="s">
        <v>1512</v>
      </c>
      <c r="E688" s="18" t="s">
        <v>37</v>
      </c>
      <c r="F688" s="18" t="s">
        <v>1513</v>
      </c>
      <c r="G688" s="18" t="s">
        <v>39</v>
      </c>
      <c r="H688" s="18">
        <v>0.2</v>
      </c>
      <c r="I688" s="20">
        <v>16.75</v>
      </c>
      <c r="J688" s="21">
        <v>0.2</v>
      </c>
      <c r="K688" s="20">
        <f t="shared" ca="1" si="12"/>
        <v>3.35</v>
      </c>
    </row>
    <row r="689" spans="2:11">
      <c r="B689" s="18" t="str">
        <f xml:space="preserve"> TRIM( "9781626567122" )</f>
        <v>9781626567122</v>
      </c>
      <c r="C689" s="18" t="str">
        <f xml:space="preserve"> TRIM( "9781626567122" )</f>
        <v>9781626567122</v>
      </c>
      <c r="D689" s="18" t="s">
        <v>1512</v>
      </c>
      <c r="E689" s="18" t="s">
        <v>37</v>
      </c>
      <c r="F689" s="18" t="s">
        <v>1513</v>
      </c>
      <c r="G689" s="18" t="s">
        <v>40</v>
      </c>
      <c r="H689" s="18">
        <v>0.25</v>
      </c>
      <c r="I689" s="20">
        <v>9.69</v>
      </c>
      <c r="J689" s="21">
        <v>0.25</v>
      </c>
      <c r="K689" s="20">
        <f t="shared" ca="1" si="12"/>
        <v>2.42</v>
      </c>
    </row>
    <row r="690" spans="2:11">
      <c r="B690" s="18" t="str">
        <f xml:space="preserve"> TRIM( "9781626567177" )</f>
        <v>9781626567177</v>
      </c>
      <c r="C690" s="18" t="str">
        <f xml:space="preserve"> TRIM( "9781626567177" )</f>
        <v>9781626567177</v>
      </c>
      <c r="D690" s="18" t="s">
        <v>1515</v>
      </c>
      <c r="E690" s="18" t="s">
        <v>37</v>
      </c>
      <c r="F690" s="18" t="s">
        <v>1516</v>
      </c>
      <c r="G690" s="18" t="s">
        <v>39</v>
      </c>
      <c r="H690" s="18">
        <v>0.2</v>
      </c>
      <c r="I690" s="20">
        <v>26.61</v>
      </c>
      <c r="J690" s="21">
        <v>0.2</v>
      </c>
      <c r="K690" s="20">
        <f t="shared" ca="1" si="12"/>
        <v>5.32</v>
      </c>
    </row>
    <row r="691" spans="2:11">
      <c r="B691" s="18" t="str">
        <f xml:space="preserve"> TRIM( "9781626567177" )</f>
        <v>9781626567177</v>
      </c>
      <c r="C691" s="18" t="str">
        <f xml:space="preserve"> TRIM( "9781626567177" )</f>
        <v>9781626567177</v>
      </c>
      <c r="D691" s="18" t="s">
        <v>1515</v>
      </c>
      <c r="E691" s="18" t="s">
        <v>37</v>
      </c>
      <c r="F691" s="18" t="s">
        <v>1516</v>
      </c>
      <c r="G691" s="18" t="s">
        <v>40</v>
      </c>
      <c r="H691" s="18">
        <v>0.25</v>
      </c>
      <c r="I691" s="20">
        <v>47.85</v>
      </c>
      <c r="J691" s="21">
        <v>0.25</v>
      </c>
      <c r="K691" s="20">
        <f t="shared" ca="1" si="12"/>
        <v>11.96</v>
      </c>
    </row>
    <row r="692" spans="2:11">
      <c r="B692" s="18" t="str">
        <f xml:space="preserve"> TRIM( "9781626567221" )</f>
        <v>9781626567221</v>
      </c>
      <c r="C692" s="18" t="str">
        <f xml:space="preserve"> TRIM( "9781626567221" )</f>
        <v>9781626567221</v>
      </c>
      <c r="D692" s="18" t="s">
        <v>1518</v>
      </c>
      <c r="E692" s="18" t="s">
        <v>37</v>
      </c>
      <c r="F692" s="18" t="s">
        <v>1519</v>
      </c>
      <c r="G692" s="18" t="s">
        <v>39</v>
      </c>
      <c r="H692" s="18">
        <v>0.2</v>
      </c>
      <c r="I692" s="20">
        <v>11.11</v>
      </c>
      <c r="J692" s="21">
        <v>0.2</v>
      </c>
      <c r="K692" s="20">
        <f t="shared" ca="1" si="12"/>
        <v>2.2200000000000002</v>
      </c>
    </row>
    <row r="693" spans="2:11">
      <c r="B693" s="18" t="str">
        <f xml:space="preserve"> TRIM( "9781626567221" )</f>
        <v>9781626567221</v>
      </c>
      <c r="C693" s="18" t="str">
        <f xml:space="preserve"> TRIM( "9781626567221" )</f>
        <v>9781626567221</v>
      </c>
      <c r="D693" s="18" t="s">
        <v>1518</v>
      </c>
      <c r="E693" s="18" t="s">
        <v>37</v>
      </c>
      <c r="F693" s="18" t="s">
        <v>1519</v>
      </c>
      <c r="G693" s="18" t="s">
        <v>40</v>
      </c>
      <c r="H693" s="18">
        <v>0.25</v>
      </c>
      <c r="I693" s="20">
        <v>28.91</v>
      </c>
      <c r="J693" s="21">
        <v>0.25</v>
      </c>
      <c r="K693" s="20">
        <f t="shared" ca="1" si="12"/>
        <v>7.23</v>
      </c>
    </row>
    <row r="694" spans="2:11">
      <c r="B694" s="18" t="str">
        <f xml:space="preserve"> TRIM( "9781626567276" )</f>
        <v>9781626567276</v>
      </c>
      <c r="C694" s="18" t="str">
        <f xml:space="preserve"> TRIM( "9781626567276" )</f>
        <v>9781626567276</v>
      </c>
      <c r="D694" s="18" t="s">
        <v>1521</v>
      </c>
      <c r="E694" s="18" t="s">
        <v>37</v>
      </c>
      <c r="F694" s="18" t="s">
        <v>1522</v>
      </c>
      <c r="G694" s="18" t="s">
        <v>39</v>
      </c>
      <c r="H694" s="18">
        <v>0.2</v>
      </c>
      <c r="I694" s="20">
        <v>7.17</v>
      </c>
      <c r="J694" s="21">
        <v>0.2</v>
      </c>
      <c r="K694" s="20">
        <f t="shared" ca="1" si="12"/>
        <v>1.43</v>
      </c>
    </row>
    <row r="695" spans="2:11">
      <c r="B695" s="18" t="str">
        <f xml:space="preserve"> TRIM( "9781626567276" )</f>
        <v>9781626567276</v>
      </c>
      <c r="C695" s="18" t="str">
        <f xml:space="preserve"> TRIM( "9781626567276" )</f>
        <v>9781626567276</v>
      </c>
      <c r="D695" s="18" t="s">
        <v>1521</v>
      </c>
      <c r="E695" s="18" t="s">
        <v>37</v>
      </c>
      <c r="F695" s="18" t="s">
        <v>1522</v>
      </c>
      <c r="G695" s="18" t="s">
        <v>40</v>
      </c>
      <c r="H695" s="18">
        <v>0.25</v>
      </c>
      <c r="I695" s="20">
        <v>0.01</v>
      </c>
      <c r="J695" s="21">
        <v>0.25</v>
      </c>
      <c r="K695" s="20">
        <f t="shared" ca="1" si="12"/>
        <v>0</v>
      </c>
    </row>
    <row r="696" spans="2:11">
      <c r="B696" s="18" t="str">
        <f xml:space="preserve"> TRIM( "9781626567429" )</f>
        <v>9781626567429</v>
      </c>
      <c r="C696" s="18" t="str">
        <f xml:space="preserve"> TRIM( "9781626567429" )</f>
        <v>9781626567429</v>
      </c>
      <c r="D696" s="18" t="s">
        <v>1524</v>
      </c>
      <c r="E696" s="18" t="s">
        <v>37</v>
      </c>
      <c r="F696" s="18" t="s">
        <v>1525</v>
      </c>
      <c r="G696" s="18" t="s">
        <v>39</v>
      </c>
      <c r="H696" s="18">
        <v>0.2</v>
      </c>
      <c r="I696" s="20">
        <v>22.97</v>
      </c>
      <c r="J696" s="21">
        <v>0.2</v>
      </c>
      <c r="K696" s="20">
        <f t="shared" ca="1" si="12"/>
        <v>4.59</v>
      </c>
    </row>
    <row r="697" spans="2:11">
      <c r="B697" s="18" t="str">
        <f xml:space="preserve"> TRIM( "9781626567429" )</f>
        <v>9781626567429</v>
      </c>
      <c r="C697" s="18" t="str">
        <f xml:space="preserve"> TRIM( "9781626567429" )</f>
        <v>9781626567429</v>
      </c>
      <c r="D697" s="18" t="s">
        <v>1524</v>
      </c>
      <c r="E697" s="18" t="s">
        <v>37</v>
      </c>
      <c r="F697" s="18" t="s">
        <v>1525</v>
      </c>
      <c r="G697" s="18" t="s">
        <v>40</v>
      </c>
      <c r="H697" s="18">
        <v>0.25</v>
      </c>
      <c r="I697" s="20">
        <v>25.65</v>
      </c>
      <c r="J697" s="21">
        <v>0.25</v>
      </c>
      <c r="K697" s="20">
        <f t="shared" ca="1" si="12"/>
        <v>6.41</v>
      </c>
    </row>
    <row r="698" spans="2:11">
      <c r="B698" s="18" t="str">
        <f xml:space="preserve"> TRIM( "9781626567672" )</f>
        <v>9781626567672</v>
      </c>
      <c r="C698" s="18" t="str">
        <f xml:space="preserve"> TRIM( "9781626567672" )</f>
        <v>9781626567672</v>
      </c>
      <c r="D698" s="18" t="s">
        <v>1527</v>
      </c>
      <c r="E698" s="18" t="s">
        <v>37</v>
      </c>
      <c r="F698" s="18" t="s">
        <v>1528</v>
      </c>
      <c r="G698" s="18" t="s">
        <v>39</v>
      </c>
      <c r="H698" s="18">
        <v>0.2</v>
      </c>
      <c r="I698" s="20">
        <v>19.309999999999999</v>
      </c>
      <c r="J698" s="21">
        <v>0.2</v>
      </c>
      <c r="K698" s="20">
        <f t="shared" ca="1" si="12"/>
        <v>3.86</v>
      </c>
    </row>
    <row r="699" spans="2:11">
      <c r="B699" s="18" t="str">
        <f xml:space="preserve"> TRIM( "9781626567672" )</f>
        <v>9781626567672</v>
      </c>
      <c r="C699" s="18" t="str">
        <f xml:space="preserve"> TRIM( "9781626567672" )</f>
        <v>9781626567672</v>
      </c>
      <c r="D699" s="18" t="s">
        <v>1527</v>
      </c>
      <c r="E699" s="18" t="s">
        <v>37</v>
      </c>
      <c r="F699" s="18" t="s">
        <v>1528</v>
      </c>
      <c r="G699" s="18" t="s">
        <v>40</v>
      </c>
      <c r="H699" s="18">
        <v>0.25</v>
      </c>
      <c r="I699" s="20">
        <v>0.56999999999999995</v>
      </c>
      <c r="J699" s="21">
        <v>0.25</v>
      </c>
      <c r="K699" s="20">
        <f t="shared" ca="1" si="12"/>
        <v>0.14000000000000001</v>
      </c>
    </row>
    <row r="700" spans="2:11">
      <c r="B700" s="18" t="str">
        <f xml:space="preserve"> TRIM( "9781626567719" )</f>
        <v>9781626567719</v>
      </c>
      <c r="C700" s="18" t="str">
        <f xml:space="preserve"> TRIM( "9781626567719" )</f>
        <v>9781626567719</v>
      </c>
      <c r="D700" s="18" t="s">
        <v>1530</v>
      </c>
      <c r="E700" s="18" t="s">
        <v>37</v>
      </c>
      <c r="F700" s="18" t="s">
        <v>1531</v>
      </c>
      <c r="G700" s="18" t="s">
        <v>39</v>
      </c>
      <c r="H700" s="18">
        <v>0.2</v>
      </c>
      <c r="I700" s="20">
        <v>37.950000000000003</v>
      </c>
      <c r="J700" s="21">
        <v>0.2</v>
      </c>
      <c r="K700" s="20">
        <f t="shared" ca="1" si="12"/>
        <v>7.59</v>
      </c>
    </row>
    <row r="701" spans="2:11">
      <c r="B701" s="18" t="str">
        <f xml:space="preserve"> TRIM( "9781626567719" )</f>
        <v>9781626567719</v>
      </c>
      <c r="C701" s="18" t="str">
        <f xml:space="preserve"> TRIM( "9781626567719" )</f>
        <v>9781626567719</v>
      </c>
      <c r="D701" s="18" t="s">
        <v>1530</v>
      </c>
      <c r="E701" s="18" t="s">
        <v>37</v>
      </c>
      <c r="F701" s="18" t="s">
        <v>1531</v>
      </c>
      <c r="G701" s="18" t="s">
        <v>40</v>
      </c>
      <c r="H701" s="18">
        <v>0.25</v>
      </c>
      <c r="I701" s="20">
        <v>57.72</v>
      </c>
      <c r="J701" s="21">
        <v>0.25</v>
      </c>
      <c r="K701" s="20">
        <f t="shared" ca="1" si="12"/>
        <v>14.43</v>
      </c>
    </row>
    <row r="702" spans="2:11">
      <c r="B702" s="18" t="str">
        <f xml:space="preserve"> TRIM( "9781626567825" )</f>
        <v>9781626567825</v>
      </c>
      <c r="C702" s="18" t="str">
        <f xml:space="preserve"> TRIM( "9781626567825" )</f>
        <v>9781626567825</v>
      </c>
      <c r="D702" s="18" t="s">
        <v>1533</v>
      </c>
      <c r="E702" s="18" t="s">
        <v>37</v>
      </c>
      <c r="F702" s="18" t="s">
        <v>1534</v>
      </c>
      <c r="G702" s="18" t="s">
        <v>39</v>
      </c>
      <c r="H702" s="18">
        <v>0.2</v>
      </c>
      <c r="I702" s="20">
        <v>14.54</v>
      </c>
      <c r="J702" s="21">
        <v>0.2</v>
      </c>
      <c r="K702" s="20">
        <f t="shared" ca="1" si="12"/>
        <v>2.91</v>
      </c>
    </row>
    <row r="703" spans="2:11">
      <c r="B703" s="18" t="str">
        <f xml:space="preserve"> TRIM( "9781626567825" )</f>
        <v>9781626567825</v>
      </c>
      <c r="C703" s="18" t="str">
        <f xml:space="preserve"> TRIM( "9781626567825" )</f>
        <v>9781626567825</v>
      </c>
      <c r="D703" s="18" t="s">
        <v>1533</v>
      </c>
      <c r="E703" s="18" t="s">
        <v>37</v>
      </c>
      <c r="F703" s="18" t="s">
        <v>1534</v>
      </c>
      <c r="G703" s="18" t="s">
        <v>40</v>
      </c>
      <c r="H703" s="18">
        <v>0.25</v>
      </c>
      <c r="I703" s="20">
        <v>2.39</v>
      </c>
      <c r="J703" s="21">
        <v>0.25</v>
      </c>
      <c r="K703" s="20">
        <f t="shared" ca="1" si="12"/>
        <v>0.6</v>
      </c>
    </row>
    <row r="704" spans="2:11">
      <c r="B704" s="18" t="str">
        <f xml:space="preserve"> TRIM( "9781626567870" )</f>
        <v>9781626567870</v>
      </c>
      <c r="C704" s="18" t="str">
        <f xml:space="preserve"> TRIM( "9781626567870" )</f>
        <v>9781626567870</v>
      </c>
      <c r="D704" s="18" t="s">
        <v>1536</v>
      </c>
      <c r="E704" s="18" t="s">
        <v>37</v>
      </c>
      <c r="F704" s="18" t="s">
        <v>1537</v>
      </c>
      <c r="G704" s="18" t="s">
        <v>39</v>
      </c>
      <c r="H704" s="18">
        <v>0.2</v>
      </c>
      <c r="I704" s="20">
        <v>16.29</v>
      </c>
      <c r="J704" s="21">
        <v>0.2</v>
      </c>
      <c r="K704" s="20">
        <f t="shared" ca="1" si="12"/>
        <v>3.26</v>
      </c>
    </row>
    <row r="705" spans="2:11">
      <c r="B705" s="18" t="str">
        <f xml:space="preserve"> TRIM( "9781626567870" )</f>
        <v>9781626567870</v>
      </c>
      <c r="C705" s="18" t="str">
        <f xml:space="preserve"> TRIM( "9781626567870" )</f>
        <v>9781626567870</v>
      </c>
      <c r="D705" s="18" t="s">
        <v>1536</v>
      </c>
      <c r="E705" s="18" t="s">
        <v>37</v>
      </c>
      <c r="F705" s="18" t="s">
        <v>1537</v>
      </c>
      <c r="G705" s="18" t="s">
        <v>40</v>
      </c>
      <c r="H705" s="18">
        <v>0.25</v>
      </c>
      <c r="I705" s="20">
        <v>0.01</v>
      </c>
      <c r="J705" s="21">
        <v>0.25</v>
      </c>
      <c r="K705" s="20">
        <f t="shared" ca="1" si="12"/>
        <v>0</v>
      </c>
    </row>
    <row r="706" spans="2:11">
      <c r="B706" s="18" t="str">
        <f xml:space="preserve"> TRIM( "9781626568006" )</f>
        <v>9781626568006</v>
      </c>
      <c r="C706" s="18" t="str">
        <f xml:space="preserve"> TRIM( "9781626568006" )</f>
        <v>9781626568006</v>
      </c>
      <c r="D706" s="18" t="s">
        <v>1539</v>
      </c>
      <c r="E706" s="18" t="s">
        <v>37</v>
      </c>
      <c r="F706" s="18" t="s">
        <v>1540</v>
      </c>
      <c r="G706" s="18" t="s">
        <v>39</v>
      </c>
      <c r="H706" s="18">
        <v>0.2</v>
      </c>
      <c r="I706" s="20">
        <v>31.25</v>
      </c>
      <c r="J706" s="21">
        <v>0.2</v>
      </c>
      <c r="K706" s="20">
        <f t="shared" ca="1" si="12"/>
        <v>6.25</v>
      </c>
    </row>
    <row r="707" spans="2:11">
      <c r="B707" s="18" t="str">
        <f xml:space="preserve"> TRIM( "9781626568006" )</f>
        <v>9781626568006</v>
      </c>
      <c r="C707" s="18" t="str">
        <f xml:space="preserve"> TRIM( "9781626568006" )</f>
        <v>9781626568006</v>
      </c>
      <c r="D707" s="18" t="s">
        <v>1539</v>
      </c>
      <c r="E707" s="18" t="s">
        <v>37</v>
      </c>
      <c r="F707" s="18" t="s">
        <v>1540</v>
      </c>
      <c r="G707" s="18" t="s">
        <v>40</v>
      </c>
      <c r="H707" s="18">
        <v>0.25</v>
      </c>
      <c r="I707" s="20">
        <v>11.35</v>
      </c>
      <c r="J707" s="21">
        <v>0.25</v>
      </c>
      <c r="K707" s="20">
        <f t="shared" ca="1" si="12"/>
        <v>2.84</v>
      </c>
    </row>
    <row r="708" spans="2:11">
      <c r="B708" s="18" t="str">
        <f xml:space="preserve"> TRIM( "9781626568044" )</f>
        <v>9781626568044</v>
      </c>
      <c r="C708" s="18" t="str">
        <f xml:space="preserve"> TRIM( "9781626568044" )</f>
        <v>9781626568044</v>
      </c>
      <c r="D708" s="18" t="s">
        <v>1542</v>
      </c>
      <c r="E708" s="18" t="s">
        <v>37</v>
      </c>
      <c r="F708" s="18" t="s">
        <v>344</v>
      </c>
      <c r="G708" s="18" t="s">
        <v>39</v>
      </c>
      <c r="H708" s="18">
        <v>0.2</v>
      </c>
      <c r="I708" s="20">
        <v>29.61</v>
      </c>
      <c r="J708" s="21">
        <v>0.2</v>
      </c>
      <c r="K708" s="20">
        <f t="shared" ca="1" si="12"/>
        <v>5.92</v>
      </c>
    </row>
    <row r="709" spans="2:11">
      <c r="B709" s="18" t="str">
        <f xml:space="preserve"> TRIM( "9781626568044" )</f>
        <v>9781626568044</v>
      </c>
      <c r="C709" s="18" t="str">
        <f xml:space="preserve"> TRIM( "9781626568044" )</f>
        <v>9781626568044</v>
      </c>
      <c r="D709" s="18" t="s">
        <v>1542</v>
      </c>
      <c r="E709" s="18" t="s">
        <v>37</v>
      </c>
      <c r="F709" s="18" t="s">
        <v>344</v>
      </c>
      <c r="G709" s="18" t="s">
        <v>40</v>
      </c>
      <c r="H709" s="18">
        <v>0.25</v>
      </c>
      <c r="I709" s="20">
        <v>39.659999999999997</v>
      </c>
      <c r="J709" s="21">
        <v>0.25</v>
      </c>
      <c r="K709" s="20">
        <f t="shared" ca="1" si="12"/>
        <v>9.92</v>
      </c>
    </row>
    <row r="710" spans="2:11">
      <c r="B710" s="18" t="str">
        <f xml:space="preserve"> TRIM( "9781626568099" )</f>
        <v>9781626568099</v>
      </c>
      <c r="C710" s="18" t="str">
        <f xml:space="preserve"> TRIM( "9781626568099" )</f>
        <v>9781626568099</v>
      </c>
      <c r="D710" s="18" t="s">
        <v>1544</v>
      </c>
      <c r="E710" s="18" t="s">
        <v>37</v>
      </c>
      <c r="F710" s="18" t="s">
        <v>1545</v>
      </c>
      <c r="G710" s="18" t="s">
        <v>39</v>
      </c>
      <c r="H710" s="18">
        <v>0.2</v>
      </c>
      <c r="I710" s="20">
        <v>13.89</v>
      </c>
      <c r="J710" s="21">
        <v>0.2</v>
      </c>
      <c r="K710" s="20">
        <f t="shared" ca="1" si="12"/>
        <v>2.78</v>
      </c>
    </row>
    <row r="711" spans="2:11">
      <c r="B711" s="18" t="str">
        <f xml:space="preserve"> TRIM( "9781626568099" )</f>
        <v>9781626568099</v>
      </c>
      <c r="C711" s="18" t="str">
        <f xml:space="preserve"> TRIM( "9781626568099" )</f>
        <v>9781626568099</v>
      </c>
      <c r="D711" s="18" t="s">
        <v>1544</v>
      </c>
      <c r="E711" s="18" t="s">
        <v>37</v>
      </c>
      <c r="F711" s="18" t="s">
        <v>1545</v>
      </c>
      <c r="G711" s="18" t="s">
        <v>40</v>
      </c>
      <c r="H711" s="18">
        <v>0.25</v>
      </c>
      <c r="I711" s="20">
        <v>16.28</v>
      </c>
      <c r="J711" s="21">
        <v>0.25</v>
      </c>
      <c r="K711" s="20">
        <f t="shared" ca="1" si="12"/>
        <v>4.07</v>
      </c>
    </row>
    <row r="712" spans="2:11">
      <c r="B712" s="18" t="str">
        <f xml:space="preserve"> TRIM( "9781626568433" )</f>
        <v>9781626568433</v>
      </c>
      <c r="C712" s="18" t="str">
        <f xml:space="preserve"> TRIM( "9781626568433" )</f>
        <v>9781626568433</v>
      </c>
      <c r="D712" s="18" t="s">
        <v>1547</v>
      </c>
      <c r="E712" s="18" t="s">
        <v>37</v>
      </c>
      <c r="F712" s="18" t="s">
        <v>1548</v>
      </c>
      <c r="G712" s="18" t="s">
        <v>39</v>
      </c>
      <c r="H712" s="18">
        <v>0.2</v>
      </c>
      <c r="I712" s="20">
        <v>50.42</v>
      </c>
      <c r="J712" s="21">
        <v>0.2</v>
      </c>
      <c r="K712" s="20">
        <f t="shared" ca="1" si="12"/>
        <v>10.08</v>
      </c>
    </row>
    <row r="713" spans="2:11">
      <c r="B713" s="18" t="str">
        <f xml:space="preserve"> TRIM( "9781626568433" )</f>
        <v>9781626568433</v>
      </c>
      <c r="C713" s="18" t="str">
        <f xml:space="preserve"> TRIM( "9781626568433" )</f>
        <v>9781626568433</v>
      </c>
      <c r="D713" s="18" t="s">
        <v>1547</v>
      </c>
      <c r="E713" s="18" t="s">
        <v>37</v>
      </c>
      <c r="F713" s="18" t="s">
        <v>1548</v>
      </c>
      <c r="G713" s="18" t="s">
        <v>40</v>
      </c>
      <c r="H713" s="18">
        <v>0.25</v>
      </c>
      <c r="I713" s="20">
        <v>6.89</v>
      </c>
      <c r="J713" s="21">
        <v>0.25</v>
      </c>
      <c r="K713" s="20">
        <f t="shared" ca="1" si="12"/>
        <v>1.72</v>
      </c>
    </row>
    <row r="714" spans="2:11">
      <c r="B714" s="18" t="str">
        <f xml:space="preserve"> TRIM( "9781626568471" )</f>
        <v>9781626568471</v>
      </c>
      <c r="C714" s="18" t="str">
        <f xml:space="preserve"> TRIM( "9781626568471" )</f>
        <v>9781626568471</v>
      </c>
      <c r="D714" s="18" t="s">
        <v>1550</v>
      </c>
      <c r="E714" s="18" t="s">
        <v>37</v>
      </c>
      <c r="F714" s="18" t="s">
        <v>1551</v>
      </c>
      <c r="G714" s="18" t="s">
        <v>39</v>
      </c>
      <c r="H714" s="18">
        <v>0.2</v>
      </c>
      <c r="I714" s="20">
        <v>2.42</v>
      </c>
      <c r="J714" s="21">
        <v>0.2</v>
      </c>
      <c r="K714" s="20">
        <f t="shared" ca="1" si="12"/>
        <v>0.48</v>
      </c>
    </row>
    <row r="715" spans="2:11">
      <c r="B715" s="18" t="str">
        <f xml:space="preserve"> TRIM( "9781626568532" )</f>
        <v>9781626568532</v>
      </c>
      <c r="C715" s="18" t="str">
        <f xml:space="preserve"> TRIM( "9781626568532" )</f>
        <v>9781626568532</v>
      </c>
      <c r="D715" s="18" t="s">
        <v>1553</v>
      </c>
      <c r="E715" s="18" t="s">
        <v>37</v>
      </c>
      <c r="F715" s="18" t="s">
        <v>1554</v>
      </c>
      <c r="G715" s="18" t="s">
        <v>39</v>
      </c>
      <c r="H715" s="18">
        <v>0.2</v>
      </c>
      <c r="I715" s="20">
        <v>9.1999999999999993</v>
      </c>
      <c r="J715" s="21">
        <v>0.2</v>
      </c>
      <c r="K715" s="20">
        <f t="shared" ca="1" si="12"/>
        <v>1.84</v>
      </c>
    </row>
    <row r="716" spans="2:11">
      <c r="B716" s="18" t="str">
        <f xml:space="preserve"> TRIM( "9781626568532" )</f>
        <v>9781626568532</v>
      </c>
      <c r="C716" s="18" t="str">
        <f xml:space="preserve"> TRIM( "9781626568532" )</f>
        <v>9781626568532</v>
      </c>
      <c r="D716" s="18" t="s">
        <v>1553</v>
      </c>
      <c r="E716" s="18" t="s">
        <v>37</v>
      </c>
      <c r="F716" s="18" t="s">
        <v>1554</v>
      </c>
      <c r="G716" s="18" t="s">
        <v>40</v>
      </c>
      <c r="H716" s="18">
        <v>0.25</v>
      </c>
      <c r="I716" s="20">
        <v>2.68</v>
      </c>
      <c r="J716" s="21">
        <v>0.25</v>
      </c>
      <c r="K716" s="20">
        <f t="shared" ca="1" si="12"/>
        <v>0.67</v>
      </c>
    </row>
    <row r="717" spans="2:11">
      <c r="B717" s="18" t="str">
        <f xml:space="preserve"> TRIM( "9781626568679" )</f>
        <v>9781626568679</v>
      </c>
      <c r="C717" s="18" t="str">
        <f xml:space="preserve"> TRIM( "9781626568679" )</f>
        <v>9781626568679</v>
      </c>
      <c r="D717" s="18" t="s">
        <v>1556</v>
      </c>
      <c r="E717" s="18" t="s">
        <v>37</v>
      </c>
      <c r="F717" s="18" t="s">
        <v>1557</v>
      </c>
      <c r="G717" s="18" t="s">
        <v>39</v>
      </c>
      <c r="H717" s="18">
        <v>0.2</v>
      </c>
      <c r="I717" s="20">
        <v>64.19</v>
      </c>
      <c r="J717" s="21">
        <v>0.2</v>
      </c>
      <c r="K717" s="20">
        <f t="shared" ca="1" si="12"/>
        <v>12.84</v>
      </c>
    </row>
    <row r="718" spans="2:11">
      <c r="B718" s="18" t="str">
        <f xml:space="preserve"> TRIM( "9781626568679" )</f>
        <v>9781626568679</v>
      </c>
      <c r="C718" s="18" t="str">
        <f xml:space="preserve"> TRIM( "9781626568679" )</f>
        <v>9781626568679</v>
      </c>
      <c r="D718" s="18" t="s">
        <v>1556</v>
      </c>
      <c r="E718" s="18" t="s">
        <v>37</v>
      </c>
      <c r="F718" s="18" t="s">
        <v>1557</v>
      </c>
      <c r="G718" s="18" t="s">
        <v>40</v>
      </c>
      <c r="H718" s="18">
        <v>0.25</v>
      </c>
      <c r="I718" s="20">
        <v>22.82</v>
      </c>
      <c r="J718" s="21">
        <v>0.25</v>
      </c>
      <c r="K718" s="20">
        <f t="shared" ca="1" si="12"/>
        <v>5.71</v>
      </c>
    </row>
    <row r="719" spans="2:11">
      <c r="B719" s="18" t="str">
        <f xml:space="preserve"> TRIM( "9781626568778" )</f>
        <v>9781626568778</v>
      </c>
      <c r="C719" s="18" t="str">
        <f xml:space="preserve"> TRIM( "9781626568778" )</f>
        <v>9781626568778</v>
      </c>
      <c r="D719" s="18" t="s">
        <v>1559</v>
      </c>
      <c r="E719" s="18" t="s">
        <v>37</v>
      </c>
      <c r="F719" s="18" t="s">
        <v>1560</v>
      </c>
      <c r="G719" s="18" t="s">
        <v>39</v>
      </c>
      <c r="H719" s="18">
        <v>0.2</v>
      </c>
      <c r="I719" s="20">
        <v>184.44</v>
      </c>
      <c r="J719" s="21">
        <v>0.2</v>
      </c>
      <c r="K719" s="20">
        <f t="shared" ca="1" si="12"/>
        <v>36.89</v>
      </c>
    </row>
    <row r="720" spans="2:11">
      <c r="B720" s="18" t="str">
        <f xml:space="preserve"> TRIM( "9781626568778" )</f>
        <v>9781626568778</v>
      </c>
      <c r="C720" s="18" t="str">
        <f xml:space="preserve"> TRIM( "9781626568778" )</f>
        <v>9781626568778</v>
      </c>
      <c r="D720" s="18" t="s">
        <v>1559</v>
      </c>
      <c r="E720" s="18" t="s">
        <v>37</v>
      </c>
      <c r="F720" s="18" t="s">
        <v>1560</v>
      </c>
      <c r="G720" s="18" t="s">
        <v>40</v>
      </c>
      <c r="H720" s="18">
        <v>0.25</v>
      </c>
      <c r="I720" s="20">
        <v>138.68</v>
      </c>
      <c r="J720" s="21">
        <v>0.25</v>
      </c>
      <c r="K720" s="20">
        <f t="shared" ref="K720:K730" ca="1" si="13" xml:space="preserve"> ROUND( ( INDIRECT( ADDRESS( ROW(), COLUMN()- 2 ))) * ( INDIRECT( ADDRESS( ROW(), COLUMN()- 1 ))), 2 )</f>
        <v>34.67</v>
      </c>
    </row>
    <row r="721" spans="1:21">
      <c r="B721" s="18" t="str">
        <f xml:space="preserve"> TRIM( "9781626568822" )</f>
        <v>9781626568822</v>
      </c>
      <c r="C721" s="18" t="str">
        <f xml:space="preserve"> TRIM( "9781626568822" )</f>
        <v>9781626568822</v>
      </c>
      <c r="D721" s="18" t="s">
        <v>1562</v>
      </c>
      <c r="E721" s="18" t="s">
        <v>37</v>
      </c>
      <c r="F721" s="18" t="s">
        <v>1563</v>
      </c>
      <c r="G721" s="18" t="s">
        <v>39</v>
      </c>
      <c r="H721" s="18">
        <v>0.2</v>
      </c>
      <c r="I721" s="20">
        <v>274.12</v>
      </c>
      <c r="J721" s="21">
        <v>0.2</v>
      </c>
      <c r="K721" s="20">
        <f t="shared" ca="1" si="13"/>
        <v>54.82</v>
      </c>
    </row>
    <row r="722" spans="1:21">
      <c r="B722" s="18" t="str">
        <f xml:space="preserve"> TRIM( "9781626568822" )</f>
        <v>9781626568822</v>
      </c>
      <c r="C722" s="18" t="str">
        <f xml:space="preserve"> TRIM( "9781626568822" )</f>
        <v>9781626568822</v>
      </c>
      <c r="D722" s="18" t="s">
        <v>1562</v>
      </c>
      <c r="E722" s="18" t="s">
        <v>37</v>
      </c>
      <c r="F722" s="18" t="s">
        <v>1563</v>
      </c>
      <c r="G722" s="18" t="s">
        <v>40</v>
      </c>
      <c r="H722" s="18">
        <v>0.25</v>
      </c>
      <c r="I722" s="20">
        <v>247.5</v>
      </c>
      <c r="J722" s="21">
        <v>0.25</v>
      </c>
      <c r="K722" s="20">
        <f t="shared" ca="1" si="13"/>
        <v>61.88</v>
      </c>
    </row>
    <row r="723" spans="1:21">
      <c r="B723" s="18" t="str">
        <f xml:space="preserve"> TRIM( "9781626568853" )</f>
        <v>9781626568853</v>
      </c>
      <c r="C723" s="18" t="str">
        <f xml:space="preserve"> TRIM( "9781626568853" )</f>
        <v>9781626568853</v>
      </c>
      <c r="D723" s="18" t="s">
        <v>1565</v>
      </c>
      <c r="E723" s="18" t="s">
        <v>37</v>
      </c>
      <c r="F723" s="18" t="s">
        <v>1566</v>
      </c>
      <c r="G723" s="18" t="s">
        <v>39</v>
      </c>
      <c r="H723" s="18">
        <v>0.2</v>
      </c>
      <c r="I723" s="20">
        <v>20.57</v>
      </c>
      <c r="J723" s="21">
        <v>0.2</v>
      </c>
      <c r="K723" s="20">
        <f t="shared" ca="1" si="13"/>
        <v>4.1100000000000003</v>
      </c>
    </row>
    <row r="724" spans="1:21">
      <c r="B724" s="18" t="str">
        <f xml:space="preserve"> TRIM( "9781626568853" )</f>
        <v>9781626568853</v>
      </c>
      <c r="C724" s="18" t="str">
        <f xml:space="preserve"> TRIM( "9781626568853" )</f>
        <v>9781626568853</v>
      </c>
      <c r="D724" s="18" t="s">
        <v>1565</v>
      </c>
      <c r="E724" s="18" t="s">
        <v>37</v>
      </c>
      <c r="F724" s="18" t="s">
        <v>1566</v>
      </c>
      <c r="G724" s="18" t="s">
        <v>40</v>
      </c>
      <c r="H724" s="18">
        <v>0.25</v>
      </c>
      <c r="I724" s="20">
        <v>13.63</v>
      </c>
      <c r="J724" s="21">
        <v>0.25</v>
      </c>
      <c r="K724" s="20">
        <f t="shared" ca="1" si="13"/>
        <v>3.41</v>
      </c>
    </row>
    <row r="725" spans="1:21">
      <c r="B725" s="18" t="str">
        <f xml:space="preserve"> TRIM( "9781626569249" )</f>
        <v>9781626569249</v>
      </c>
      <c r="C725" s="18" t="str">
        <f xml:space="preserve"> TRIM( "9781626569249" )</f>
        <v>9781626569249</v>
      </c>
      <c r="D725" s="18" t="s">
        <v>1568</v>
      </c>
      <c r="E725" s="18" t="s">
        <v>37</v>
      </c>
      <c r="F725" s="18" t="s">
        <v>1569</v>
      </c>
      <c r="G725" s="18" t="s">
        <v>39</v>
      </c>
      <c r="H725" s="18">
        <v>0.2</v>
      </c>
      <c r="I725" s="20">
        <v>63.98</v>
      </c>
      <c r="J725" s="21">
        <v>0.2</v>
      </c>
      <c r="K725" s="20">
        <f t="shared" ca="1" si="13"/>
        <v>12.8</v>
      </c>
    </row>
    <row r="726" spans="1:21">
      <c r="B726" s="18" t="str">
        <f xml:space="preserve"> TRIM( "9781626569249" )</f>
        <v>9781626569249</v>
      </c>
      <c r="C726" s="18" t="str">
        <f xml:space="preserve"> TRIM( "9781626569249" )</f>
        <v>9781626569249</v>
      </c>
      <c r="D726" s="18" t="s">
        <v>1568</v>
      </c>
      <c r="E726" s="18" t="s">
        <v>37</v>
      </c>
      <c r="F726" s="18" t="s">
        <v>1569</v>
      </c>
      <c r="G726" s="18" t="s">
        <v>40</v>
      </c>
      <c r="H726" s="18">
        <v>0.25</v>
      </c>
      <c r="I726" s="20">
        <v>32.6</v>
      </c>
      <c r="J726" s="21">
        <v>0.25</v>
      </c>
      <c r="K726" s="20">
        <f t="shared" ca="1" si="13"/>
        <v>8.15</v>
      </c>
    </row>
    <row r="727" spans="1:21">
      <c r="B727" s="18" t="str">
        <f xml:space="preserve"> TRIM( "9781626569348" )</f>
        <v>9781626569348</v>
      </c>
      <c r="C727" s="18" t="str">
        <f xml:space="preserve"> TRIM( "9781626569348" )</f>
        <v>9781626569348</v>
      </c>
      <c r="D727" s="18" t="s">
        <v>1571</v>
      </c>
      <c r="E727" s="18" t="s">
        <v>37</v>
      </c>
      <c r="F727" s="18" t="s">
        <v>1572</v>
      </c>
      <c r="G727" s="18" t="s">
        <v>39</v>
      </c>
      <c r="H727" s="18">
        <v>0.2</v>
      </c>
      <c r="I727" s="20">
        <v>150.38999999999999</v>
      </c>
      <c r="J727" s="21">
        <v>0.2</v>
      </c>
      <c r="K727" s="20">
        <f t="shared" ca="1" si="13"/>
        <v>30.08</v>
      </c>
    </row>
    <row r="728" spans="1:21">
      <c r="B728" s="18" t="str">
        <f xml:space="preserve"> TRIM( "9781626569348" )</f>
        <v>9781626569348</v>
      </c>
      <c r="C728" s="18" t="str">
        <f xml:space="preserve"> TRIM( "9781626569348" )</f>
        <v>9781626569348</v>
      </c>
      <c r="D728" s="18" t="s">
        <v>1571</v>
      </c>
      <c r="E728" s="18" t="s">
        <v>37</v>
      </c>
      <c r="F728" s="18" t="s">
        <v>1572</v>
      </c>
      <c r="G728" s="18" t="s">
        <v>40</v>
      </c>
      <c r="H728" s="18">
        <v>0.25</v>
      </c>
      <c r="I728" s="20">
        <v>56.8</v>
      </c>
      <c r="J728" s="21">
        <v>0.25</v>
      </c>
      <c r="K728" s="20">
        <f t="shared" ca="1" si="13"/>
        <v>14.2</v>
      </c>
    </row>
    <row r="729" spans="1:21">
      <c r="B729" s="18" t="str">
        <f xml:space="preserve"> TRIM( "9781626569836" )</f>
        <v>9781626569836</v>
      </c>
      <c r="C729" s="18" t="str">
        <f xml:space="preserve"> TRIM( "9781626569836" )</f>
        <v>9781626569836</v>
      </c>
      <c r="D729" s="18" t="s">
        <v>1574</v>
      </c>
      <c r="E729" s="18" t="s">
        <v>37</v>
      </c>
      <c r="F729" s="18" t="s">
        <v>943</v>
      </c>
      <c r="G729" s="18" t="s">
        <v>39</v>
      </c>
      <c r="H729" s="18">
        <v>0.2</v>
      </c>
      <c r="I729" s="20">
        <v>285.16000000000003</v>
      </c>
      <c r="J729" s="21">
        <v>0.2</v>
      </c>
      <c r="K729" s="20">
        <f t="shared" ca="1" si="13"/>
        <v>57.03</v>
      </c>
    </row>
    <row r="730" spans="1:21">
      <c r="B730" s="18" t="str">
        <f xml:space="preserve"> TRIM( "9781626569836" )</f>
        <v>9781626569836</v>
      </c>
      <c r="C730" s="18" t="str">
        <f xml:space="preserve"> TRIM( "9781626569836" )</f>
        <v>9781626569836</v>
      </c>
      <c r="D730" s="18" t="s">
        <v>1574</v>
      </c>
      <c r="E730" s="18" t="s">
        <v>37</v>
      </c>
      <c r="F730" s="18" t="s">
        <v>943</v>
      </c>
      <c r="G730" s="18" t="s">
        <v>40</v>
      </c>
      <c r="H730" s="18">
        <v>0.25</v>
      </c>
      <c r="I730" s="22">
        <v>39.76</v>
      </c>
      <c r="J730" s="23">
        <v>0.25</v>
      </c>
      <c r="K730" s="20">
        <f t="shared" ca="1" si="13"/>
        <v>9.94</v>
      </c>
    </row>
    <row r="733" spans="1:21">
      <c r="D733" s="18"/>
      <c r="I733" s="24" t="str">
        <f xml:space="preserve"> "Payment Due"</f>
        <v>Payment Due</v>
      </c>
      <c r="J733" s="20">
        <v>2203.58</v>
      </c>
    </row>
    <row r="735" spans="1:21">
      <c r="A735"/>
      <c r="D735" s="18" t="str">
        <f xml:space="preserve"> StatementComment</f>
        <v xml:space="preserve"> </v>
      </c>
      <c r="U735" s="18" t="str">
        <f xml:space="preserve"> "Statement Comment Flag"</f>
        <v>Statement Comment Flag</v>
      </c>
    </row>
  </sheetData>
  <sheetProtection sheet="1" objects="1" scenarios="1" formatCells="0" formatColumns="0" formatRows="0" insertHyperlinks="0"/>
  <hyperlinks>
    <hyperlink ref="B7" r:id="rId1"/>
  </hyperlinks>
  <pageMargins left="0.75" right="0.75" top="1" bottom="1" header="0.5" footer="0.5"/>
  <pageSetup scale="66" fitToHeight="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A_AttentionTo</vt:lpstr>
      <vt:lpstr>A_PublisherAddr1</vt:lpstr>
      <vt:lpstr>A_PublisherAddr2</vt:lpstr>
      <vt:lpstr>A_PublisherAddr3</vt:lpstr>
      <vt:lpstr>A_PublisherCity</vt:lpstr>
      <vt:lpstr>A_PublisherID</vt:lpstr>
      <vt:lpstr>A_PublisherName</vt:lpstr>
      <vt:lpstr>A_PublisherState</vt:lpstr>
      <vt:lpstr>A_PublisherZip</vt:lpstr>
      <vt:lpstr>A_StmtDueDate</vt:lpstr>
      <vt:lpstr>AStmtDueDate</vt:lpstr>
      <vt:lpstr>BPriorPeriodEndDate</vt:lpstr>
      <vt:lpstr>CCurrentPeriodEndDate</vt:lpstr>
      <vt:lpstr>StatementComment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Brackert</dc:creator>
  <dc:description>SBO-42 4/21/16 Address Change - Jenny G</dc:description>
  <cp:lastModifiedBy>tbill</cp:lastModifiedBy>
  <dcterms:created xsi:type="dcterms:W3CDTF">1997-08-18T16:59:52Z</dcterms:created>
  <dcterms:modified xsi:type="dcterms:W3CDTF">2017-04-24T14:03:04Z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atement Date">
    <vt:filetime>2017-04-21T21:10:05Z</vt:filetime>
  </property>
</Properties>
</file>