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aroline\ATO\Physical\"/>
    </mc:Choice>
  </mc:AlternateContent>
  <bookViews>
    <workbookView xWindow="240" yWindow="60" windowWidth="18060" windowHeight="12660" tabRatio="846" activeTab="1"/>
  </bookViews>
  <sheets>
    <sheet name="Statement" sheetId="6" r:id="rId1"/>
    <sheet name="Physical Backup" sheetId="10" r:id="rId2"/>
    <sheet name="DataPivot" sheetId="4" state="hidden" r:id="rId3"/>
    <sheet name="Data" sheetId="1" state="hidden" r:id="rId4"/>
    <sheet name="Notes" sheetId="16" state="hidden" r:id="rId5"/>
    <sheet name="Marketing Detail" sheetId="15" state="hidden" r:id="rId6"/>
  </sheets>
  <definedNames>
    <definedName name="_xlnm._FilterDatabase" localSheetId="3" hidden="1">Data!$A$1:$S$15</definedName>
    <definedName name="_xlnm._FilterDatabase" localSheetId="1" hidden="1">'Physical Backup'!$A$9:$BD$212</definedName>
  </definedNames>
  <calcPr calcId="152511"/>
  <pivotCaches>
    <pivotCache cacheId="0" r:id="rId7"/>
  </pivotCaches>
</workbook>
</file>

<file path=xl/calcChain.xml><?xml version="1.0" encoding="utf-8"?>
<calcChain xmlns="http://schemas.openxmlformats.org/spreadsheetml/2006/main">
  <c r="AU212" i="10" l="1"/>
  <c r="AS212" i="10"/>
  <c r="AR212" i="10"/>
  <c r="AN212" i="10"/>
  <c r="Z212" i="10"/>
  <c r="Y212" i="10"/>
  <c r="W212" i="10"/>
  <c r="S212" i="10"/>
  <c r="Q212" i="10"/>
  <c r="I212" i="10"/>
  <c r="AU211" i="10"/>
  <c r="AS211" i="10"/>
  <c r="AR211" i="10"/>
  <c r="AN211" i="10"/>
  <c r="Z211" i="10"/>
  <c r="Y211" i="10"/>
  <c r="W211" i="10"/>
  <c r="S211" i="10"/>
  <c r="Q211" i="10"/>
  <c r="I211" i="10"/>
  <c r="AU210" i="10"/>
  <c r="AS210" i="10"/>
  <c r="AR210" i="10"/>
  <c r="AN210" i="10"/>
  <c r="Z210" i="10"/>
  <c r="Y210" i="10"/>
  <c r="W210" i="10"/>
  <c r="S210" i="10"/>
  <c r="Q210" i="10"/>
  <c r="I210" i="10"/>
  <c r="AU209" i="10"/>
  <c r="AS209" i="10"/>
  <c r="AR209" i="10"/>
  <c r="AN209" i="10"/>
  <c r="Z209" i="10"/>
  <c r="Y209" i="10"/>
  <c r="W209" i="10"/>
  <c r="S209" i="10"/>
  <c r="Q209" i="10"/>
  <c r="I209" i="10"/>
  <c r="AU208" i="10"/>
  <c r="AS208" i="10"/>
  <c r="AR208" i="10"/>
  <c r="AN208" i="10"/>
  <c r="Z208" i="10"/>
  <c r="Y208" i="10"/>
  <c r="W208" i="10"/>
  <c r="S208" i="10"/>
  <c r="Q208" i="10"/>
  <c r="I208" i="10"/>
  <c r="AU207" i="10"/>
  <c r="AS207" i="10"/>
  <c r="AR207" i="10"/>
  <c r="AN207" i="10"/>
  <c r="Z207" i="10"/>
  <c r="Y207" i="10"/>
  <c r="S207" i="10"/>
  <c r="I207" i="10"/>
  <c r="AU206" i="10"/>
  <c r="AS206" i="10"/>
  <c r="AR206" i="10"/>
  <c r="AN206" i="10"/>
  <c r="Z206" i="10"/>
  <c r="Y206" i="10"/>
  <c r="S206" i="10"/>
  <c r="I206" i="10"/>
  <c r="AU205" i="10"/>
  <c r="AS205" i="10"/>
  <c r="AR205" i="10"/>
  <c r="AN205" i="10"/>
  <c r="Z205" i="10"/>
  <c r="Y205" i="10"/>
  <c r="W205" i="10"/>
  <c r="S205" i="10"/>
  <c r="Q205" i="10"/>
  <c r="I205" i="10"/>
  <c r="AU204" i="10"/>
  <c r="AS204" i="10"/>
  <c r="AR204" i="10"/>
  <c r="AN204" i="10"/>
  <c r="Z204" i="10"/>
  <c r="Y204" i="10"/>
  <c r="W204" i="10"/>
  <c r="S204" i="10"/>
  <c r="Q204" i="10"/>
  <c r="I204" i="10"/>
  <c r="AU203" i="10"/>
  <c r="AS203" i="10"/>
  <c r="AR203" i="10"/>
  <c r="AN203" i="10"/>
  <c r="Z203" i="10"/>
  <c r="Y203" i="10"/>
  <c r="W203" i="10"/>
  <c r="S203" i="10"/>
  <c r="Q203" i="10"/>
  <c r="I203" i="10"/>
  <c r="AU202" i="10"/>
  <c r="AS202" i="10"/>
  <c r="AR202" i="10"/>
  <c r="AN202" i="10"/>
  <c r="Z202" i="10"/>
  <c r="Y202" i="10"/>
  <c r="W202" i="10"/>
  <c r="S202" i="10"/>
  <c r="Q202" i="10"/>
  <c r="I202" i="10"/>
  <c r="AU201" i="10"/>
  <c r="AS201" i="10"/>
  <c r="AR201" i="10"/>
  <c r="AN201" i="10"/>
  <c r="Z201" i="10"/>
  <c r="Y201" i="10"/>
  <c r="W201" i="10"/>
  <c r="S201" i="10"/>
  <c r="Q201" i="10"/>
  <c r="I201" i="10"/>
  <c r="AU200" i="10"/>
  <c r="AS200" i="10"/>
  <c r="AR200" i="10"/>
  <c r="AN200" i="10"/>
  <c r="Z200" i="10"/>
  <c r="Y200" i="10"/>
  <c r="W200" i="10"/>
  <c r="S200" i="10"/>
  <c r="Q200" i="10"/>
  <c r="I200" i="10"/>
  <c r="AU199" i="10"/>
  <c r="AS199" i="10"/>
  <c r="AR199" i="10"/>
  <c r="AN199" i="10"/>
  <c r="Z199" i="10"/>
  <c r="Y199" i="10"/>
  <c r="W199" i="10"/>
  <c r="S199" i="10"/>
  <c r="Q199" i="10"/>
  <c r="I199" i="10"/>
  <c r="AU198" i="10"/>
  <c r="AS198" i="10"/>
  <c r="AR198" i="10"/>
  <c r="AN198" i="10"/>
  <c r="Z198" i="10"/>
  <c r="Y198" i="10"/>
  <c r="W198" i="10"/>
  <c r="S198" i="10"/>
  <c r="Q198" i="10"/>
  <c r="I198" i="10"/>
  <c r="AU197" i="10"/>
  <c r="AS197" i="10"/>
  <c r="AR197" i="10"/>
  <c r="AN197" i="10"/>
  <c r="Z197" i="10"/>
  <c r="Y197" i="10"/>
  <c r="W197" i="10"/>
  <c r="S197" i="10"/>
  <c r="Q197" i="10"/>
  <c r="I197" i="10"/>
  <c r="AU196" i="10"/>
  <c r="AS196" i="10"/>
  <c r="AR196" i="10"/>
  <c r="AN196" i="10"/>
  <c r="Z196" i="10"/>
  <c r="Y196" i="10"/>
  <c r="W196" i="10"/>
  <c r="S196" i="10"/>
  <c r="Q196" i="10"/>
  <c r="I196" i="10"/>
  <c r="AU195" i="10"/>
  <c r="AS195" i="10"/>
  <c r="AR195" i="10"/>
  <c r="AN195" i="10"/>
  <c r="Z195" i="10"/>
  <c r="Y195" i="10"/>
  <c r="W195" i="10"/>
  <c r="S195" i="10"/>
  <c r="Q195" i="10"/>
  <c r="I195" i="10"/>
  <c r="AU194" i="10"/>
  <c r="AS194" i="10"/>
  <c r="AR194" i="10"/>
  <c r="AN194" i="10"/>
  <c r="Z194" i="10"/>
  <c r="Y194" i="10"/>
  <c r="W194" i="10"/>
  <c r="S194" i="10"/>
  <c r="Q194" i="10"/>
  <c r="I194" i="10"/>
  <c r="AU193" i="10"/>
  <c r="AS193" i="10"/>
  <c r="AR193" i="10"/>
  <c r="AN193" i="10"/>
  <c r="Z193" i="10"/>
  <c r="Y193" i="10"/>
  <c r="W193" i="10"/>
  <c r="S193" i="10"/>
  <c r="Q193" i="10"/>
  <c r="I193" i="10"/>
  <c r="AU192" i="10"/>
  <c r="AS192" i="10"/>
  <c r="AR192" i="10"/>
  <c r="AN192" i="10"/>
  <c r="Z192" i="10"/>
  <c r="Y192" i="10"/>
  <c r="W192" i="10"/>
  <c r="S192" i="10"/>
  <c r="Q192" i="10"/>
  <c r="I192" i="10"/>
  <c r="AU191" i="10"/>
  <c r="AS191" i="10"/>
  <c r="AR191" i="10"/>
  <c r="AN191" i="10"/>
  <c r="Z191" i="10"/>
  <c r="Y191" i="10"/>
  <c r="W191" i="10"/>
  <c r="S191" i="10"/>
  <c r="Q191" i="10"/>
  <c r="I191" i="10"/>
  <c r="AU190" i="10"/>
  <c r="AS190" i="10"/>
  <c r="AR190" i="10"/>
  <c r="AN190" i="10"/>
  <c r="Z190" i="10"/>
  <c r="Y190" i="10"/>
  <c r="W190" i="10"/>
  <c r="S190" i="10"/>
  <c r="Q190" i="10"/>
  <c r="I190" i="10"/>
  <c r="AU189" i="10"/>
  <c r="AS189" i="10"/>
  <c r="AR189" i="10"/>
  <c r="AN189" i="10"/>
  <c r="Z189" i="10"/>
  <c r="Y189" i="10"/>
  <c r="W189" i="10"/>
  <c r="S189" i="10"/>
  <c r="Q189" i="10"/>
  <c r="I189" i="10"/>
  <c r="AU188" i="10"/>
  <c r="AS188" i="10"/>
  <c r="AR188" i="10"/>
  <c r="AN188" i="10"/>
  <c r="Z188" i="10"/>
  <c r="Y188" i="10"/>
  <c r="W188" i="10"/>
  <c r="S188" i="10"/>
  <c r="Q188" i="10"/>
  <c r="I188" i="10"/>
  <c r="AU187" i="10"/>
  <c r="AS187" i="10"/>
  <c r="AR187" i="10"/>
  <c r="AN187" i="10"/>
  <c r="Z187" i="10"/>
  <c r="Y187" i="10"/>
  <c r="W187" i="10"/>
  <c r="S187" i="10"/>
  <c r="Q187" i="10"/>
  <c r="I187" i="10"/>
  <c r="AU186" i="10"/>
  <c r="AS186" i="10"/>
  <c r="AR186" i="10"/>
  <c r="AN186" i="10"/>
  <c r="Z186" i="10"/>
  <c r="Y186" i="10"/>
  <c r="W186" i="10"/>
  <c r="S186" i="10"/>
  <c r="Q186" i="10"/>
  <c r="I186" i="10"/>
  <c r="AU185" i="10"/>
  <c r="AS185" i="10"/>
  <c r="AR185" i="10"/>
  <c r="AN185" i="10"/>
  <c r="Z185" i="10"/>
  <c r="Y185" i="10"/>
  <c r="W185" i="10"/>
  <c r="S185" i="10"/>
  <c r="Q185" i="10"/>
  <c r="I185" i="10"/>
  <c r="AU184" i="10"/>
  <c r="AS184" i="10"/>
  <c r="AR184" i="10"/>
  <c r="AN184" i="10"/>
  <c r="Z184" i="10"/>
  <c r="Y184" i="10"/>
  <c r="W184" i="10"/>
  <c r="S184" i="10"/>
  <c r="Q184" i="10"/>
  <c r="I184" i="10"/>
  <c r="AU183" i="10"/>
  <c r="AS183" i="10"/>
  <c r="AR183" i="10"/>
  <c r="AN183" i="10"/>
  <c r="Z183" i="10"/>
  <c r="Y183" i="10"/>
  <c r="W183" i="10"/>
  <c r="S183" i="10"/>
  <c r="Q183" i="10"/>
  <c r="I183" i="10"/>
  <c r="AU182" i="10"/>
  <c r="AS182" i="10"/>
  <c r="AR182" i="10"/>
  <c r="AN182" i="10"/>
  <c r="Z182" i="10"/>
  <c r="Y182" i="10"/>
  <c r="S182" i="10"/>
  <c r="I182" i="10"/>
  <c r="AU181" i="10"/>
  <c r="AS181" i="10"/>
  <c r="AR181" i="10"/>
  <c r="AN181" i="10"/>
  <c r="Z181" i="10"/>
  <c r="Y181" i="10"/>
  <c r="W181" i="10"/>
  <c r="S181" i="10"/>
  <c r="Q181" i="10"/>
  <c r="I181" i="10"/>
  <c r="AU180" i="10"/>
  <c r="AS180" i="10"/>
  <c r="AR180" i="10"/>
  <c r="AN180" i="10"/>
  <c r="Z180" i="10"/>
  <c r="Y180" i="10"/>
  <c r="W180" i="10"/>
  <c r="S180" i="10"/>
  <c r="Q180" i="10"/>
  <c r="I180" i="10"/>
  <c r="AU179" i="10"/>
  <c r="AS179" i="10"/>
  <c r="AR179" i="10"/>
  <c r="AN179" i="10"/>
  <c r="Z179" i="10"/>
  <c r="Y179" i="10"/>
  <c r="W179" i="10"/>
  <c r="S179" i="10"/>
  <c r="Q179" i="10"/>
  <c r="I179" i="10"/>
  <c r="AU178" i="10"/>
  <c r="AS178" i="10"/>
  <c r="AR178" i="10"/>
  <c r="AN178" i="10"/>
  <c r="Z178" i="10"/>
  <c r="Y178" i="10"/>
  <c r="W178" i="10"/>
  <c r="S178" i="10"/>
  <c r="Q178" i="10"/>
  <c r="I178" i="10"/>
  <c r="AU177" i="10"/>
  <c r="AS177" i="10"/>
  <c r="AR177" i="10"/>
  <c r="AN177" i="10"/>
  <c r="Z177" i="10"/>
  <c r="Y177" i="10"/>
  <c r="W177" i="10"/>
  <c r="S177" i="10"/>
  <c r="Q177" i="10"/>
  <c r="I177" i="10"/>
  <c r="AU176" i="10"/>
  <c r="AS176" i="10"/>
  <c r="AR176" i="10"/>
  <c r="AN176" i="10"/>
  <c r="Z176" i="10"/>
  <c r="Y176" i="10"/>
  <c r="W176" i="10"/>
  <c r="S176" i="10"/>
  <c r="Q176" i="10"/>
  <c r="I176" i="10"/>
  <c r="AU175" i="10"/>
  <c r="AS175" i="10"/>
  <c r="AR175" i="10"/>
  <c r="AN175" i="10"/>
  <c r="Z175" i="10"/>
  <c r="Y175" i="10"/>
  <c r="W175" i="10"/>
  <c r="S175" i="10"/>
  <c r="Q175" i="10"/>
  <c r="I175" i="10"/>
  <c r="AU174" i="10"/>
  <c r="AS174" i="10"/>
  <c r="AR174" i="10"/>
  <c r="AN174" i="10"/>
  <c r="Z174" i="10"/>
  <c r="Y174" i="10"/>
  <c r="W174" i="10"/>
  <c r="S174" i="10"/>
  <c r="Q174" i="10"/>
  <c r="I174" i="10"/>
  <c r="AU173" i="10"/>
  <c r="AS173" i="10"/>
  <c r="AR173" i="10"/>
  <c r="AN173" i="10"/>
  <c r="Z173" i="10"/>
  <c r="Y173" i="10"/>
  <c r="W173" i="10"/>
  <c r="S173" i="10"/>
  <c r="Q173" i="10"/>
  <c r="I173" i="10"/>
  <c r="AU172" i="10"/>
  <c r="AS172" i="10"/>
  <c r="AR172" i="10"/>
  <c r="AN172" i="10"/>
  <c r="Z172" i="10"/>
  <c r="Y172" i="10"/>
  <c r="W172" i="10"/>
  <c r="S172" i="10"/>
  <c r="Q172" i="10"/>
  <c r="I172" i="10"/>
  <c r="AU171" i="10"/>
  <c r="AS171" i="10"/>
  <c r="AR171" i="10"/>
  <c r="AN171" i="10"/>
  <c r="Z171" i="10"/>
  <c r="Y171" i="10"/>
  <c r="W171" i="10"/>
  <c r="S171" i="10"/>
  <c r="Q171" i="10"/>
  <c r="I171" i="10"/>
  <c r="AU170" i="10"/>
  <c r="AS170" i="10"/>
  <c r="AR170" i="10"/>
  <c r="AN170" i="10"/>
  <c r="Z170" i="10"/>
  <c r="Y170" i="10"/>
  <c r="W170" i="10"/>
  <c r="S170" i="10"/>
  <c r="Q170" i="10"/>
  <c r="I170" i="10"/>
  <c r="AU169" i="10"/>
  <c r="AS169" i="10"/>
  <c r="AR169" i="10"/>
  <c r="AN169" i="10"/>
  <c r="Z169" i="10"/>
  <c r="Y169" i="10"/>
  <c r="W169" i="10"/>
  <c r="S169" i="10"/>
  <c r="Q169" i="10"/>
  <c r="I169" i="10"/>
  <c r="AU168" i="10"/>
  <c r="AS168" i="10"/>
  <c r="AR168" i="10"/>
  <c r="AN168" i="10"/>
  <c r="Z168" i="10"/>
  <c r="Y168" i="10"/>
  <c r="W168" i="10"/>
  <c r="S168" i="10"/>
  <c r="Q168" i="10"/>
  <c r="I168" i="10"/>
  <c r="AU167" i="10"/>
  <c r="AS167" i="10"/>
  <c r="AR167" i="10"/>
  <c r="AN167" i="10"/>
  <c r="Z167" i="10"/>
  <c r="Y167" i="10"/>
  <c r="W167" i="10"/>
  <c r="S167" i="10"/>
  <c r="Q167" i="10"/>
  <c r="I167" i="10"/>
  <c r="AU166" i="10"/>
  <c r="AS166" i="10"/>
  <c r="AR166" i="10"/>
  <c r="AN166" i="10"/>
  <c r="Z166" i="10"/>
  <c r="Y166" i="10"/>
  <c r="W166" i="10"/>
  <c r="S166" i="10"/>
  <c r="Q166" i="10"/>
  <c r="I166" i="10"/>
  <c r="AU165" i="10"/>
  <c r="AS165" i="10"/>
  <c r="AR165" i="10"/>
  <c r="AN165" i="10"/>
  <c r="Z165" i="10"/>
  <c r="Y165" i="10"/>
  <c r="W165" i="10"/>
  <c r="S165" i="10"/>
  <c r="Q165" i="10"/>
  <c r="I165" i="10"/>
  <c r="AU164" i="10"/>
  <c r="AS164" i="10"/>
  <c r="AR164" i="10"/>
  <c r="AN164" i="10"/>
  <c r="Z164" i="10"/>
  <c r="Y164" i="10"/>
  <c r="W164" i="10"/>
  <c r="S164" i="10"/>
  <c r="Q164" i="10"/>
  <c r="I164" i="10"/>
  <c r="AU163" i="10"/>
  <c r="AS163" i="10"/>
  <c r="AR163" i="10"/>
  <c r="AN163" i="10"/>
  <c r="Z163" i="10"/>
  <c r="Y163" i="10"/>
  <c r="W163" i="10"/>
  <c r="S163" i="10"/>
  <c r="Q163" i="10"/>
  <c r="I163" i="10"/>
  <c r="AU162" i="10"/>
  <c r="AS162" i="10"/>
  <c r="AR162" i="10"/>
  <c r="AN162" i="10"/>
  <c r="Z162" i="10"/>
  <c r="Y162" i="10"/>
  <c r="W162" i="10"/>
  <c r="S162" i="10"/>
  <c r="Q162" i="10"/>
  <c r="I162" i="10"/>
  <c r="AU161" i="10"/>
  <c r="AS161" i="10"/>
  <c r="AR161" i="10"/>
  <c r="AN161" i="10"/>
  <c r="Z161" i="10"/>
  <c r="Y161" i="10"/>
  <c r="W161" i="10"/>
  <c r="S161" i="10"/>
  <c r="Q161" i="10"/>
  <c r="I161" i="10"/>
  <c r="AU160" i="10"/>
  <c r="AS160" i="10"/>
  <c r="AR160" i="10"/>
  <c r="AN160" i="10"/>
  <c r="Z160" i="10"/>
  <c r="Y160" i="10"/>
  <c r="W160" i="10"/>
  <c r="S160" i="10"/>
  <c r="Q160" i="10"/>
  <c r="I160" i="10"/>
  <c r="AU159" i="10"/>
  <c r="AS159" i="10"/>
  <c r="AR159" i="10"/>
  <c r="AN159" i="10"/>
  <c r="Z159" i="10"/>
  <c r="Y159" i="10"/>
  <c r="W159" i="10"/>
  <c r="S159" i="10"/>
  <c r="Q159" i="10"/>
  <c r="I159" i="10"/>
  <c r="AU158" i="10"/>
  <c r="AS158" i="10"/>
  <c r="AR158" i="10"/>
  <c r="AN158" i="10"/>
  <c r="Z158" i="10"/>
  <c r="Y158" i="10"/>
  <c r="W158" i="10"/>
  <c r="S158" i="10"/>
  <c r="Q158" i="10"/>
  <c r="I158" i="10"/>
  <c r="AU157" i="10"/>
  <c r="AS157" i="10"/>
  <c r="AR157" i="10"/>
  <c r="AN157" i="10"/>
  <c r="Z157" i="10"/>
  <c r="Y157" i="10"/>
  <c r="W157" i="10"/>
  <c r="S157" i="10"/>
  <c r="Q157" i="10"/>
  <c r="I157" i="10"/>
  <c r="AU156" i="10"/>
  <c r="AS156" i="10"/>
  <c r="AR156" i="10"/>
  <c r="AN156" i="10"/>
  <c r="Z156" i="10"/>
  <c r="Y156" i="10"/>
  <c r="W156" i="10"/>
  <c r="S156" i="10"/>
  <c r="Q156" i="10"/>
  <c r="I156" i="10"/>
  <c r="AU155" i="10"/>
  <c r="AS155" i="10"/>
  <c r="AR155" i="10"/>
  <c r="AN155" i="10"/>
  <c r="Z155" i="10"/>
  <c r="Y155" i="10"/>
  <c r="W155" i="10"/>
  <c r="S155" i="10"/>
  <c r="Q155" i="10"/>
  <c r="I155" i="10"/>
  <c r="AU154" i="10"/>
  <c r="AS154" i="10"/>
  <c r="AR154" i="10"/>
  <c r="AN154" i="10"/>
  <c r="Z154" i="10"/>
  <c r="Y154" i="10"/>
  <c r="W154" i="10"/>
  <c r="S154" i="10"/>
  <c r="Q154" i="10"/>
  <c r="I154" i="10"/>
  <c r="AU153" i="10"/>
  <c r="AS153" i="10"/>
  <c r="AR153" i="10"/>
  <c r="AN153" i="10"/>
  <c r="Z153" i="10"/>
  <c r="Y153" i="10"/>
  <c r="W153" i="10"/>
  <c r="S153" i="10"/>
  <c r="Q153" i="10"/>
  <c r="I153" i="10"/>
  <c r="AU152" i="10"/>
  <c r="AS152" i="10"/>
  <c r="AR152" i="10"/>
  <c r="AN152" i="10"/>
  <c r="Z152" i="10"/>
  <c r="Y152" i="10"/>
  <c r="W152" i="10"/>
  <c r="S152" i="10"/>
  <c r="Q152" i="10"/>
  <c r="I152" i="10"/>
  <c r="AS151" i="10"/>
  <c r="AR151" i="10"/>
  <c r="AN151" i="10"/>
  <c r="Z151" i="10"/>
  <c r="Y151" i="10"/>
  <c r="W151" i="10"/>
  <c r="S151" i="10"/>
  <c r="Q151" i="10"/>
  <c r="I151" i="10"/>
  <c r="AS150" i="10"/>
  <c r="AR150" i="10"/>
  <c r="AN150" i="10"/>
  <c r="Z150" i="10"/>
  <c r="Y150" i="10"/>
  <c r="W150" i="10"/>
  <c r="S150" i="10"/>
  <c r="Q150" i="10"/>
  <c r="I150" i="10"/>
  <c r="AU149" i="10"/>
  <c r="AS149" i="10"/>
  <c r="AR149" i="10"/>
  <c r="AN149" i="10"/>
  <c r="Z149" i="10"/>
  <c r="Y149" i="10"/>
  <c r="W149" i="10"/>
  <c r="S149" i="10"/>
  <c r="Q149" i="10"/>
  <c r="I149" i="10"/>
  <c r="AU148" i="10"/>
  <c r="AS148" i="10"/>
  <c r="AR148" i="10"/>
  <c r="AN148" i="10"/>
  <c r="Z148" i="10"/>
  <c r="Y148" i="10"/>
  <c r="W148" i="10"/>
  <c r="S148" i="10"/>
  <c r="Q148" i="10"/>
  <c r="I148" i="10"/>
  <c r="AU147" i="10"/>
  <c r="AS147" i="10"/>
  <c r="AR147" i="10"/>
  <c r="AN147" i="10"/>
  <c r="Z147" i="10"/>
  <c r="Y147" i="10"/>
  <c r="W147" i="10"/>
  <c r="S147" i="10"/>
  <c r="Q147" i="10"/>
  <c r="I147" i="10"/>
  <c r="AU146" i="10"/>
  <c r="AS146" i="10"/>
  <c r="AR146" i="10"/>
  <c r="AN146" i="10"/>
  <c r="Z146" i="10"/>
  <c r="Y146" i="10"/>
  <c r="W146" i="10"/>
  <c r="S146" i="10"/>
  <c r="Q146" i="10"/>
  <c r="I146" i="10"/>
  <c r="AU145" i="10"/>
  <c r="AS145" i="10"/>
  <c r="AR145" i="10"/>
  <c r="AN145" i="10"/>
  <c r="Z145" i="10"/>
  <c r="Y145" i="10"/>
  <c r="W145" i="10"/>
  <c r="S145" i="10"/>
  <c r="Q145" i="10"/>
  <c r="I145" i="10"/>
  <c r="AU144" i="10"/>
  <c r="AS144" i="10"/>
  <c r="AR144" i="10"/>
  <c r="AN144" i="10"/>
  <c r="Z144" i="10"/>
  <c r="Y144" i="10"/>
  <c r="W144" i="10"/>
  <c r="S144" i="10"/>
  <c r="Q144" i="10"/>
  <c r="I144" i="10"/>
  <c r="AU143" i="10"/>
  <c r="AS143" i="10"/>
  <c r="AR143" i="10"/>
  <c r="AN143" i="10"/>
  <c r="Z143" i="10"/>
  <c r="Y143" i="10"/>
  <c r="W143" i="10"/>
  <c r="S143" i="10"/>
  <c r="Q143" i="10"/>
  <c r="I143" i="10"/>
  <c r="AU142" i="10"/>
  <c r="AS142" i="10"/>
  <c r="AR142" i="10"/>
  <c r="AN142" i="10"/>
  <c r="Z142" i="10"/>
  <c r="Y142" i="10"/>
  <c r="W142" i="10"/>
  <c r="S142" i="10"/>
  <c r="Q142" i="10"/>
  <c r="I142" i="10"/>
  <c r="AS141" i="10"/>
  <c r="AR141" i="10"/>
  <c r="AN141" i="10"/>
  <c r="Z141" i="10"/>
  <c r="Y141" i="10"/>
  <c r="W141" i="10"/>
  <c r="S141" i="10"/>
  <c r="Q141" i="10"/>
  <c r="I141" i="10"/>
  <c r="AS140" i="10"/>
  <c r="AR140" i="10"/>
  <c r="AN140" i="10"/>
  <c r="Z140" i="10"/>
  <c r="Y140" i="10"/>
  <c r="W140" i="10"/>
  <c r="S140" i="10"/>
  <c r="Q140" i="10"/>
  <c r="I140" i="10"/>
  <c r="AU139" i="10"/>
  <c r="AS139" i="10"/>
  <c r="AR139" i="10"/>
  <c r="AN139" i="10"/>
  <c r="AM139" i="10"/>
  <c r="Z139" i="10"/>
  <c r="Y139" i="10"/>
  <c r="W139" i="10"/>
  <c r="S139" i="10"/>
  <c r="Q139" i="10"/>
  <c r="I139" i="10"/>
  <c r="AU138" i="10"/>
  <c r="AS138" i="10"/>
  <c r="AR138" i="10"/>
  <c r="AN138" i="10"/>
  <c r="AM138" i="10"/>
  <c r="Z138" i="10"/>
  <c r="Y138" i="10"/>
  <c r="W138" i="10"/>
  <c r="S138" i="10"/>
  <c r="Q138" i="10"/>
  <c r="I138" i="10"/>
  <c r="AS137" i="10"/>
  <c r="AR137" i="10"/>
  <c r="AN137" i="10"/>
  <c r="Z137" i="10"/>
  <c r="Y137" i="10"/>
  <c r="W137" i="10"/>
  <c r="S137" i="10"/>
  <c r="Q137" i="10"/>
  <c r="I137" i="10"/>
  <c r="AS136" i="10"/>
  <c r="AR136" i="10"/>
  <c r="AN136" i="10"/>
  <c r="Z136" i="10"/>
  <c r="Y136" i="10"/>
  <c r="W136" i="10"/>
  <c r="S136" i="10"/>
  <c r="Q136" i="10"/>
  <c r="I136" i="10"/>
  <c r="AS135" i="10"/>
  <c r="AR135" i="10"/>
  <c r="AN135" i="10"/>
  <c r="Z135" i="10"/>
  <c r="Y135" i="10"/>
  <c r="W135" i="10"/>
  <c r="S135" i="10"/>
  <c r="Q135" i="10"/>
  <c r="I135" i="10"/>
  <c r="AU134" i="10"/>
  <c r="AS134" i="10"/>
  <c r="AR134" i="10"/>
  <c r="AN134" i="10"/>
  <c r="Z134" i="10"/>
  <c r="Y134" i="10"/>
  <c r="W134" i="10"/>
  <c r="S134" i="10"/>
  <c r="Q134" i="10"/>
  <c r="I134" i="10"/>
  <c r="AU133" i="10"/>
  <c r="AS133" i="10"/>
  <c r="AR133" i="10"/>
  <c r="AN133" i="10"/>
  <c r="Z133" i="10"/>
  <c r="Y133" i="10"/>
  <c r="W133" i="10"/>
  <c r="S133" i="10"/>
  <c r="Q133" i="10"/>
  <c r="I133" i="10"/>
  <c r="AU132" i="10"/>
  <c r="AS132" i="10"/>
  <c r="AR132" i="10"/>
  <c r="AN132" i="10"/>
  <c r="Z132" i="10"/>
  <c r="Y132" i="10"/>
  <c r="W132" i="10"/>
  <c r="S132" i="10"/>
  <c r="Q132" i="10"/>
  <c r="I132" i="10"/>
  <c r="AS131" i="10"/>
  <c r="AR131" i="10"/>
  <c r="AN131" i="10"/>
  <c r="Z131" i="10"/>
  <c r="Y131" i="10"/>
  <c r="W131" i="10"/>
  <c r="S131" i="10"/>
  <c r="Q131" i="10"/>
  <c r="I131" i="10"/>
  <c r="AU130" i="10"/>
  <c r="AS130" i="10"/>
  <c r="AR130" i="10"/>
  <c r="AN130" i="10"/>
  <c r="Z130" i="10"/>
  <c r="Y130" i="10"/>
  <c r="W130" i="10"/>
  <c r="S130" i="10"/>
  <c r="Q130" i="10"/>
  <c r="I130" i="10"/>
  <c r="AU129" i="10"/>
  <c r="AS129" i="10"/>
  <c r="AR129" i="10"/>
  <c r="AN129" i="10"/>
  <c r="Z129" i="10"/>
  <c r="Y129" i="10"/>
  <c r="W129" i="10"/>
  <c r="S129" i="10"/>
  <c r="Q129" i="10"/>
  <c r="I129" i="10"/>
  <c r="AU128" i="10"/>
  <c r="AS128" i="10"/>
  <c r="AR128" i="10"/>
  <c r="AN128" i="10"/>
  <c r="Z128" i="10"/>
  <c r="Y128" i="10"/>
  <c r="W128" i="10"/>
  <c r="S128" i="10"/>
  <c r="Q128" i="10"/>
  <c r="I128" i="10"/>
  <c r="AU127" i="10"/>
  <c r="AS127" i="10"/>
  <c r="AR127" i="10"/>
  <c r="AN127" i="10"/>
  <c r="Z127" i="10"/>
  <c r="Y127" i="10"/>
  <c r="W127" i="10"/>
  <c r="S127" i="10"/>
  <c r="Q127" i="10"/>
  <c r="I127" i="10"/>
  <c r="AU126" i="10"/>
  <c r="AS126" i="10"/>
  <c r="AR126" i="10"/>
  <c r="AN126" i="10"/>
  <c r="Z126" i="10"/>
  <c r="Y126" i="10"/>
  <c r="W126" i="10"/>
  <c r="S126" i="10"/>
  <c r="Q126" i="10"/>
  <c r="I126" i="10"/>
  <c r="AU125" i="10"/>
  <c r="AS125" i="10"/>
  <c r="AR125" i="10"/>
  <c r="AN125" i="10"/>
  <c r="Z125" i="10"/>
  <c r="Y125" i="10"/>
  <c r="W125" i="10"/>
  <c r="S125" i="10"/>
  <c r="Q125" i="10"/>
  <c r="I125" i="10"/>
  <c r="AS124" i="10"/>
  <c r="AR124" i="10"/>
  <c r="AN124" i="10"/>
  <c r="Z124" i="10"/>
  <c r="Y124" i="10"/>
  <c r="W124" i="10"/>
  <c r="S124" i="10"/>
  <c r="Q124" i="10"/>
  <c r="I124" i="10"/>
  <c r="AU123" i="10"/>
  <c r="AS123" i="10"/>
  <c r="AR123" i="10"/>
  <c r="AN123" i="10"/>
  <c r="Z123" i="10"/>
  <c r="Y123" i="10"/>
  <c r="W123" i="10"/>
  <c r="S123" i="10"/>
  <c r="Q123" i="10"/>
  <c r="I123" i="10"/>
  <c r="AU122" i="10"/>
  <c r="AS122" i="10"/>
  <c r="AR122" i="10"/>
  <c r="AN122" i="10"/>
  <c r="Z122" i="10"/>
  <c r="Y122" i="10"/>
  <c r="W122" i="10"/>
  <c r="S122" i="10"/>
  <c r="Q122" i="10"/>
  <c r="I122" i="10"/>
  <c r="AU121" i="10"/>
  <c r="AS121" i="10"/>
  <c r="AR121" i="10"/>
  <c r="AN121" i="10"/>
  <c r="Z121" i="10"/>
  <c r="Y121" i="10"/>
  <c r="W121" i="10"/>
  <c r="S121" i="10"/>
  <c r="Q121" i="10"/>
  <c r="I121" i="10"/>
  <c r="AU120" i="10"/>
  <c r="AS120" i="10"/>
  <c r="AR120" i="10"/>
  <c r="AN120" i="10"/>
  <c r="Z120" i="10"/>
  <c r="Y120" i="10"/>
  <c r="W120" i="10"/>
  <c r="S120" i="10"/>
  <c r="Q120" i="10"/>
  <c r="I120" i="10"/>
  <c r="AU119" i="10"/>
  <c r="AS119" i="10"/>
  <c r="AR119" i="10"/>
  <c r="AN119" i="10"/>
  <c r="Z119" i="10"/>
  <c r="Y119" i="10"/>
  <c r="W119" i="10"/>
  <c r="S119" i="10"/>
  <c r="Q119" i="10"/>
  <c r="I119" i="10"/>
  <c r="AU118" i="10"/>
  <c r="AS118" i="10"/>
  <c r="AR118" i="10"/>
  <c r="AN118" i="10"/>
  <c r="Z118" i="10"/>
  <c r="Y118" i="10"/>
  <c r="W118" i="10"/>
  <c r="S118" i="10"/>
  <c r="Q118" i="10"/>
  <c r="I118" i="10"/>
  <c r="AU117" i="10"/>
  <c r="AS117" i="10"/>
  <c r="AR117" i="10"/>
  <c r="AN117" i="10"/>
  <c r="Z117" i="10"/>
  <c r="Y117" i="10"/>
  <c r="W117" i="10"/>
  <c r="S117" i="10"/>
  <c r="Q117" i="10"/>
  <c r="I117" i="10"/>
  <c r="AU116" i="10"/>
  <c r="AS116" i="10"/>
  <c r="AR116" i="10"/>
  <c r="AN116" i="10"/>
  <c r="Z116" i="10"/>
  <c r="Y116" i="10"/>
  <c r="W116" i="10"/>
  <c r="S116" i="10"/>
  <c r="Q116" i="10"/>
  <c r="I116" i="10"/>
  <c r="AU115" i="10"/>
  <c r="AS115" i="10"/>
  <c r="AR115" i="10"/>
  <c r="AN115" i="10"/>
  <c r="Z115" i="10"/>
  <c r="Y115" i="10"/>
  <c r="W115" i="10"/>
  <c r="S115" i="10"/>
  <c r="Q115" i="10"/>
  <c r="I115" i="10"/>
  <c r="AU114" i="10"/>
  <c r="AS114" i="10"/>
  <c r="AR114" i="10"/>
  <c r="AN114" i="10"/>
  <c r="Z114" i="10"/>
  <c r="Y114" i="10"/>
  <c r="W114" i="10"/>
  <c r="S114" i="10"/>
  <c r="Q114" i="10"/>
  <c r="I114" i="10"/>
  <c r="AU113" i="10"/>
  <c r="AS113" i="10"/>
  <c r="AR113" i="10"/>
  <c r="AN113" i="10"/>
  <c r="Z113" i="10"/>
  <c r="Y113" i="10"/>
  <c r="S113" i="10"/>
  <c r="I113" i="10"/>
  <c r="AU112" i="10"/>
  <c r="AS112" i="10"/>
  <c r="AR112" i="10"/>
  <c r="AN112" i="10"/>
  <c r="Z112" i="10"/>
  <c r="Y112" i="10"/>
  <c r="W112" i="10"/>
  <c r="S112" i="10"/>
  <c r="Q112" i="10"/>
  <c r="I112" i="10"/>
  <c r="AU111" i="10"/>
  <c r="AS111" i="10"/>
  <c r="AR111" i="10"/>
  <c r="AN111" i="10"/>
  <c r="Z111" i="10"/>
  <c r="Y111" i="10"/>
  <c r="W111" i="10"/>
  <c r="S111" i="10"/>
  <c r="Q111" i="10"/>
  <c r="I111" i="10"/>
  <c r="AU110" i="10"/>
  <c r="AS110" i="10"/>
  <c r="AR110" i="10"/>
  <c r="AN110" i="10"/>
  <c r="Z110" i="10"/>
  <c r="Y110" i="10"/>
  <c r="W110" i="10"/>
  <c r="S110" i="10"/>
  <c r="Q110" i="10"/>
  <c r="I110" i="10"/>
  <c r="AU109" i="10"/>
  <c r="AS109" i="10"/>
  <c r="AR109" i="10"/>
  <c r="AN109" i="10"/>
  <c r="Z109" i="10"/>
  <c r="Y109" i="10"/>
  <c r="W109" i="10"/>
  <c r="S109" i="10"/>
  <c r="Q109" i="10"/>
  <c r="I109" i="10"/>
  <c r="AU108" i="10"/>
  <c r="AS108" i="10"/>
  <c r="AR108" i="10"/>
  <c r="AN108" i="10"/>
  <c r="Z108" i="10"/>
  <c r="Y108" i="10"/>
  <c r="W108" i="10"/>
  <c r="S108" i="10"/>
  <c r="Q108" i="10"/>
  <c r="I108" i="10"/>
  <c r="AU107" i="10"/>
  <c r="AS107" i="10"/>
  <c r="AR107" i="10"/>
  <c r="AN107" i="10"/>
  <c r="Z107" i="10"/>
  <c r="Y107" i="10"/>
  <c r="W107" i="10"/>
  <c r="S107" i="10"/>
  <c r="Q107" i="10"/>
  <c r="I107" i="10"/>
  <c r="AU106" i="10"/>
  <c r="AS106" i="10"/>
  <c r="AR106" i="10"/>
  <c r="AN106" i="10"/>
  <c r="Z106" i="10"/>
  <c r="Y106" i="10"/>
  <c r="W106" i="10"/>
  <c r="S106" i="10"/>
  <c r="Q106" i="10"/>
  <c r="I106" i="10"/>
  <c r="AU105" i="10"/>
  <c r="AS105" i="10"/>
  <c r="AR105" i="10"/>
  <c r="AN105" i="10"/>
  <c r="Z105" i="10"/>
  <c r="Y105" i="10"/>
  <c r="W105" i="10"/>
  <c r="S105" i="10"/>
  <c r="Q105" i="10"/>
  <c r="I105" i="10"/>
  <c r="AU104" i="10"/>
  <c r="AS104" i="10"/>
  <c r="AR104" i="10"/>
  <c r="AN104" i="10"/>
  <c r="Z104" i="10"/>
  <c r="Y104" i="10"/>
  <c r="W104" i="10"/>
  <c r="S104" i="10"/>
  <c r="Q104" i="10"/>
  <c r="I104" i="10"/>
  <c r="AU103" i="10"/>
  <c r="AS103" i="10"/>
  <c r="AR103" i="10"/>
  <c r="AN103" i="10"/>
  <c r="Z103" i="10"/>
  <c r="Y103" i="10"/>
  <c r="S103" i="10"/>
  <c r="I103" i="10"/>
  <c r="AU102" i="10"/>
  <c r="AS102" i="10"/>
  <c r="AR102" i="10"/>
  <c r="AN102" i="10"/>
  <c r="Z102" i="10"/>
  <c r="Y102" i="10"/>
  <c r="W102" i="10"/>
  <c r="S102" i="10"/>
  <c r="Q102" i="10"/>
  <c r="I102" i="10"/>
  <c r="AU101" i="10"/>
  <c r="AS101" i="10"/>
  <c r="AR101" i="10"/>
  <c r="AN101" i="10"/>
  <c r="Z101" i="10"/>
  <c r="Y101" i="10"/>
  <c r="W101" i="10"/>
  <c r="S101" i="10"/>
  <c r="Q101" i="10"/>
  <c r="I101" i="10"/>
  <c r="AU100" i="10"/>
  <c r="AS100" i="10"/>
  <c r="AR100" i="10"/>
  <c r="AN100" i="10"/>
  <c r="Z100" i="10"/>
  <c r="Y100" i="10"/>
  <c r="W100" i="10"/>
  <c r="S100" i="10"/>
  <c r="Q100" i="10"/>
  <c r="I100" i="10"/>
  <c r="AU99" i="10"/>
  <c r="AS99" i="10"/>
  <c r="AR99" i="10"/>
  <c r="AN99" i="10"/>
  <c r="Z99" i="10"/>
  <c r="Y99" i="10"/>
  <c r="W99" i="10"/>
  <c r="S99" i="10"/>
  <c r="Q99" i="10"/>
  <c r="I99" i="10"/>
  <c r="AU98" i="10"/>
  <c r="AS98" i="10"/>
  <c r="AR98" i="10"/>
  <c r="AN98" i="10"/>
  <c r="Z98" i="10"/>
  <c r="Y98" i="10"/>
  <c r="W98" i="10"/>
  <c r="S98" i="10"/>
  <c r="Q98" i="10"/>
  <c r="I98" i="10"/>
  <c r="AU97" i="10"/>
  <c r="AS97" i="10"/>
  <c r="AR97" i="10"/>
  <c r="AN97" i="10"/>
  <c r="Z97" i="10"/>
  <c r="Y97" i="10"/>
  <c r="W97" i="10"/>
  <c r="S97" i="10"/>
  <c r="Q97" i="10"/>
  <c r="I97" i="10"/>
  <c r="AU96" i="10"/>
  <c r="AS96" i="10"/>
  <c r="AR96" i="10"/>
  <c r="AN96" i="10"/>
  <c r="Z96" i="10"/>
  <c r="Y96" i="10"/>
  <c r="W96" i="10"/>
  <c r="S96" i="10"/>
  <c r="Q96" i="10"/>
  <c r="I96" i="10"/>
  <c r="AU95" i="10"/>
  <c r="AS95" i="10"/>
  <c r="AR95" i="10"/>
  <c r="AN95" i="10"/>
  <c r="Z95" i="10"/>
  <c r="Y95" i="10"/>
  <c r="W95" i="10"/>
  <c r="S95" i="10"/>
  <c r="Q95" i="10"/>
  <c r="I95" i="10"/>
  <c r="AU94" i="10"/>
  <c r="AS94" i="10"/>
  <c r="AR94" i="10"/>
  <c r="AN94" i="10"/>
  <c r="Z94" i="10"/>
  <c r="Y94" i="10"/>
  <c r="W94" i="10"/>
  <c r="S94" i="10"/>
  <c r="Q94" i="10"/>
  <c r="I94" i="10"/>
  <c r="AU93" i="10"/>
  <c r="AS93" i="10"/>
  <c r="AR93" i="10"/>
  <c r="AN93" i="10"/>
  <c r="Z93" i="10"/>
  <c r="Y93" i="10"/>
  <c r="W93" i="10"/>
  <c r="S93" i="10"/>
  <c r="Q93" i="10"/>
  <c r="I93" i="10"/>
  <c r="AU92" i="10"/>
  <c r="AS92" i="10"/>
  <c r="AR92" i="10"/>
  <c r="AN92" i="10"/>
  <c r="Z92" i="10"/>
  <c r="Y92" i="10"/>
  <c r="W92" i="10"/>
  <c r="S92" i="10"/>
  <c r="Q92" i="10"/>
  <c r="I92" i="10"/>
  <c r="AU91" i="10"/>
  <c r="AS91" i="10"/>
  <c r="AR91" i="10"/>
  <c r="AN91" i="10"/>
  <c r="Z91" i="10"/>
  <c r="Y91" i="10"/>
  <c r="W91" i="10"/>
  <c r="S91" i="10"/>
  <c r="Q91" i="10"/>
  <c r="I91" i="10"/>
  <c r="AU90" i="10"/>
  <c r="AS90" i="10"/>
  <c r="AR90" i="10"/>
  <c r="AN90" i="10"/>
  <c r="Z90" i="10"/>
  <c r="Y90" i="10"/>
  <c r="W90" i="10"/>
  <c r="S90" i="10"/>
  <c r="Q90" i="10"/>
  <c r="I90" i="10"/>
  <c r="AU89" i="10"/>
  <c r="AS89" i="10"/>
  <c r="AR89" i="10"/>
  <c r="AN89" i="10"/>
  <c r="Z89" i="10"/>
  <c r="Y89" i="10"/>
  <c r="W89" i="10"/>
  <c r="S89" i="10"/>
  <c r="Q89" i="10"/>
  <c r="I89" i="10"/>
  <c r="AU88" i="10"/>
  <c r="AS88" i="10"/>
  <c r="AR88" i="10"/>
  <c r="AN88" i="10"/>
  <c r="Z88" i="10"/>
  <c r="Y88" i="10"/>
  <c r="W88" i="10"/>
  <c r="S88" i="10"/>
  <c r="Q88" i="10"/>
  <c r="I88" i="10"/>
  <c r="AU87" i="10"/>
  <c r="AS87" i="10"/>
  <c r="AR87" i="10"/>
  <c r="AN87" i="10"/>
  <c r="Z87" i="10"/>
  <c r="Y87" i="10"/>
  <c r="W87" i="10"/>
  <c r="S87" i="10"/>
  <c r="Q87" i="10"/>
  <c r="I87" i="10"/>
  <c r="AU86" i="10"/>
  <c r="AS86" i="10"/>
  <c r="AR86" i="10"/>
  <c r="AN86" i="10"/>
  <c r="Z86" i="10"/>
  <c r="Y86" i="10"/>
  <c r="W86" i="10"/>
  <c r="S86" i="10"/>
  <c r="Q86" i="10"/>
  <c r="I86" i="10"/>
  <c r="AU85" i="10"/>
  <c r="AS85" i="10"/>
  <c r="AR85" i="10"/>
  <c r="AN85" i="10"/>
  <c r="Z85" i="10"/>
  <c r="Y85" i="10"/>
  <c r="W85" i="10"/>
  <c r="S85" i="10"/>
  <c r="Q85" i="10"/>
  <c r="I85" i="10"/>
  <c r="AU84" i="10"/>
  <c r="AS84" i="10"/>
  <c r="AR84" i="10"/>
  <c r="AN84" i="10"/>
  <c r="Z84" i="10"/>
  <c r="Y84" i="10"/>
  <c r="W84" i="10"/>
  <c r="S84" i="10"/>
  <c r="Q84" i="10"/>
  <c r="I84" i="10"/>
  <c r="AU83" i="10"/>
  <c r="AS83" i="10"/>
  <c r="AR83" i="10"/>
  <c r="AN83" i="10"/>
  <c r="Z83" i="10"/>
  <c r="Y83" i="10"/>
  <c r="W83" i="10"/>
  <c r="S83" i="10"/>
  <c r="Q83" i="10"/>
  <c r="I83" i="10"/>
  <c r="AU82" i="10"/>
  <c r="AS82" i="10"/>
  <c r="AR82" i="10"/>
  <c r="AN82" i="10"/>
  <c r="Z82" i="10"/>
  <c r="Y82" i="10"/>
  <c r="W82" i="10"/>
  <c r="S82" i="10"/>
  <c r="Q82" i="10"/>
  <c r="I82" i="10"/>
  <c r="AU81" i="10"/>
  <c r="AS81" i="10"/>
  <c r="AR81" i="10"/>
  <c r="AN81" i="10"/>
  <c r="Z81" i="10"/>
  <c r="Y81" i="10"/>
  <c r="W81" i="10"/>
  <c r="S81" i="10"/>
  <c r="Q81" i="10"/>
  <c r="I81" i="10"/>
  <c r="AU80" i="10"/>
  <c r="AS80" i="10"/>
  <c r="AR80" i="10"/>
  <c r="AN80" i="10"/>
  <c r="Z80" i="10"/>
  <c r="Y80" i="10"/>
  <c r="W80" i="10"/>
  <c r="S80" i="10"/>
  <c r="Q80" i="10"/>
  <c r="I80" i="10"/>
  <c r="AU79" i="10"/>
  <c r="AS79" i="10"/>
  <c r="AR79" i="10"/>
  <c r="AN79" i="10"/>
  <c r="Z79" i="10"/>
  <c r="Y79" i="10"/>
  <c r="W79" i="10"/>
  <c r="S79" i="10"/>
  <c r="Q79" i="10"/>
  <c r="I79" i="10"/>
  <c r="AU78" i="10"/>
  <c r="AS78" i="10"/>
  <c r="AR78" i="10"/>
  <c r="AN78" i="10"/>
  <c r="Z78" i="10"/>
  <c r="Y78" i="10"/>
  <c r="W78" i="10"/>
  <c r="S78" i="10"/>
  <c r="Q78" i="10"/>
  <c r="I78" i="10"/>
  <c r="AU77" i="10"/>
  <c r="AS77" i="10"/>
  <c r="AR77" i="10"/>
  <c r="AN77" i="10"/>
  <c r="Z77" i="10"/>
  <c r="Y77" i="10"/>
  <c r="W77" i="10"/>
  <c r="S77" i="10"/>
  <c r="Q77" i="10"/>
  <c r="I77" i="10"/>
  <c r="AU76" i="10"/>
  <c r="AS76" i="10"/>
  <c r="AR76" i="10"/>
  <c r="AN76" i="10"/>
  <c r="Z76" i="10"/>
  <c r="Y76" i="10"/>
  <c r="S76" i="10"/>
  <c r="I76" i="10"/>
  <c r="AU75" i="10"/>
  <c r="AS75" i="10"/>
  <c r="AR75" i="10"/>
  <c r="AN75" i="10"/>
  <c r="Z75" i="10"/>
  <c r="Y75" i="10"/>
  <c r="W75" i="10"/>
  <c r="S75" i="10"/>
  <c r="Q75" i="10"/>
  <c r="I75" i="10"/>
  <c r="AU74" i="10"/>
  <c r="AS74" i="10"/>
  <c r="AR74" i="10"/>
  <c r="AN74" i="10"/>
  <c r="Z74" i="10"/>
  <c r="Y74" i="10"/>
  <c r="W74" i="10"/>
  <c r="S74" i="10"/>
  <c r="Q74" i="10"/>
  <c r="I74" i="10"/>
  <c r="AU73" i="10"/>
  <c r="AS73" i="10"/>
  <c r="AR73" i="10"/>
  <c r="AN73" i="10"/>
  <c r="Z73" i="10"/>
  <c r="Y73" i="10"/>
  <c r="W73" i="10"/>
  <c r="S73" i="10"/>
  <c r="Q73" i="10"/>
  <c r="I73" i="10"/>
  <c r="AU72" i="10"/>
  <c r="AS72" i="10"/>
  <c r="AR72" i="10"/>
  <c r="AN72" i="10"/>
  <c r="Z72" i="10"/>
  <c r="Y72" i="10"/>
  <c r="W72" i="10"/>
  <c r="S72" i="10"/>
  <c r="Q72" i="10"/>
  <c r="I72" i="10"/>
  <c r="AU71" i="10"/>
  <c r="AS71" i="10"/>
  <c r="AR71" i="10"/>
  <c r="AN71" i="10"/>
  <c r="Z71" i="10"/>
  <c r="Y71" i="10"/>
  <c r="W71" i="10"/>
  <c r="S71" i="10"/>
  <c r="Q71" i="10"/>
  <c r="I71" i="10"/>
  <c r="AU70" i="10"/>
  <c r="AS70" i="10"/>
  <c r="AR70" i="10"/>
  <c r="AN70" i="10"/>
  <c r="Z70" i="10"/>
  <c r="Y70" i="10"/>
  <c r="W70" i="10"/>
  <c r="S70" i="10"/>
  <c r="Q70" i="10"/>
  <c r="I70" i="10"/>
  <c r="AU69" i="10"/>
  <c r="AS69" i="10"/>
  <c r="AR69" i="10"/>
  <c r="AN69" i="10"/>
  <c r="Z69" i="10"/>
  <c r="Y69" i="10"/>
  <c r="W69" i="10"/>
  <c r="S69" i="10"/>
  <c r="Q69" i="10"/>
  <c r="I69" i="10"/>
  <c r="AU68" i="10"/>
  <c r="AS68" i="10"/>
  <c r="AR68" i="10"/>
  <c r="AN68" i="10"/>
  <c r="Z68" i="10"/>
  <c r="Y68" i="10"/>
  <c r="S68" i="10"/>
  <c r="I68" i="10"/>
  <c r="AU67" i="10"/>
  <c r="AS67" i="10"/>
  <c r="AR67" i="10"/>
  <c r="AN67" i="10"/>
  <c r="Z67" i="10"/>
  <c r="Y67" i="10"/>
  <c r="W67" i="10"/>
  <c r="S67" i="10"/>
  <c r="Q67" i="10"/>
  <c r="I67" i="10"/>
  <c r="AU66" i="10"/>
  <c r="AS66" i="10"/>
  <c r="AR66" i="10"/>
  <c r="AN66" i="10"/>
  <c r="Z66" i="10"/>
  <c r="Y66" i="10"/>
  <c r="W66" i="10"/>
  <c r="S66" i="10"/>
  <c r="Q66" i="10"/>
  <c r="I66" i="10"/>
  <c r="AU65" i="10"/>
  <c r="AS65" i="10"/>
  <c r="AR65" i="10"/>
  <c r="AN65" i="10"/>
  <c r="Z65" i="10"/>
  <c r="Y65" i="10"/>
  <c r="W65" i="10"/>
  <c r="S65" i="10"/>
  <c r="Q65" i="10"/>
  <c r="I65" i="10"/>
  <c r="AU64" i="10"/>
  <c r="AS64" i="10"/>
  <c r="AR64" i="10"/>
  <c r="AN64" i="10"/>
  <c r="Z64" i="10"/>
  <c r="Y64" i="10"/>
  <c r="W64" i="10"/>
  <c r="S64" i="10"/>
  <c r="Q64" i="10"/>
  <c r="I64" i="10"/>
  <c r="AU63" i="10"/>
  <c r="AS63" i="10"/>
  <c r="AR63" i="10"/>
  <c r="AN63" i="10"/>
  <c r="Z63" i="10"/>
  <c r="Y63" i="10"/>
  <c r="S63" i="10"/>
  <c r="I63" i="10"/>
  <c r="AU62" i="10"/>
  <c r="AS62" i="10"/>
  <c r="AR62" i="10"/>
  <c r="AN62" i="10"/>
  <c r="Z62" i="10"/>
  <c r="Y62" i="10"/>
  <c r="W62" i="10"/>
  <c r="S62" i="10"/>
  <c r="Q62" i="10"/>
  <c r="I62" i="10"/>
  <c r="AU61" i="10"/>
  <c r="AS61" i="10"/>
  <c r="AR61" i="10"/>
  <c r="AN61" i="10"/>
  <c r="Z61" i="10"/>
  <c r="Y61" i="10"/>
  <c r="W61" i="10"/>
  <c r="S61" i="10"/>
  <c r="Q61" i="10"/>
  <c r="I61" i="10"/>
  <c r="AU60" i="10"/>
  <c r="AS60" i="10"/>
  <c r="AR60" i="10"/>
  <c r="AN60" i="10"/>
  <c r="Z60" i="10"/>
  <c r="Y60" i="10"/>
  <c r="W60" i="10"/>
  <c r="S60" i="10"/>
  <c r="Q60" i="10"/>
  <c r="I60" i="10"/>
  <c r="AU59" i="10"/>
  <c r="AS59" i="10"/>
  <c r="AR59" i="10"/>
  <c r="AN59" i="10"/>
  <c r="Z59" i="10"/>
  <c r="Y59" i="10"/>
  <c r="W59" i="10"/>
  <c r="S59" i="10"/>
  <c r="Q59" i="10"/>
  <c r="I59" i="10"/>
  <c r="AU58" i="10"/>
  <c r="AS58" i="10"/>
  <c r="AR58" i="10"/>
  <c r="AN58" i="10"/>
  <c r="Z58" i="10"/>
  <c r="Y58" i="10"/>
  <c r="W58" i="10"/>
  <c r="S58" i="10"/>
  <c r="Q58" i="10"/>
  <c r="I58" i="10"/>
  <c r="AU57" i="10"/>
  <c r="AS57" i="10"/>
  <c r="AR57" i="10"/>
  <c r="AN57" i="10"/>
  <c r="Z57" i="10"/>
  <c r="Y57" i="10"/>
  <c r="W57" i="10"/>
  <c r="S57" i="10"/>
  <c r="Q57" i="10"/>
  <c r="I57" i="10"/>
  <c r="AU56" i="10"/>
  <c r="AS56" i="10"/>
  <c r="AR56" i="10"/>
  <c r="AN56" i="10"/>
  <c r="Z56" i="10"/>
  <c r="Y56" i="10"/>
  <c r="W56" i="10"/>
  <c r="S56" i="10"/>
  <c r="Q56" i="10"/>
  <c r="I56" i="10"/>
  <c r="AU55" i="10"/>
  <c r="AS55" i="10"/>
  <c r="AR55" i="10"/>
  <c r="AN55" i="10"/>
  <c r="Z55" i="10"/>
  <c r="Y55" i="10"/>
  <c r="W55" i="10"/>
  <c r="S55" i="10"/>
  <c r="Q55" i="10"/>
  <c r="I55" i="10"/>
  <c r="AU54" i="10"/>
  <c r="AS54" i="10"/>
  <c r="AR54" i="10"/>
  <c r="AN54" i="10"/>
  <c r="Z54" i="10"/>
  <c r="Y54" i="10"/>
  <c r="W54" i="10"/>
  <c r="S54" i="10"/>
  <c r="Q54" i="10"/>
  <c r="I54" i="10"/>
  <c r="AU53" i="10"/>
  <c r="AS53" i="10"/>
  <c r="AR53" i="10"/>
  <c r="AN53" i="10"/>
  <c r="Z53" i="10"/>
  <c r="Y53" i="10"/>
  <c r="W53" i="10"/>
  <c r="S53" i="10"/>
  <c r="Q53" i="10"/>
  <c r="I53" i="10"/>
  <c r="AU52" i="10"/>
  <c r="AS52" i="10"/>
  <c r="AR52" i="10"/>
  <c r="AN52" i="10"/>
  <c r="Z52" i="10"/>
  <c r="Y52" i="10"/>
  <c r="W52" i="10"/>
  <c r="S52" i="10"/>
  <c r="Q52" i="10"/>
  <c r="I52" i="10"/>
  <c r="AU51" i="10"/>
  <c r="AS51" i="10"/>
  <c r="AR51" i="10"/>
  <c r="AN51" i="10"/>
  <c r="Z51" i="10"/>
  <c r="Y51" i="10"/>
  <c r="W51" i="10"/>
  <c r="S51" i="10"/>
  <c r="Q51" i="10"/>
  <c r="I51" i="10"/>
  <c r="AU50" i="10"/>
  <c r="AS50" i="10"/>
  <c r="AR50" i="10"/>
  <c r="AN50" i="10"/>
  <c r="Z50" i="10"/>
  <c r="Y50" i="10"/>
  <c r="W50" i="10"/>
  <c r="S50" i="10"/>
  <c r="Q50" i="10"/>
  <c r="I50" i="10"/>
  <c r="AS49" i="10"/>
  <c r="AR49" i="10"/>
  <c r="AN49" i="10"/>
  <c r="Z49" i="10"/>
  <c r="Y49" i="10"/>
  <c r="W49" i="10"/>
  <c r="S49" i="10"/>
  <c r="Q49" i="10"/>
  <c r="I49" i="10"/>
  <c r="AS48" i="10"/>
  <c r="AR48" i="10"/>
  <c r="AN48" i="10"/>
  <c r="Z48" i="10"/>
  <c r="Y48" i="10"/>
  <c r="W48" i="10"/>
  <c r="S48" i="10"/>
  <c r="Q48" i="10"/>
  <c r="I48" i="10"/>
  <c r="AU47" i="10"/>
  <c r="AS47" i="10"/>
  <c r="AR47" i="10"/>
  <c r="AN47" i="10"/>
  <c r="Z47" i="10"/>
  <c r="Y47" i="10"/>
  <c r="W47" i="10"/>
  <c r="S47" i="10"/>
  <c r="Q47" i="10"/>
  <c r="I47" i="10"/>
  <c r="AU46" i="10"/>
  <c r="AS46" i="10"/>
  <c r="AR46" i="10"/>
  <c r="AN46" i="10"/>
  <c r="Z46" i="10"/>
  <c r="Y46" i="10"/>
  <c r="W46" i="10"/>
  <c r="S46" i="10"/>
  <c r="Q46" i="10"/>
  <c r="I46" i="10"/>
  <c r="AS45" i="10"/>
  <c r="AR45" i="10"/>
  <c r="AN45" i="10"/>
  <c r="Z45" i="10"/>
  <c r="Y45" i="10"/>
  <c r="W45" i="10"/>
  <c r="S45" i="10"/>
  <c r="Q45" i="10"/>
  <c r="I45" i="10"/>
  <c r="AU44" i="10"/>
  <c r="AS44" i="10"/>
  <c r="AR44" i="10"/>
  <c r="AN44" i="10"/>
  <c r="Z44" i="10"/>
  <c r="Y44" i="10"/>
  <c r="W44" i="10"/>
  <c r="S44" i="10"/>
  <c r="Q44" i="10"/>
  <c r="I44" i="10"/>
  <c r="AS43" i="10"/>
  <c r="AR43" i="10"/>
  <c r="AN43" i="10"/>
  <c r="Z43" i="10"/>
  <c r="Y43" i="10"/>
  <c r="W43" i="10"/>
  <c r="S43" i="10"/>
  <c r="Q43" i="10"/>
  <c r="I43" i="10"/>
  <c r="AU42" i="10"/>
  <c r="AS42" i="10"/>
  <c r="AR42" i="10"/>
  <c r="AN42" i="10"/>
  <c r="Z42" i="10"/>
  <c r="Y42" i="10"/>
  <c r="W42" i="10"/>
  <c r="S42" i="10"/>
  <c r="Q42" i="10"/>
  <c r="I42" i="10"/>
  <c r="AU41" i="10"/>
  <c r="AS41" i="10"/>
  <c r="AR41" i="10"/>
  <c r="AN41" i="10"/>
  <c r="Z41" i="10"/>
  <c r="Y41" i="10"/>
  <c r="W41" i="10"/>
  <c r="S41" i="10"/>
  <c r="Q41" i="10"/>
  <c r="I41" i="10"/>
  <c r="AU40" i="10"/>
  <c r="AS40" i="10"/>
  <c r="AR40" i="10"/>
  <c r="AN40" i="10"/>
  <c r="Z40" i="10"/>
  <c r="Y40" i="10"/>
  <c r="W40" i="10"/>
  <c r="S40" i="10"/>
  <c r="Q40" i="10"/>
  <c r="I40" i="10"/>
  <c r="AU39" i="10"/>
  <c r="AS39" i="10"/>
  <c r="AR39" i="10"/>
  <c r="AN39" i="10"/>
  <c r="Z39" i="10"/>
  <c r="Y39" i="10"/>
  <c r="W39" i="10"/>
  <c r="S39" i="10"/>
  <c r="Q39" i="10"/>
  <c r="I39" i="10"/>
  <c r="AU38" i="10"/>
  <c r="AS38" i="10"/>
  <c r="AR38" i="10"/>
  <c r="AN38" i="10"/>
  <c r="Z38" i="10"/>
  <c r="Y38" i="10"/>
  <c r="W38" i="10"/>
  <c r="S38" i="10"/>
  <c r="Q38" i="10"/>
  <c r="I38" i="10"/>
  <c r="AU37" i="10"/>
  <c r="AS37" i="10"/>
  <c r="AR37" i="10"/>
  <c r="AN37" i="10"/>
  <c r="Z37" i="10"/>
  <c r="Y37" i="10"/>
  <c r="W37" i="10"/>
  <c r="S37" i="10"/>
  <c r="Q37" i="10"/>
  <c r="I37" i="10"/>
  <c r="AU36" i="10"/>
  <c r="AS36" i="10"/>
  <c r="AR36" i="10"/>
  <c r="AN36" i="10"/>
  <c r="Z36" i="10"/>
  <c r="Y36" i="10"/>
  <c r="W36" i="10"/>
  <c r="S36" i="10"/>
  <c r="Q36" i="10"/>
  <c r="I36" i="10"/>
  <c r="AU35" i="10"/>
  <c r="AS35" i="10"/>
  <c r="AR35" i="10"/>
  <c r="AN35" i="10"/>
  <c r="Z35" i="10"/>
  <c r="Y35" i="10"/>
  <c r="W35" i="10"/>
  <c r="S35" i="10"/>
  <c r="Q35" i="10"/>
  <c r="I35" i="10"/>
  <c r="AU34" i="10"/>
  <c r="AS34" i="10"/>
  <c r="AR34" i="10"/>
  <c r="AN34" i="10"/>
  <c r="Z34" i="10"/>
  <c r="Y34" i="10"/>
  <c r="W34" i="10"/>
  <c r="S34" i="10"/>
  <c r="Q34" i="10"/>
  <c r="I34" i="10"/>
  <c r="AU33" i="10"/>
  <c r="AS33" i="10"/>
  <c r="AR33" i="10"/>
  <c r="AN33" i="10"/>
  <c r="Z33" i="10"/>
  <c r="Y33" i="10"/>
  <c r="W33" i="10"/>
  <c r="S33" i="10"/>
  <c r="Q33" i="10"/>
  <c r="I33" i="10"/>
  <c r="AU32" i="10"/>
  <c r="AS32" i="10"/>
  <c r="AR32" i="10"/>
  <c r="AN32" i="10"/>
  <c r="Z32" i="10"/>
  <c r="Y32" i="10"/>
  <c r="W32" i="10"/>
  <c r="S32" i="10"/>
  <c r="Q32" i="10"/>
  <c r="I32" i="10"/>
  <c r="AU31" i="10"/>
  <c r="AS31" i="10"/>
  <c r="AR31" i="10"/>
  <c r="AN31" i="10"/>
  <c r="Z31" i="10"/>
  <c r="Y31" i="10"/>
  <c r="W31" i="10"/>
  <c r="S31" i="10"/>
  <c r="Q31" i="10"/>
  <c r="I31" i="10"/>
  <c r="AU30" i="10"/>
  <c r="AS30" i="10"/>
  <c r="AR30" i="10"/>
  <c r="AN30" i="10"/>
  <c r="Z30" i="10"/>
  <c r="Y30" i="10"/>
  <c r="W30" i="10"/>
  <c r="S30" i="10"/>
  <c r="Q30" i="10"/>
  <c r="I30" i="10"/>
  <c r="AU29" i="10"/>
  <c r="AS29" i="10"/>
  <c r="AR29" i="10"/>
  <c r="AN29" i="10"/>
  <c r="Z29" i="10"/>
  <c r="Y29" i="10"/>
  <c r="W29" i="10"/>
  <c r="S29" i="10"/>
  <c r="Q29" i="10"/>
  <c r="I29" i="10"/>
  <c r="AU28" i="10"/>
  <c r="AS28" i="10"/>
  <c r="AR28" i="10"/>
  <c r="AN28" i="10"/>
  <c r="Z28" i="10"/>
  <c r="Y28" i="10"/>
  <c r="W28" i="10"/>
  <c r="S28" i="10"/>
  <c r="Q28" i="10"/>
  <c r="I28" i="10"/>
  <c r="AU27" i="10"/>
  <c r="AS27" i="10"/>
  <c r="AR27" i="10"/>
  <c r="AN27" i="10"/>
  <c r="Z27" i="10"/>
  <c r="Y27" i="10"/>
  <c r="W27" i="10"/>
  <c r="S27" i="10"/>
  <c r="Q27" i="10"/>
  <c r="I27" i="10"/>
  <c r="AU26" i="10"/>
  <c r="AS26" i="10"/>
  <c r="AR26" i="10"/>
  <c r="AN26" i="10"/>
  <c r="Z26" i="10"/>
  <c r="Y26" i="10"/>
  <c r="W26" i="10"/>
  <c r="S26" i="10"/>
  <c r="Q26" i="10"/>
  <c r="I26" i="10"/>
  <c r="AU25" i="10"/>
  <c r="AS25" i="10"/>
  <c r="AR25" i="10"/>
  <c r="AN25" i="10"/>
  <c r="Z25" i="10"/>
  <c r="Y25" i="10"/>
  <c r="W25" i="10"/>
  <c r="S25" i="10"/>
  <c r="Q25" i="10"/>
  <c r="I25" i="10"/>
  <c r="AU24" i="10"/>
  <c r="AS24" i="10"/>
  <c r="AR24" i="10"/>
  <c r="AN24" i="10"/>
  <c r="Z24" i="10"/>
  <c r="Y24" i="10"/>
  <c r="W24" i="10"/>
  <c r="S24" i="10"/>
  <c r="Q24" i="10"/>
  <c r="I24" i="10"/>
  <c r="AU23" i="10"/>
  <c r="AS23" i="10"/>
  <c r="AR23" i="10"/>
  <c r="AN23" i="10"/>
  <c r="Z23" i="10"/>
  <c r="Y23" i="10"/>
  <c r="W23" i="10"/>
  <c r="S23" i="10"/>
  <c r="Q23" i="10"/>
  <c r="I23" i="10"/>
  <c r="AU22" i="10"/>
  <c r="AS22" i="10"/>
  <c r="AR22" i="10"/>
  <c r="AN22" i="10"/>
  <c r="Z22" i="10"/>
  <c r="Y22" i="10"/>
  <c r="W22" i="10"/>
  <c r="S22" i="10"/>
  <c r="Q22" i="10"/>
  <c r="I22" i="10"/>
  <c r="AU21" i="10"/>
  <c r="AS21" i="10"/>
  <c r="AR21" i="10"/>
  <c r="AN21" i="10"/>
  <c r="Z21" i="10"/>
  <c r="Y21" i="10"/>
  <c r="W21" i="10"/>
  <c r="S21" i="10"/>
  <c r="Q21" i="10"/>
  <c r="I21" i="10"/>
  <c r="AU20" i="10"/>
  <c r="AS20" i="10"/>
  <c r="AR20" i="10"/>
  <c r="AN20" i="10"/>
  <c r="Z20" i="10"/>
  <c r="Y20" i="10"/>
  <c r="W20" i="10"/>
  <c r="S20" i="10"/>
  <c r="Q20" i="10"/>
  <c r="I20" i="10"/>
  <c r="AU19" i="10"/>
  <c r="AS19" i="10"/>
  <c r="AR19" i="10"/>
  <c r="AN19" i="10"/>
  <c r="Z19" i="10"/>
  <c r="Y19" i="10"/>
  <c r="W19" i="10"/>
  <c r="S19" i="10"/>
  <c r="Q19" i="10"/>
  <c r="I19" i="10"/>
  <c r="AU18" i="10"/>
  <c r="AS18" i="10"/>
  <c r="AR18" i="10"/>
  <c r="AN18" i="10"/>
  <c r="Z18" i="10"/>
  <c r="Y18" i="10"/>
  <c r="W18" i="10"/>
  <c r="S18" i="10"/>
  <c r="Q18" i="10"/>
  <c r="I18" i="10"/>
  <c r="AU17" i="10"/>
  <c r="AS17" i="10"/>
  <c r="AR17" i="10"/>
  <c r="AN17" i="10"/>
  <c r="Z17" i="10"/>
  <c r="Y17" i="10"/>
  <c r="W17" i="10"/>
  <c r="S17" i="10"/>
  <c r="Q17" i="10"/>
  <c r="I17" i="10"/>
  <c r="AU16" i="10"/>
  <c r="AS16" i="10"/>
  <c r="AR16" i="10"/>
  <c r="AN16" i="10"/>
  <c r="Z16" i="10"/>
  <c r="Y16" i="10"/>
  <c r="W16" i="10"/>
  <c r="S16" i="10"/>
  <c r="Q16" i="10"/>
  <c r="I16" i="10"/>
  <c r="AU15" i="10"/>
  <c r="AS15" i="10"/>
  <c r="AR15" i="10"/>
  <c r="AN15" i="10"/>
  <c r="Z15" i="10"/>
  <c r="Y15" i="10"/>
  <c r="W15" i="10"/>
  <c r="S15" i="10"/>
  <c r="Q15" i="10"/>
  <c r="I15" i="10"/>
  <c r="AU14" i="10"/>
  <c r="AS14" i="10"/>
  <c r="AR14" i="10"/>
  <c r="AN14" i="10"/>
  <c r="Z14" i="10"/>
  <c r="Y14" i="10"/>
  <c r="W14" i="10"/>
  <c r="S14" i="10"/>
  <c r="Q14" i="10"/>
  <c r="I14" i="10"/>
  <c r="AU13" i="10"/>
  <c r="AS13" i="10"/>
  <c r="AR13" i="10"/>
  <c r="AN13" i="10"/>
  <c r="Z13" i="10"/>
  <c r="Y13" i="10"/>
  <c r="W13" i="10"/>
  <c r="S13" i="10"/>
  <c r="Q13" i="10"/>
  <c r="I13" i="10"/>
  <c r="AU12" i="10"/>
  <c r="AS12" i="10"/>
  <c r="AR12" i="10"/>
  <c r="AN12" i="10"/>
  <c r="Z12" i="10"/>
  <c r="Y12" i="10"/>
  <c r="W12" i="10"/>
  <c r="S12" i="10"/>
  <c r="Q12" i="10"/>
  <c r="I12" i="10"/>
  <c r="AU11" i="10"/>
  <c r="AS11" i="10"/>
  <c r="AR11" i="10"/>
  <c r="AN11" i="10"/>
  <c r="Z11" i="10"/>
  <c r="Y11" i="10"/>
  <c r="W11" i="10"/>
  <c r="S11" i="10"/>
  <c r="Q11" i="10"/>
  <c r="N11" i="10"/>
  <c r="I11" i="10"/>
  <c r="AU10" i="10"/>
  <c r="AS10" i="10"/>
  <c r="AR10" i="10"/>
  <c r="AN10" i="10"/>
  <c r="Z10" i="10"/>
  <c r="Y10" i="10"/>
  <c r="W10" i="10"/>
  <c r="S10" i="10"/>
  <c r="Q10" i="10"/>
  <c r="N10" i="10"/>
  <c r="I10" i="10"/>
  <c r="B3" i="6" l="1"/>
  <c r="F34" i="6"/>
  <c r="F39" i="6"/>
  <c r="F53" i="6"/>
  <c r="F46" i="6"/>
  <c r="F44" i="6"/>
  <c r="F17" i="6"/>
  <c r="F15" i="6"/>
  <c r="F21" i="6"/>
  <c r="F9" i="6"/>
  <c r="F16" i="6"/>
  <c r="F35" i="6"/>
  <c r="F30" i="6"/>
  <c r="F45" i="6"/>
  <c r="F8" i="6"/>
  <c r="F23" i="6"/>
  <c r="F29" i="6"/>
  <c r="F47" i="6"/>
  <c r="F7" i="6"/>
  <c r="F10" i="6" l="1"/>
  <c r="F31" i="6"/>
  <c r="F41" i="6"/>
  <c r="F25" i="6"/>
  <c r="F36" i="6"/>
  <c r="F14" i="6" l="1"/>
  <c r="F11" i="6"/>
  <c r="F12" i="6" s="1"/>
  <c r="F18" i="6" s="1"/>
  <c r="F49" i="6" s="1"/>
  <c r="F51" i="6" s="1"/>
  <c r="F52" i="6" s="1"/>
  <c r="F57" i="6" s="1"/>
</calcChain>
</file>

<file path=xl/sharedStrings.xml><?xml version="1.0" encoding="utf-8"?>
<sst xmlns="http://schemas.openxmlformats.org/spreadsheetml/2006/main" count="8874" uniqueCount="798">
  <si>
    <t>Category</t>
  </si>
  <si>
    <t>Profit Center</t>
  </si>
  <si>
    <t>Deal Parent No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</si>
  <si>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</si>
  <si>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</si>
  <si>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</si>
  <si>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</si>
  <si>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</si>
  <si>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</si>
  <si>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</si>
  <si>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</si>
  <si>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</si>
  <si>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</si>
  <si>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</si>
  <si>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</si>
  <si>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</si>
  <si>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</si>
  <si>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</si>
  <si>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</si>
  <si>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Company Code</t>
  </si>
  <si>
    <t>selected</t>
  </si>
  <si>
    <t>US5C100011</t>
  </si>
  <si>
    <t>8</t>
  </si>
  <si>
    <t>2013</t>
  </si>
  <si>
    <t>USD</t>
  </si>
  <si>
    <t>CR04</t>
  </si>
  <si>
    <t>S</t>
  </si>
  <si>
    <t>7</t>
  </si>
  <si>
    <t>10</t>
  </si>
  <si>
    <t>14</t>
  </si>
  <si>
    <t>6</t>
  </si>
  <si>
    <t>9</t>
  </si>
  <si>
    <t>Column Labels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</si>
  <si>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</si>
  <si>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</si>
  <si>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</si>
  <si>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</si>
  <si>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</si>
  <si>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</si>
  <si>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</si>
  <si>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</si>
  <si>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</si>
  <si>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</si>
  <si>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</si>
  <si>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Provision for returns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</si>
  <si>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</si>
  <si>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</si>
  <si>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</si>
  <si>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</si>
  <si>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</si>
  <si>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</si>
  <si>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</si>
  <si>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</si>
  <si>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</si>
  <si>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</si>
  <si>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</si>
  <si>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</si>
  <si>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</si>
  <si>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</si>
  <si>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</si>
  <si>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</si>
  <si>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</si>
  <si>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</si>
  <si>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</si>
  <si>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</si>
  <si>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</si>
  <si>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</si>
  <si>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</si>
  <si>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</si>
  <si>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</si>
  <si>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</si>
  <si>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</si>
  <si>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</si>
  <si>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</si>
  <si>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</si>
  <si>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0000500002</t>
  </si>
  <si>
    <t>0000686002</t>
  </si>
  <si>
    <t>18</t>
  </si>
  <si>
    <t xml:space="preserve">               0.29-</t>
  </si>
  <si>
    <t>Income (CAD exchange rate = .951461)</t>
  </si>
  <si>
    <t>REPORTING LABEL</t>
  </si>
  <si>
    <t>ATTRIBUTES</t>
  </si>
  <si>
    <t>DATES</t>
  </si>
  <si>
    <t>Super Labels</t>
  </si>
  <si>
    <t>Suppress Zero Sum Rows</t>
  </si>
  <si>
    <t>Super Label</t>
  </si>
  <si>
    <t>Super Label Code</t>
  </si>
  <si>
    <t>Sub Label</t>
  </si>
  <si>
    <t>Music Line</t>
  </si>
  <si>
    <t>Sales Type</t>
  </si>
  <si>
    <t>UPC</t>
  </si>
  <si>
    <t>Configuration Code</t>
  </si>
  <si>
    <t>Configuration</t>
  </si>
  <si>
    <t>A</t>
  </si>
  <si>
    <t>US3E070174</t>
  </si>
  <si>
    <t>29000799</t>
  </si>
  <si>
    <t>82</t>
  </si>
  <si>
    <t>0000550001</t>
  </si>
  <si>
    <t>C</t>
  </si>
  <si>
    <t xml:space="preserve">           5,765.60-</t>
  </si>
  <si>
    <t>107</t>
  </si>
  <si>
    <t>0000686001</t>
  </si>
  <si>
    <t xml:space="preserve">           1,056.74-</t>
  </si>
  <si>
    <t>106</t>
  </si>
  <si>
    <t xml:space="preserve">           2,833.14-</t>
  </si>
  <si>
    <t>105</t>
  </si>
  <si>
    <t xml:space="preserve">             315.00-</t>
  </si>
  <si>
    <t>103</t>
  </si>
  <si>
    <t xml:space="preserve">               0.91-</t>
  </si>
  <si>
    <t>104</t>
  </si>
  <si>
    <t xml:space="preserve">           9,295.42-</t>
  </si>
  <si>
    <t>89</t>
  </si>
  <si>
    <t>0000570001</t>
  </si>
  <si>
    <t xml:space="preserve">              10.37-</t>
  </si>
  <si>
    <t>88</t>
  </si>
  <si>
    <t xml:space="preserve">              25.92-</t>
  </si>
  <si>
    <t>87</t>
  </si>
  <si>
    <t xml:space="preserve">          18,578.03-</t>
  </si>
  <si>
    <t>83</t>
  </si>
  <si>
    <t xml:space="preserve">               1.82-</t>
  </si>
  <si>
    <t>84</t>
  </si>
  <si>
    <t xml:space="preserve">           2,112.75-</t>
  </si>
  <si>
    <t>85</t>
  </si>
  <si>
    <t xml:space="preserve">          17,215.48-</t>
  </si>
  <si>
    <t>86</t>
  </si>
  <si>
    <t xml:space="preserve">           5,640.31-</t>
  </si>
  <si>
    <t>44</t>
  </si>
  <si>
    <t>0000500001</t>
  </si>
  <si>
    <t xml:space="preserve">             148.10</t>
  </si>
  <si>
    <t>43</t>
  </si>
  <si>
    <t xml:space="preserve">          13,225.02</t>
  </si>
  <si>
    <t>42</t>
  </si>
  <si>
    <t xml:space="preserve">          34,202.99</t>
  </si>
  <si>
    <t>41</t>
  </si>
  <si>
    <t xml:space="preserve">         110,476.75</t>
  </si>
  <si>
    <t>40</t>
  </si>
  <si>
    <t xml:space="preserve">              10.40</t>
  </si>
  <si>
    <t>154</t>
  </si>
  <si>
    <t xml:space="preserve">               1.62</t>
  </si>
  <si>
    <t>131</t>
  </si>
  <si>
    <t xml:space="preserve">               0.05</t>
  </si>
  <si>
    <t>132</t>
  </si>
  <si>
    <t xml:space="preserve">               0.06</t>
  </si>
  <si>
    <t>133</t>
  </si>
  <si>
    <t xml:space="preserve">               0.03</t>
  </si>
  <si>
    <t>134</t>
  </si>
  <si>
    <t xml:space="preserve">               0.02</t>
  </si>
  <si>
    <t>135</t>
  </si>
  <si>
    <t xml:space="preserve">               0.44-</t>
  </si>
  <si>
    <t>136</t>
  </si>
  <si>
    <t xml:space="preserve">               0.49-</t>
  </si>
  <si>
    <t>137</t>
  </si>
  <si>
    <t xml:space="preserve">               0.65-</t>
  </si>
  <si>
    <t>138</t>
  </si>
  <si>
    <t xml:space="preserve">               1.37-</t>
  </si>
  <si>
    <t>139</t>
  </si>
  <si>
    <t xml:space="preserve">               1.21-</t>
  </si>
  <si>
    <t>140</t>
  </si>
  <si>
    <t>141</t>
  </si>
  <si>
    <t xml:space="preserve">               0.55-</t>
  </si>
  <si>
    <t>142</t>
  </si>
  <si>
    <t xml:space="preserve">               0.62-</t>
  </si>
  <si>
    <t>143</t>
  </si>
  <si>
    <t xml:space="preserve">               0.04</t>
  </si>
  <si>
    <t>144</t>
  </si>
  <si>
    <t>145</t>
  </si>
  <si>
    <t>146</t>
  </si>
  <si>
    <t>147</t>
  </si>
  <si>
    <t>148</t>
  </si>
  <si>
    <t xml:space="preserve">               0.01</t>
  </si>
  <si>
    <t>149</t>
  </si>
  <si>
    <t xml:space="preserve">              51.20</t>
  </si>
  <si>
    <t>102</t>
  </si>
  <si>
    <t>0000686005</t>
  </si>
  <si>
    <t xml:space="preserve">             607.50-</t>
  </si>
  <si>
    <t>169</t>
  </si>
  <si>
    <t xml:space="preserve">           1,852.50-</t>
  </si>
  <si>
    <t>170</t>
  </si>
  <si>
    <t xml:space="preserve">              67.50-</t>
  </si>
  <si>
    <t>171</t>
  </si>
  <si>
    <t xml:space="preserve">             394.50-</t>
  </si>
  <si>
    <t>172</t>
  </si>
  <si>
    <t xml:space="preserve">           4,410.00-</t>
  </si>
  <si>
    <t>173</t>
  </si>
  <si>
    <t xml:space="preserve">              12.84-</t>
  </si>
  <si>
    <t>174</t>
  </si>
  <si>
    <t xml:space="preserve">              49.61-</t>
  </si>
  <si>
    <t>175</t>
  </si>
  <si>
    <t xml:space="preserve">           1,904.50-</t>
  </si>
  <si>
    <t>176</t>
  </si>
  <si>
    <t xml:space="preserve">              24.98-</t>
  </si>
  <si>
    <t>177</t>
  </si>
  <si>
    <t xml:space="preserve">              14.03-</t>
  </si>
  <si>
    <t>178</t>
  </si>
  <si>
    <t xml:space="preserve">           1,035.00-</t>
  </si>
  <si>
    <t>179</t>
  </si>
  <si>
    <t xml:space="preserve">               1.25-</t>
  </si>
  <si>
    <t>180</t>
  </si>
  <si>
    <t xml:space="preserve">               0.10-</t>
  </si>
  <si>
    <t>181</t>
  </si>
  <si>
    <t xml:space="preserve">               1.38-</t>
  </si>
  <si>
    <t>182</t>
  </si>
  <si>
    <t xml:space="preserve">               1.00-</t>
  </si>
  <si>
    <t>183</t>
  </si>
  <si>
    <t xml:space="preserve">               0.25-</t>
  </si>
  <si>
    <t>108</t>
  </si>
  <si>
    <t xml:space="preserve">           8,607.95-</t>
  </si>
  <si>
    <t>153</t>
  </si>
  <si>
    <t xml:space="preserve">               2.29</t>
  </si>
  <si>
    <t>151</t>
  </si>
  <si>
    <t xml:space="preserve">               7.46</t>
  </si>
  <si>
    <t>152</t>
  </si>
  <si>
    <t xml:space="preserve">               4.98</t>
  </si>
  <si>
    <t>90</t>
  </si>
  <si>
    <t>0000687001</t>
  </si>
  <si>
    <t xml:space="preserve">           1,640.00-</t>
  </si>
  <si>
    <t>91</t>
  </si>
  <si>
    <t xml:space="preserve">           1,755.12-</t>
  </si>
  <si>
    <t>92</t>
  </si>
  <si>
    <t xml:space="preserve">           7,632.80</t>
  </si>
  <si>
    <t>93</t>
  </si>
  <si>
    <t xml:space="preserve">           4,055.77</t>
  </si>
  <si>
    <t>94</t>
  </si>
  <si>
    <t xml:space="preserve">              60.00-</t>
  </si>
  <si>
    <t>95</t>
  </si>
  <si>
    <t xml:space="preserve">          15,713.07-</t>
  </si>
  <si>
    <t>96</t>
  </si>
  <si>
    <t xml:space="preserve">          22,001.95-</t>
  </si>
  <si>
    <t>97</t>
  </si>
  <si>
    <t xml:space="preserve">           6,744.98</t>
  </si>
  <si>
    <t>98</t>
  </si>
  <si>
    <t>39</t>
  </si>
  <si>
    <t xml:space="preserve">              12.00</t>
  </si>
  <si>
    <t>38</t>
  </si>
  <si>
    <t xml:space="preserve">              59.24</t>
  </si>
  <si>
    <t>37</t>
  </si>
  <si>
    <t xml:space="preserve">         111,925.75</t>
  </si>
  <si>
    <t>970,013 Units</t>
  </si>
  <si>
    <t>76</t>
  </si>
  <si>
    <t>0000540001</t>
  </si>
  <si>
    <t xml:space="preserve">          60,724.18-</t>
  </si>
  <si>
    <t>77</t>
  </si>
  <si>
    <t xml:space="preserve">              28.60-</t>
  </si>
  <si>
    <t>78</t>
  </si>
  <si>
    <t xml:space="preserve">               3.30-</t>
  </si>
  <si>
    <t>79</t>
  </si>
  <si>
    <t xml:space="preserve">           1,152.15-</t>
  </si>
  <si>
    <t>80</t>
  </si>
  <si>
    <t xml:space="preserve">          12,102.59-</t>
  </si>
  <si>
    <t>81</t>
  </si>
  <si>
    <t xml:space="preserve">           1,972.65-</t>
  </si>
  <si>
    <t>52</t>
  </si>
  <si>
    <t xml:space="preserve">               9.10</t>
  </si>
  <si>
    <t>73</t>
  </si>
  <si>
    <t xml:space="preserve">              22.98</t>
  </si>
  <si>
    <t>72</t>
  </si>
  <si>
    <t xml:space="preserve">              15.32</t>
  </si>
  <si>
    <t>114</t>
  </si>
  <si>
    <t xml:space="preserve">               0.73-</t>
  </si>
  <si>
    <t>115</t>
  </si>
  <si>
    <t>71</t>
  </si>
  <si>
    <t xml:space="preserve">              12.42</t>
  </si>
  <si>
    <t>116</t>
  </si>
  <si>
    <t xml:space="preserve">               0.37-</t>
  </si>
  <si>
    <t>70</t>
  </si>
  <si>
    <t xml:space="preserve">               5.23</t>
  </si>
  <si>
    <t>150</t>
  </si>
  <si>
    <t xml:space="preserve">              19.52</t>
  </si>
  <si>
    <t>69</t>
  </si>
  <si>
    <t xml:space="preserve">          20,481.93</t>
  </si>
  <si>
    <t>68</t>
  </si>
  <si>
    <t xml:space="preserve">           7,806.40</t>
  </si>
  <si>
    <t>168</t>
  </si>
  <si>
    <t xml:space="preserve">               0.07-</t>
  </si>
  <si>
    <t>167</t>
  </si>
  <si>
    <t xml:space="preserve">              14.73-</t>
  </si>
  <si>
    <t>166</t>
  </si>
  <si>
    <t xml:space="preserve">              14.48-</t>
  </si>
  <si>
    <t>165</t>
  </si>
  <si>
    <t>164</t>
  </si>
  <si>
    <t>163</t>
  </si>
  <si>
    <t>67</t>
  </si>
  <si>
    <t xml:space="preserve">           2,983.39</t>
  </si>
  <si>
    <t>66</t>
  </si>
  <si>
    <t xml:space="preserve">           1,993.40</t>
  </si>
  <si>
    <t>65</t>
  </si>
  <si>
    <t xml:space="preserve">             916.08</t>
  </si>
  <si>
    <t>64</t>
  </si>
  <si>
    <t xml:space="preserve">             647.60</t>
  </si>
  <si>
    <t>63</t>
  </si>
  <si>
    <t xml:space="preserve">             165.41</t>
  </si>
  <si>
    <t>62</t>
  </si>
  <si>
    <t xml:space="preserve">             245.49</t>
  </si>
  <si>
    <t>61</t>
  </si>
  <si>
    <t xml:space="preserve">              12.23</t>
  </si>
  <si>
    <t>60</t>
  </si>
  <si>
    <t xml:space="preserve">             241.32</t>
  </si>
  <si>
    <t>59</t>
  </si>
  <si>
    <t xml:space="preserve">               1.17</t>
  </si>
  <si>
    <t>58</t>
  </si>
  <si>
    <t xml:space="preserve">           1,215.61</t>
  </si>
  <si>
    <t>57</t>
  </si>
  <si>
    <t xml:space="preserve">           1,625.58</t>
  </si>
  <si>
    <t>162</t>
  </si>
  <si>
    <t>155</t>
  </si>
  <si>
    <t xml:space="preserve">               0.41</t>
  </si>
  <si>
    <t>156</t>
  </si>
  <si>
    <t xml:space="preserve">               0.61</t>
  </si>
  <si>
    <t>161</t>
  </si>
  <si>
    <t>160</t>
  </si>
  <si>
    <t xml:space="preserve">               3.43</t>
  </si>
  <si>
    <t>157</t>
  </si>
  <si>
    <t xml:space="preserve">               0.60</t>
  </si>
  <si>
    <t>158</t>
  </si>
  <si>
    <t xml:space="preserve">               3.04</t>
  </si>
  <si>
    <t>159</t>
  </si>
  <si>
    <t xml:space="preserve">               4.06</t>
  </si>
  <si>
    <t>53</t>
  </si>
  <si>
    <t xml:space="preserve">              10.39</t>
  </si>
  <si>
    <t>54</t>
  </si>
  <si>
    <t xml:space="preserve">               4.24</t>
  </si>
  <si>
    <t>55</t>
  </si>
  <si>
    <t xml:space="preserve">              13.34</t>
  </si>
  <si>
    <t>56</t>
  </si>
  <si>
    <t xml:space="preserve">           1,370.99</t>
  </si>
  <si>
    <t>110</t>
  </si>
  <si>
    <t>109</t>
  </si>
  <si>
    <t>49</t>
  </si>
  <si>
    <t xml:space="preserve">              22.75</t>
  </si>
  <si>
    <t>101</t>
  </si>
  <si>
    <t>0000640001</t>
  </si>
  <si>
    <t xml:space="preserve">          12,045.00-</t>
  </si>
  <si>
    <t>100</t>
  </si>
  <si>
    <t xml:space="preserve">           1,557.50-</t>
  </si>
  <si>
    <t>99</t>
  </si>
  <si>
    <t xml:space="preserve">              95.00-</t>
  </si>
  <si>
    <t>50</t>
  </si>
  <si>
    <t xml:space="preserve">              20.13</t>
  </si>
  <si>
    <t>47</t>
  </si>
  <si>
    <t xml:space="preserve">               8.19</t>
  </si>
  <si>
    <t>46</t>
  </si>
  <si>
    <t xml:space="preserve">               7.28</t>
  </si>
  <si>
    <t>45</t>
  </si>
  <si>
    <t xml:space="preserve">               0.30-</t>
  </si>
  <si>
    <t>117</t>
  </si>
  <si>
    <t xml:space="preserve">               1.07-</t>
  </si>
  <si>
    <t>118</t>
  </si>
  <si>
    <t xml:space="preserve">               0.31-</t>
  </si>
  <si>
    <t>119</t>
  </si>
  <si>
    <t xml:space="preserve">               0.75-</t>
  </si>
  <si>
    <t>120</t>
  </si>
  <si>
    <t>121</t>
  </si>
  <si>
    <t xml:space="preserve">              82.26-</t>
  </si>
  <si>
    <t>122</t>
  </si>
  <si>
    <t xml:space="preserve">           1,228.92-</t>
  </si>
  <si>
    <t>51</t>
  </si>
  <si>
    <t xml:space="preserve">               4.85</t>
  </si>
  <si>
    <t>123</t>
  </si>
  <si>
    <t xml:space="preserve">             468.38-</t>
  </si>
  <si>
    <t>124</t>
  </si>
  <si>
    <t xml:space="preserve">             179.00-</t>
  </si>
  <si>
    <t>125</t>
  </si>
  <si>
    <t xml:space="preserve">             119.60-</t>
  </si>
  <si>
    <t>126</t>
  </si>
  <si>
    <t xml:space="preserve">              54.96-</t>
  </si>
  <si>
    <t>127</t>
  </si>
  <si>
    <t xml:space="preserve">              38.86-</t>
  </si>
  <si>
    <t>128</t>
  </si>
  <si>
    <t xml:space="preserve">              97.53-</t>
  </si>
  <si>
    <t>129</t>
  </si>
  <si>
    <t xml:space="preserve">               9.92-</t>
  </si>
  <si>
    <t>130</t>
  </si>
  <si>
    <t>111</t>
  </si>
  <si>
    <t xml:space="preserve">              72.94-</t>
  </si>
  <si>
    <t>75</t>
  </si>
  <si>
    <t xml:space="preserve">              17.90</t>
  </si>
  <si>
    <t>112</t>
  </si>
  <si>
    <t xml:space="preserve">               0.92-</t>
  </si>
  <si>
    <t>113</t>
  </si>
  <si>
    <t xml:space="preserve">               0.80-</t>
  </si>
  <si>
    <t>48</t>
  </si>
  <si>
    <t xml:space="preserve">              10.81</t>
  </si>
  <si>
    <t>74</t>
  </si>
  <si>
    <t xml:space="preserve">               6.19</t>
  </si>
  <si>
    <t>29000809</t>
  </si>
  <si>
    <t>4</t>
  </si>
  <si>
    <t xml:space="preserve">               7.75-</t>
  </si>
  <si>
    <t>5</t>
  </si>
  <si>
    <t xml:space="preserve">              63.69-</t>
  </si>
  <si>
    <t>1</t>
  </si>
  <si>
    <t xml:space="preserve">             764.06</t>
  </si>
  <si>
    <t>41 Units</t>
  </si>
  <si>
    <t>2</t>
  </si>
  <si>
    <t xml:space="preserve">             309.56-</t>
  </si>
  <si>
    <t>3</t>
  </si>
  <si>
    <t xml:space="preserve">              35.80-</t>
  </si>
  <si>
    <t>29000839</t>
  </si>
  <si>
    <t xml:space="preserve">             318.21-</t>
  </si>
  <si>
    <t xml:space="preserve">           1,980.50</t>
  </si>
  <si>
    <t>126 Units</t>
  </si>
  <si>
    <t xml:space="preserve">             986.70-</t>
  </si>
  <si>
    <t xml:space="preserve">             162.18-</t>
  </si>
  <si>
    <t xml:space="preserve">              34.50-</t>
  </si>
  <si>
    <t xml:space="preserve">              21.00-</t>
  </si>
  <si>
    <t xml:space="preserve">             159.19-</t>
  </si>
  <si>
    <t>29000861</t>
  </si>
  <si>
    <t xml:space="preserve">              19.00-</t>
  </si>
  <si>
    <t xml:space="preserve">             521.93-</t>
  </si>
  <si>
    <t xml:space="preserve">           3,009.20</t>
  </si>
  <si>
    <t>248 Units</t>
  </si>
  <si>
    <t xml:space="preserve">             260.92-</t>
  </si>
  <si>
    <t xml:space="preserve">               2.00-</t>
  </si>
  <si>
    <t xml:space="preserve">              26.74-</t>
  </si>
  <si>
    <t xml:space="preserve">             737.59-</t>
  </si>
  <si>
    <t>29000862</t>
  </si>
  <si>
    <t xml:space="preserve">              20.50-</t>
  </si>
  <si>
    <t xml:space="preserve">             190.27-</t>
  </si>
  <si>
    <t xml:space="preserve">              95.13-</t>
  </si>
  <si>
    <t xml:space="preserve">           1,103.94</t>
  </si>
  <si>
    <t>39 Units</t>
  </si>
  <si>
    <t xml:space="preserve">             739.19-</t>
  </si>
  <si>
    <t xml:space="preserve">              16.69-</t>
  </si>
  <si>
    <t xml:space="preserve">              34.00-</t>
  </si>
  <si>
    <t>29000921</t>
  </si>
  <si>
    <t xml:space="preserve">           1,620.51-</t>
  </si>
  <si>
    <t xml:space="preserve">              40.75-</t>
  </si>
  <si>
    <t xml:space="preserve">             660.26-</t>
  </si>
  <si>
    <t xml:space="preserve">           3,240.85-</t>
  </si>
  <si>
    <t xml:space="preserve">           2,258.97-</t>
  </si>
  <si>
    <t xml:space="preserve">          19,179.40</t>
  </si>
  <si>
    <t>1,446 Units</t>
  </si>
  <si>
    <t>29001031</t>
  </si>
  <si>
    <t xml:space="preserve">               2.60-</t>
  </si>
  <si>
    <t>29001254</t>
  </si>
  <si>
    <t xml:space="preserve">             464.00</t>
  </si>
  <si>
    <t>99023013</t>
  </si>
  <si>
    <t>99164004</t>
  </si>
  <si>
    <t>99164005</t>
  </si>
  <si>
    <t>99165012</t>
  </si>
  <si>
    <t>0000610003</t>
  </si>
  <si>
    <t>99222002</t>
  </si>
  <si>
    <t>(blank)</t>
  </si>
  <si>
    <t>ATO Records</t>
  </si>
  <si>
    <t>ATO RECORDS-ATO</t>
  </si>
  <si>
    <t>ATO</t>
  </si>
  <si>
    <t>ATO RECORDS</t>
  </si>
  <si>
    <t>OKONOKOS</t>
  </si>
  <si>
    <t>A WINTER TALE</t>
  </si>
  <si>
    <t>ALL BIRDS SAY</t>
  </si>
  <si>
    <t>APRIL UPRISING</t>
  </si>
  <si>
    <t>BOYS &amp; GIRLS</t>
  </si>
  <si>
    <t>ALABAMA SHAKES</t>
  </si>
  <si>
    <t>CARRY ME BACK</t>
  </si>
  <si>
    <t>DAD COUNTRY</t>
  </si>
  <si>
    <t>EVERY STEP'S A YES</t>
  </si>
  <si>
    <t>IN THE DARK</t>
  </si>
  <si>
    <t>KIDS RAISING KIDS</t>
  </si>
  <si>
    <t>LIVE AT RED ROCKS</t>
  </si>
  <si>
    <t>NOTHING IS WRONG</t>
  </si>
  <si>
    <t>DAWES</t>
  </si>
  <si>
    <t>OWN SIDE NOW</t>
  </si>
  <si>
    <t>OWNERLESS</t>
  </si>
  <si>
    <t>EVEREST</t>
  </si>
  <si>
    <t>ROCKET</t>
  </si>
  <si>
    <t>SEEDS</t>
  </si>
  <si>
    <t>SHAPES &amp; SHADOWS</t>
  </si>
  <si>
    <t>TWO GALLANTS</t>
  </si>
  <si>
    <t>THE STAND-IN</t>
  </si>
  <si>
    <t>WE ARE THE TIDE</t>
  </si>
  <si>
    <t>BLIND PILOT</t>
  </si>
  <si>
    <t>WISHBONE</t>
  </si>
  <si>
    <t>YOU, ANNIVERSARY</t>
  </si>
  <si>
    <t>UNIVERSAL PULSE</t>
  </si>
  <si>
    <t>ALBERTA CROSS</t>
  </si>
  <si>
    <t>SONGS OF PATIENCE</t>
  </si>
  <si>
    <t>ALLEN STONE</t>
  </si>
  <si>
    <t>DRIVE-BY TRUCKERS</t>
  </si>
  <si>
    <t>GO-GO BOOTS</t>
  </si>
  <si>
    <t>THE BIG TO-DO</t>
  </si>
  <si>
    <t>GOGOL BORDELLO</t>
  </si>
  <si>
    <t>PURA VIDA CONSPIRACY</t>
  </si>
  <si>
    <t>GOMEZ</t>
  </si>
  <si>
    <t>JOVANOTTI</t>
  </si>
  <si>
    <t>PASSENGER</t>
  </si>
  <si>
    <t>LUCERO</t>
  </si>
  <si>
    <t>WOMEN &amp; WORK</t>
  </si>
  <si>
    <t>CIRCUITAL</t>
  </si>
  <si>
    <t>PRIMUS</t>
  </si>
  <si>
    <t>GREEN NAUGAHYDE</t>
  </si>
  <si>
    <t>RODRIGO Y GABRIELA</t>
  </si>
  <si>
    <t>AREA 52</t>
  </si>
  <si>
    <t>LIVE IN FRANCE</t>
  </si>
  <si>
    <t>STARS</t>
  </si>
  <si>
    <t>THE NORTH</t>
  </si>
  <si>
    <t>TRAVELER</t>
  </si>
  <si>
    <t>UMPHREY'S MCGEE</t>
  </si>
  <si>
    <t>DEATH BY STEREO</t>
  </si>
  <si>
    <t>SAY AFRICA</t>
  </si>
  <si>
    <t>SING TO THE PEOPLE</t>
  </si>
  <si>
    <t>DIRTY SIDE DOWN</t>
  </si>
  <si>
    <t>OKKERVIL RIVER</t>
  </si>
  <si>
    <t>SOJA</t>
  </si>
  <si>
    <t>THE SILVER GYMNASIUM</t>
  </si>
  <si>
    <t>THE BRONX (IV)</t>
  </si>
  <si>
    <t>(All-UMG )</t>
  </si>
  <si>
    <t>MONTHLY METRIC DATA</t>
  </si>
  <si>
    <t>( Sales Units; Returned Units; Return Dollars; NET Units; Discount Amount; Gross Before Discount; Financial Net Sales; Financial Gross Sales Net of Discounts; Defective Gap Credit)</t>
  </si>
  <si>
    <t>( Reporting Company Code; Reporting Company; Reporting Unit Code; Reporting Unit; Operating Company Code; Operating Company; Operating Unit Code; Operating Unit; Company Code; Super Label Code; Super Label; Sub Label Code; Sub Label; Artist; Title; Reporting Project Title; Product Number; Catalog Number; UPC; Latest Release Date; Original Release Date; Reporting Project Release Date; Title ID; Reporting Project Id; Music Line; Sales Type; Status; Product Release Classification; Reporting Project Release Classification; Music Type Code; Music Type; Regular Sales Indicator; Jumpstart Indicator; Flex Product Indicator; Repertoire Owner Code; Repertoire Owner Description; Configuration Code; Configuration; Configuration Mod; Units per Set; Price Code; Price Point; Price Level; Standard Cost; Wholesale Price; Suggested Retail Price Code; Jumpstart Wholesale Price)</t>
  </si>
  <si>
    <t>UMG P8 13 (Aug 13) to UMG P8 13 (Aug 13) grouped by ( MTD)</t>
  </si>
  <si>
    <t>LABEL PERSPECTIVE</t>
  </si>
  <si>
    <t>(Historical)</t>
  </si>
  <si>
    <t>Reporting Company Code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</si>
  <si>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</si>
  <si>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</si>
  <si>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</si>
  <si>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</si>
  <si>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</si>
  <si>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</si>
  <si>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</si>
  <si>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Sub Label Code</t>
  </si>
  <si>
    <t>Artist</t>
  </si>
  <si>
    <t>Title</t>
  </si>
  <si>
    <t>Reporting Project Title</t>
  </si>
  <si>
    <t>Product Number</t>
  </si>
  <si>
    <t>Catalog Number</t>
  </si>
  <si>
    <t>Latest Release Date</t>
  </si>
  <si>
    <t>Original Release Date</t>
  </si>
  <si>
    <t>Reporting Project Release Date</t>
  </si>
  <si>
    <t>Title ID</t>
  </si>
  <si>
    <t>Reporting Project Id</t>
  </si>
  <si>
    <t>Status</t>
  </si>
  <si>
    <t>Product Release Classification</t>
  </si>
  <si>
    <t>Reporting Project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</si>
  <si>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</si>
  <si>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</si>
  <si>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</si>
  <si>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</si>
  <si>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</si>
  <si>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</si>
  <si>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</si>
  <si>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</si>
  <si>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</si>
  <si>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</si>
  <si>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</si>
  <si>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</si>
  <si>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</si>
  <si>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</si>
  <si>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</si>
  <si>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</si>
  <si>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P8 13 (Aug 13)</t>
  </si>
  <si>
    <t>Returned Units UMG P8 13 (Aug 13)</t>
  </si>
  <si>
    <t>Return Dollars UMG P8 13 (Aug 13)</t>
  </si>
  <si>
    <t>NET Units UMG P8 13 (Aug 13)</t>
  </si>
  <si>
    <t>Discount Amount UMG P8 13 (Aug 13)</t>
  </si>
  <si>
    <t>Gross Before Discount UMG P8 13 (Aug 13)</t>
  </si>
  <si>
    <t>Financial Net Sales UMG P8 13 (Aug 13)</t>
  </si>
  <si>
    <t>Financial Gross Sales Net of Discounts UMG P8 13 (Aug 13)</t>
  </si>
  <si>
    <t>Defective Gap Credit UMG P8 13 (Aug 13)</t>
  </si>
  <si>
    <t>CAR</t>
  </si>
  <si>
    <t>CAROLINE</t>
  </si>
  <si>
    <t>0AR</t>
  </si>
  <si>
    <t>C2</t>
  </si>
  <si>
    <t>0A</t>
  </si>
  <si>
    <t>unassigned</t>
  </si>
  <si>
    <t>LMC Catalog</t>
  </si>
  <si>
    <t>RK</t>
  </si>
  <si>
    <t>ROCK</t>
  </si>
  <si>
    <t>Y</t>
  </si>
  <si>
    <t>N</t>
  </si>
  <si>
    <t>US</t>
  </si>
  <si>
    <t>Domestic</t>
  </si>
  <si>
    <t>LP</t>
  </si>
  <si>
    <t>ALBUM</t>
  </si>
  <si>
    <t>AWK</t>
  </si>
  <si>
    <t>FC</t>
  </si>
  <si>
    <t>F</t>
  </si>
  <si>
    <t>L17</t>
  </si>
  <si>
    <t>CD</t>
  </si>
  <si>
    <t>COMPACT DISC</t>
  </si>
  <si>
    <t>NLC</t>
  </si>
  <si>
    <t>M</t>
  </si>
  <si>
    <t>C11</t>
  </si>
  <si>
    <t>A BAND</t>
  </si>
  <si>
    <t>AWN</t>
  </si>
  <si>
    <t>FL</t>
  </si>
  <si>
    <t>L19</t>
  </si>
  <si>
    <t>WCC</t>
  </si>
  <si>
    <t>C12</t>
  </si>
  <si>
    <t>BOYS &amp; GIRLS STARBUC</t>
  </si>
  <si>
    <t>DD</t>
  </si>
  <si>
    <t>Distribution Deals</t>
  </si>
  <si>
    <t>BROKEN SIDE</t>
  </si>
  <si>
    <t>ANASTASIO, TREY</t>
  </si>
  <si>
    <t>BARNES, DANNY</t>
  </si>
  <si>
    <t>PIZZA BOX</t>
  </si>
  <si>
    <t>FA</t>
  </si>
  <si>
    <t>ALTERNATIVE</t>
  </si>
  <si>
    <t>BENSON, BRENDAN</t>
  </si>
  <si>
    <t>MY OLD, FAMILIAR FRI</t>
  </si>
  <si>
    <t>BROEMEL, CARL</t>
  </si>
  <si>
    <t>BRONX, THE</t>
  </si>
  <si>
    <t>CROWDED HOUSE</t>
  </si>
  <si>
    <t>TIME ON EARTH</t>
  </si>
  <si>
    <t>NORTH HILLS</t>
  </si>
  <si>
    <t>DOUGHTY, MIKE</t>
  </si>
  <si>
    <t>GOLDEN DELICIOUS</t>
  </si>
  <si>
    <t>ACC</t>
  </si>
  <si>
    <t>C13</t>
  </si>
  <si>
    <t>HAUGHTY MELODIC</t>
  </si>
  <si>
    <t>SAD MAN HAPPY MAN</t>
  </si>
  <si>
    <t>DRIVE-BY TRUCKE</t>
  </si>
  <si>
    <t>L22</t>
  </si>
  <si>
    <t>L21</t>
  </si>
  <si>
    <t>THE SECRET TO A HAPP</t>
  </si>
  <si>
    <t>DV</t>
  </si>
  <si>
    <t>DVD VIDEO</t>
  </si>
  <si>
    <t>DSV</t>
  </si>
  <si>
    <t>DV19</t>
  </si>
  <si>
    <t>ALABAMA ASS WHUPP(EX</t>
  </si>
  <si>
    <t>New Release</t>
  </si>
  <si>
    <t>FICTION FAMILY</t>
  </si>
  <si>
    <t>FULLER, LINDSAY</t>
  </si>
  <si>
    <t>A NEW TIDE</t>
  </si>
  <si>
    <t>HOW WE OPERATE</t>
  </si>
  <si>
    <t>ATO21547</t>
  </si>
  <si>
    <t>OUT WEST</t>
  </si>
  <si>
    <t>WHATEVER'S ON YOUR M</t>
  </si>
  <si>
    <t>GOV'T MULE</t>
  </si>
  <si>
    <t>DEJA VOODOO</t>
  </si>
  <si>
    <t>HIGH &amp; MIGHTY</t>
  </si>
  <si>
    <t>ATO21555</t>
  </si>
  <si>
    <t>MIGHTY HIGH</t>
  </si>
  <si>
    <t>RISING LOW</t>
  </si>
  <si>
    <t>THE DEEP END VOL. 1</t>
  </si>
  <si>
    <t>THE DEEP END VOL.2</t>
  </si>
  <si>
    <t>THE DEEPEST END</t>
  </si>
  <si>
    <t>GKA</t>
  </si>
  <si>
    <t>C19</t>
  </si>
  <si>
    <t>GRIFFIN, PATTY</t>
  </si>
  <si>
    <t>1000 KISSES</t>
  </si>
  <si>
    <t>PR</t>
  </si>
  <si>
    <t>POP</t>
  </si>
  <si>
    <t>A KISS IN TIME</t>
  </si>
  <si>
    <t>CHILDREN RUNNING THR</t>
  </si>
  <si>
    <t>ATO0036</t>
  </si>
  <si>
    <t>BAF</t>
  </si>
  <si>
    <t>C15</t>
  </si>
  <si>
    <t>IMPOSSIBLE DREAM</t>
  </si>
  <si>
    <t>LIVE FROM THE ARTIST</t>
  </si>
  <si>
    <t>HANNIGAN, LISA</t>
  </si>
  <si>
    <t>SEA SEW</t>
  </si>
  <si>
    <t>HAYNES, WARREN</t>
  </si>
  <si>
    <t>LIVE AT BONNAROO</t>
  </si>
  <si>
    <t>HEY ROSETTA</t>
  </si>
  <si>
    <t>HOOD, PATTERSON</t>
  </si>
  <si>
    <t>HEAT LIGHTNING RUMB</t>
  </si>
  <si>
    <t>J. RODDY WALSTON &amp; T</t>
  </si>
  <si>
    <t>ESSENTIAL TREMORS</t>
  </si>
  <si>
    <t>JAMES, JIM</t>
  </si>
  <si>
    <t>REGIONS OF LIGHT AND</t>
  </si>
  <si>
    <t>JEM</t>
  </si>
  <si>
    <t>DOWN TO EARTH</t>
  </si>
  <si>
    <t>FINALLY WOKEN</t>
  </si>
  <si>
    <t>JOHN BUTLER T</t>
  </si>
  <si>
    <t>JOHN BUTLER TRI</t>
  </si>
  <si>
    <t>THREE</t>
  </si>
  <si>
    <t>ITALIA 1988-2012</t>
  </si>
  <si>
    <t>ITALIA 1988-B&amp;N</t>
  </si>
  <si>
    <t>KOPECKY FAMILY</t>
  </si>
  <si>
    <t>KWELLER, BEN</t>
  </si>
  <si>
    <t>BEN KWELLER</t>
  </si>
  <si>
    <t>ATO21559</t>
  </si>
  <si>
    <t>CHANGING HORSES</t>
  </si>
  <si>
    <t>ON MY WAY</t>
  </si>
  <si>
    <t>SHA SHA</t>
  </si>
  <si>
    <t>LONG, BOBBY</t>
  </si>
  <si>
    <t>MAHLASELA, VUSI</t>
  </si>
  <si>
    <t>GUIDING STAR</t>
  </si>
  <si>
    <t>ATO0032</t>
  </si>
  <si>
    <t>FW</t>
  </si>
  <si>
    <t>WORLD</t>
  </si>
  <si>
    <t>VOICE, THE</t>
  </si>
  <si>
    <t>MARIACHI EL</t>
  </si>
  <si>
    <t>MARIACHI EL BRONX (I</t>
  </si>
  <si>
    <t>MY MORNING JACK</t>
  </si>
  <si>
    <t>ACOUSTIC CITSUACA</t>
  </si>
  <si>
    <t>FDY</t>
  </si>
  <si>
    <t>B</t>
  </si>
  <si>
    <t>C07</t>
  </si>
  <si>
    <t>CELEBRACION DE LA CI</t>
  </si>
  <si>
    <t>CIRCUITA DELUXE VERS</t>
  </si>
  <si>
    <t>DSU</t>
  </si>
  <si>
    <t>L79</t>
  </si>
  <si>
    <t>EVIL URGES</t>
  </si>
  <si>
    <t>HOLIDAY 7</t>
  </si>
  <si>
    <t>ST</t>
  </si>
  <si>
    <t>SINGLE 12 INCH</t>
  </si>
  <si>
    <t>DOZ</t>
  </si>
  <si>
    <t>SV7</t>
  </si>
  <si>
    <t>IT STILL MOVES</t>
  </si>
  <si>
    <t>OKONOKOS THE CONCERT</t>
  </si>
  <si>
    <t>NMC</t>
  </si>
  <si>
    <t>D16</t>
  </si>
  <si>
    <t>OUTTA MY SYSTEM: REM</t>
  </si>
  <si>
    <t>ABV</t>
  </si>
  <si>
    <t>FL10</t>
  </si>
  <si>
    <t>Z</t>
  </si>
  <si>
    <t>NORTH MISSISSIP</t>
  </si>
  <si>
    <t>ELECTRIC BLUE WATERM</t>
  </si>
  <si>
    <t>POLARIS</t>
  </si>
  <si>
    <t>OLD CROW MEDICI</t>
  </si>
  <si>
    <t>OLD CROW MEDICINE SH</t>
  </si>
  <si>
    <t>CARRY ME BACK TO VIR</t>
  </si>
  <si>
    <t>GQS</t>
  </si>
  <si>
    <t>C05</t>
  </si>
  <si>
    <t>ORBITAL</t>
  </si>
  <si>
    <t>BLUE ALBUM</t>
  </si>
  <si>
    <t>OTTEWELL, BEN</t>
  </si>
  <si>
    <t>PHAIR, LIZ</t>
  </si>
  <si>
    <t>EXILE IN GUYVILLE</t>
  </si>
  <si>
    <t>RPD1057677</t>
  </si>
  <si>
    <t>RODRIGO Y GABRI</t>
  </si>
  <si>
    <t>01/00/1900</t>
  </si>
  <si>
    <t>LIVE IN JAPAN</t>
  </si>
  <si>
    <t>ROSE, CAITLIN</t>
  </si>
  <si>
    <t>STRENGTH TO SURVIVE</t>
  </si>
  <si>
    <t>STONE, ALLEN</t>
  </si>
  <si>
    <t>THE BLOOM AND THE BL</t>
  </si>
  <si>
    <t>VARIOUS</t>
  </si>
  <si>
    <t>TRUE BLOOD (MUSIC FR</t>
  </si>
  <si>
    <t>SOUNDTRACK</t>
  </si>
  <si>
    <t>VARIOUS ARTIS</t>
  </si>
  <si>
    <t>THE MUSIC IS YOU: A</t>
  </si>
  <si>
    <t>WHIGS, THE</t>
  </si>
  <si>
    <t>GIVE 'EM ALL A BIG F</t>
  </si>
  <si>
    <t>ATO0029</t>
  </si>
  <si>
    <t>MISSION CONTROL</t>
  </si>
  <si>
    <t>NNE</t>
  </si>
  <si>
    <t>L15</t>
  </si>
  <si>
    <t>WIDESPREAD PANI</t>
  </si>
  <si>
    <t>LIVE IN THE CLASSIC</t>
  </si>
  <si>
    <t>YAMES, YIM</t>
  </si>
  <si>
    <t>TRIBUTE TO</t>
  </si>
  <si>
    <t>BR0</t>
  </si>
  <si>
    <t>BLACK ROCK REC MUSIC</t>
  </si>
  <si>
    <t>BLACK ROCK RECORDED MUS</t>
  </si>
  <si>
    <t>O.A.R.</t>
  </si>
  <si>
    <t>34TH &amp; 8TH</t>
  </si>
  <si>
    <t>ANY TIME NOW</t>
  </si>
  <si>
    <t>RAIN OR SHINE</t>
  </si>
  <si>
    <t>GDA</t>
  </si>
  <si>
    <t>C18</t>
  </si>
  <si>
    <t>RISEN</t>
  </si>
  <si>
    <t>SOULS AFLAME</t>
  </si>
  <si>
    <t>THE WANDERER</t>
  </si>
  <si>
    <t>EXD</t>
  </si>
  <si>
    <t>EXPUNGED-EXP</t>
  </si>
  <si>
    <t>EXPUNGED</t>
  </si>
  <si>
    <t>3 ROUNDS &amp; A SOUND</t>
  </si>
  <si>
    <t>IHT</t>
  </si>
  <si>
    <t>IHT RECORDS</t>
  </si>
  <si>
    <t>GRAY, DAVID</t>
  </si>
  <si>
    <t>A NEW DAY AT MIDNIGH</t>
  </si>
  <si>
    <t>GREATEST HITS</t>
  </si>
  <si>
    <t>LIFE IN SLOW MOTION</t>
  </si>
  <si>
    <t>LIVE AT THE POINT</t>
  </si>
  <si>
    <t>LIVE IN SLOW MOTION</t>
  </si>
  <si>
    <t>LOST SONGS</t>
  </si>
  <si>
    <t>WHITE LADDER</t>
  </si>
  <si>
    <t>JMP</t>
  </si>
  <si>
    <t>JEMP</t>
  </si>
  <si>
    <t>PHISH</t>
  </si>
  <si>
    <t>JOY</t>
  </si>
  <si>
    <t>JEMP1049</t>
  </si>
  <si>
    <t>JEMP1051</t>
  </si>
  <si>
    <t>NNC</t>
  </si>
  <si>
    <t>L24</t>
  </si>
  <si>
    <t>RR0</t>
  </si>
  <si>
    <t>ROUND RECORDS</t>
  </si>
  <si>
    <t>JERRY GARCIA BA</t>
  </si>
  <si>
    <t>GARCIALIVE VOL. 1 CA</t>
  </si>
  <si>
    <t>FIQ</t>
  </si>
  <si>
    <t>C22</t>
  </si>
  <si>
    <t>GARCIALIVE VOLUME TW</t>
  </si>
  <si>
    <t>FRITZ, JONNY</t>
  </si>
  <si>
    <t>CW</t>
  </si>
  <si>
    <t>COUNTRY</t>
  </si>
  <si>
    <t>8.75% Distribution Fee on Net Sales</t>
  </si>
  <si>
    <t>5.75% Distribution on Net Digital Sales</t>
  </si>
  <si>
    <t>Rights: Exclusive manufacturing and distribution, all digital with the exception of Catalog for iTunes, Amazon and other</t>
  </si>
  <si>
    <t>sevices with whom ATO has existing, direct relationships</t>
  </si>
  <si>
    <t>**Distribution fees: No distribution fee will be taken with respect to digital or mobile sales or expoitations occurring</t>
  </si>
  <si>
    <t>during the first 3 months of the Term.</t>
  </si>
  <si>
    <t>3RD PARTY LICENSING: Caroline shall retain a fee of 20% of Net Receipts</t>
  </si>
  <si>
    <t xml:space="preserve">Reserves: Caroline may hold reserves equal to actual historical returns up to a maximum of 17.5% of sales of </t>
  </si>
  <si>
    <t>physical product only (and not with respect to product sold on a one-way sale basis), liquidated within 4 months</t>
  </si>
  <si>
    <r>
      <t xml:space="preserve">FOR </t>
    </r>
    <r>
      <rPr>
        <b/>
        <sz val="11"/>
        <rFont val="Calibri"/>
        <family val="2"/>
      </rPr>
      <t>1 MONTHS ENDING AUGUST 31, 2013</t>
    </r>
  </si>
  <si>
    <t>( ATO RECORDS-ATO = ATO; BLACK ROCK REC MUSIC = BR0; EXPUNGED-EXP = EXD; IHT RECORDS = IHT; JEMP = JMP; ROUND RECORDS = RR0)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</si>
</sst>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EE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8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4" borderId="0"/>
    <xf numFmtId="0" fontId="33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4" fillId="40" borderId="0" applyNumberFormat="0" applyBorder="0" applyAlignment="0" applyProtection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33" fillId="38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3" fillId="38" borderId="0" applyNumberFormat="0" applyBorder="0" applyAlignment="0" applyProtection="0"/>
    <xf numFmtId="0" fontId="33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3" fillId="54" borderId="0" applyNumberFormat="0" applyBorder="0" applyAlignment="0" applyProtection="0"/>
    <xf numFmtId="0" fontId="35" fillId="52" borderId="0" applyNumberFormat="0" applyBorder="0" applyAlignment="0" applyProtection="0"/>
    <xf numFmtId="0" fontId="36" fillId="55" borderId="13" applyNumberFormat="0" applyAlignment="0" applyProtection="0"/>
    <xf numFmtId="0" fontId="37" fillId="47" borderId="14" applyNumberFormat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8" borderId="0" applyNumberFormat="0" applyBorder="0" applyAlignment="0" applyProtection="0"/>
    <xf numFmtId="0" fontId="34" fillId="45" borderId="0" applyNumberFormat="0" applyBorder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53" borderId="13" applyNumberFormat="0" applyAlignment="0" applyProtection="0"/>
    <xf numFmtId="0" fontId="43" fillId="0" borderId="18" applyNumberFormat="0" applyFill="0" applyAlignment="0" applyProtection="0"/>
    <xf numFmtId="0" fontId="43" fillId="53" borderId="0" applyNumberFormat="0" applyBorder="0" applyAlignment="0" applyProtection="0"/>
    <xf numFmtId="0" fontId="21" fillId="52" borderId="13" applyNumberFormat="0" applyFont="0" applyAlignment="0" applyProtection="0"/>
    <xf numFmtId="0" fontId="44" fillId="55" borderId="19" applyNumberFormat="0" applyAlignment="0" applyProtection="0"/>
    <xf numFmtId="4" fontId="21" fillId="59" borderId="13" applyNumberFormat="0" applyProtection="0">
      <alignment vertical="center"/>
    </xf>
    <xf numFmtId="4" fontId="47" fillId="60" borderId="13" applyNumberFormat="0" applyProtection="0">
      <alignment vertical="center"/>
    </xf>
    <xf numFmtId="4" fontId="21" fillId="60" borderId="13" applyNumberFormat="0" applyProtection="0">
      <alignment horizontal="left" vertical="center" indent="1"/>
    </xf>
    <xf numFmtId="0" fontId="30" fillId="59" borderId="20" applyNumberFormat="0" applyProtection="0">
      <alignment horizontal="left" vertical="top" indent="1"/>
    </xf>
    <xf numFmtId="4" fontId="21" fillId="61" borderId="13" applyNumberFormat="0" applyProtection="0">
      <alignment horizontal="left" vertical="center" indent="1"/>
    </xf>
    <xf numFmtId="4" fontId="21" fillId="62" borderId="13" applyNumberFormat="0" applyProtection="0">
      <alignment horizontal="right" vertical="center"/>
    </xf>
    <xf numFmtId="4" fontId="21" fillId="63" borderId="13" applyNumberFormat="0" applyProtection="0">
      <alignment horizontal="right" vertical="center"/>
    </xf>
    <xf numFmtId="4" fontId="21" fillId="64" borderId="21" applyNumberFormat="0" applyProtection="0">
      <alignment horizontal="right" vertical="center"/>
    </xf>
    <xf numFmtId="4" fontId="21" fillId="65" borderId="13" applyNumberFormat="0" applyProtection="0">
      <alignment horizontal="right" vertical="center"/>
    </xf>
    <xf numFmtId="4" fontId="21" fillId="66" borderId="13" applyNumberFormat="0" applyProtection="0">
      <alignment horizontal="right" vertical="center"/>
    </xf>
    <xf numFmtId="4" fontId="21" fillId="67" borderId="13" applyNumberFormat="0" applyProtection="0">
      <alignment horizontal="right" vertical="center"/>
    </xf>
    <xf numFmtId="4" fontId="21" fillId="68" borderId="13" applyNumberFormat="0" applyProtection="0">
      <alignment horizontal="right" vertical="center"/>
    </xf>
    <xf numFmtId="4" fontId="21" fillId="69" borderId="13" applyNumberFormat="0" applyProtection="0">
      <alignment horizontal="right" vertical="center"/>
    </xf>
    <xf numFmtId="4" fontId="21" fillId="70" borderId="13" applyNumberFormat="0" applyProtection="0">
      <alignment horizontal="right" vertical="center"/>
    </xf>
    <xf numFmtId="4" fontId="21" fillId="71" borderId="21" applyNumberFormat="0" applyProtection="0">
      <alignment horizontal="left" vertical="center" indent="1"/>
    </xf>
    <xf numFmtId="4" fontId="20" fillId="72" borderId="21" applyNumberFormat="0" applyProtection="0">
      <alignment horizontal="left" vertical="center" indent="1"/>
    </xf>
    <xf numFmtId="4" fontId="20" fillId="72" borderId="21" applyNumberFormat="0" applyProtection="0">
      <alignment horizontal="left" vertical="center" indent="1"/>
    </xf>
    <xf numFmtId="4" fontId="21" fillId="73" borderId="13" applyNumberFormat="0" applyProtection="0">
      <alignment horizontal="right" vertical="center"/>
    </xf>
    <xf numFmtId="4" fontId="21" fillId="74" borderId="21" applyNumberFormat="0" applyProtection="0">
      <alignment horizontal="left" vertical="center" indent="1"/>
    </xf>
    <xf numFmtId="4" fontId="21" fillId="73" borderId="21" applyNumberFormat="0" applyProtection="0">
      <alignment horizontal="left" vertical="center" indent="1"/>
    </xf>
    <xf numFmtId="0" fontId="21" fillId="75" borderId="13" applyNumberFormat="0" applyProtection="0">
      <alignment horizontal="left" vertical="center" indent="1"/>
    </xf>
    <xf numFmtId="0" fontId="21" fillId="72" borderId="20" applyNumberFormat="0" applyProtection="0">
      <alignment horizontal="left" vertical="top" indent="1"/>
    </xf>
    <xf numFmtId="0" fontId="21" fillId="76" borderId="13" applyNumberFormat="0" applyProtection="0">
      <alignment horizontal="left" vertical="center" indent="1"/>
    </xf>
    <xf numFmtId="0" fontId="21" fillId="73" borderId="20" applyNumberFormat="0" applyProtection="0">
      <alignment horizontal="left" vertical="top" indent="1"/>
    </xf>
    <xf numFmtId="0" fontId="21" fillId="77" borderId="13" applyNumberFormat="0" applyProtection="0">
      <alignment horizontal="left" vertical="center" indent="1"/>
    </xf>
    <xf numFmtId="0" fontId="21" fillId="77" borderId="20" applyNumberFormat="0" applyProtection="0">
      <alignment horizontal="left" vertical="top" indent="1"/>
    </xf>
    <xf numFmtId="0" fontId="21" fillId="74" borderId="13" applyNumberFormat="0" applyProtection="0">
      <alignment horizontal="left" vertical="center" indent="1"/>
    </xf>
    <xf numFmtId="0" fontId="21" fillId="74" borderId="20" applyNumberFormat="0" applyProtection="0">
      <alignment horizontal="left" vertical="top" indent="1"/>
    </xf>
    <xf numFmtId="0" fontId="21" fillId="78" borderId="22" applyNumberFormat="0">
      <protection locked="0"/>
    </xf>
    <xf numFmtId="0" fontId="22" fillId="72" borderId="23" applyBorder="0"/>
    <xf numFmtId="4" fontId="29" fillId="79" borderId="20" applyNumberFormat="0" applyProtection="0">
      <alignment vertical="center"/>
    </xf>
    <xf numFmtId="4" fontId="47" fillId="80" borderId="10" applyNumberFormat="0" applyProtection="0">
      <alignment vertical="center"/>
    </xf>
    <xf numFmtId="4" fontId="29" fillId="75" borderId="20" applyNumberFormat="0" applyProtection="0">
      <alignment horizontal="left" vertical="center" indent="1"/>
    </xf>
    <xf numFmtId="0" fontId="29" fillId="79" borderId="20" applyNumberFormat="0" applyProtection="0">
      <alignment horizontal="left" vertical="top" indent="1"/>
    </xf>
    <xf numFmtId="4" fontId="21" fillId="0" borderId="13" applyNumberFormat="0" applyProtection="0">
      <alignment horizontal="right" vertical="center"/>
    </xf>
    <xf numFmtId="4" fontId="47" fillId="81" borderId="13" applyNumberFormat="0" applyProtection="0">
      <alignment horizontal="right" vertical="center"/>
    </xf>
    <xf numFmtId="4" fontId="21" fillId="61" borderId="13" applyNumberFormat="0" applyProtection="0">
      <alignment horizontal="left" vertical="center" indent="1"/>
    </xf>
    <xf numFmtId="0" fontId="29" fillId="73" borderId="20" applyNumberFormat="0" applyProtection="0">
      <alignment horizontal="left" vertical="top" indent="1"/>
    </xf>
    <xf numFmtId="4" fontId="31" fillId="82" borderId="21" applyNumberFormat="0" applyProtection="0">
      <alignment horizontal="left" vertical="center" indent="1"/>
    </xf>
    <xf numFmtId="0" fontId="21" fillId="83" borderId="10"/>
    <xf numFmtId="4" fontId="32" fillId="78" borderId="13" applyNumberFormat="0" applyProtection="0">
      <alignment horizontal="right" vertical="center"/>
    </xf>
    <xf numFmtId="0" fontId="45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6" fillId="0" borderId="0" applyNumberFormat="0" applyFill="0" applyBorder="0" applyAlignment="0" applyProtection="0"/>
    <xf numFmtId="4" fontId="21" fillId="61" borderId="13" applyNumberFormat="0" applyProtection="0">
      <alignment horizontal="left" vertical="center" indent="1"/>
    </xf>
    <xf numFmtId="0" fontId="21" fillId="34" borderId="0"/>
    <xf numFmtId="0" fontId="34" fillId="45" borderId="0" applyNumberFormat="0" applyBorder="0" applyAlignment="0" applyProtection="0"/>
    <xf numFmtId="0" fontId="43" fillId="53" borderId="0" applyNumberFormat="0" applyBorder="0" applyAlignment="0" applyProtection="0"/>
    <xf numFmtId="4" fontId="21" fillId="59" borderId="13" applyNumberFormat="0" applyProtection="0">
      <alignment vertical="center"/>
    </xf>
    <xf numFmtId="4" fontId="21" fillId="60" borderId="13" applyNumberFormat="0" applyProtection="0">
      <alignment horizontal="left" vertical="center" indent="1"/>
    </xf>
    <xf numFmtId="4" fontId="21" fillId="61" borderId="13" applyNumberFormat="0" applyProtection="0">
      <alignment horizontal="left" vertical="center" indent="1"/>
    </xf>
    <xf numFmtId="4" fontId="21" fillId="62" borderId="13" applyNumberFormat="0" applyProtection="0">
      <alignment horizontal="right" vertical="center"/>
    </xf>
    <xf numFmtId="4" fontId="21" fillId="63" borderId="13" applyNumberFormat="0" applyProtection="0">
      <alignment horizontal="right" vertical="center"/>
    </xf>
    <xf numFmtId="4" fontId="21" fillId="64" borderId="21" applyNumberFormat="0" applyProtection="0">
      <alignment horizontal="right" vertical="center"/>
    </xf>
    <xf numFmtId="4" fontId="21" fillId="65" borderId="13" applyNumberFormat="0" applyProtection="0">
      <alignment horizontal="right" vertical="center"/>
    </xf>
    <xf numFmtId="4" fontId="21" fillId="66" borderId="13" applyNumberFormat="0" applyProtection="0">
      <alignment horizontal="right" vertical="center"/>
    </xf>
    <xf numFmtId="4" fontId="21" fillId="67" borderId="13" applyNumberFormat="0" applyProtection="0">
      <alignment horizontal="right" vertical="center"/>
    </xf>
    <xf numFmtId="4" fontId="21" fillId="68" borderId="13" applyNumberFormat="0" applyProtection="0">
      <alignment horizontal="right" vertical="center"/>
    </xf>
    <xf numFmtId="4" fontId="21" fillId="69" borderId="13" applyNumberFormat="0" applyProtection="0">
      <alignment horizontal="right" vertical="center"/>
    </xf>
    <xf numFmtId="4" fontId="21" fillId="70" borderId="13" applyNumberFormat="0" applyProtection="0">
      <alignment horizontal="right" vertical="center"/>
    </xf>
    <xf numFmtId="4" fontId="21" fillId="71" borderId="21" applyNumberFormat="0" applyProtection="0">
      <alignment horizontal="left" vertical="center" indent="1"/>
    </xf>
    <xf numFmtId="4" fontId="21" fillId="73" borderId="13" applyNumberFormat="0" applyProtection="0">
      <alignment horizontal="right" vertical="center"/>
    </xf>
    <xf numFmtId="4" fontId="21" fillId="74" borderId="21" applyNumberFormat="0" applyProtection="0">
      <alignment horizontal="left" vertical="center" indent="1"/>
    </xf>
    <xf numFmtId="4" fontId="21" fillId="73" borderId="21" applyNumberFormat="0" applyProtection="0">
      <alignment horizontal="left" vertical="center" indent="1"/>
    </xf>
    <xf numFmtId="0" fontId="21" fillId="75" borderId="13" applyNumberFormat="0" applyProtection="0">
      <alignment horizontal="left" vertical="center" indent="1"/>
    </xf>
    <xf numFmtId="0" fontId="21" fillId="76" borderId="13" applyNumberFormat="0" applyProtection="0">
      <alignment horizontal="left" vertical="center" indent="1"/>
    </xf>
    <xf numFmtId="0" fontId="21" fillId="77" borderId="13" applyNumberFormat="0" applyProtection="0">
      <alignment horizontal="left" vertical="center" indent="1"/>
    </xf>
    <xf numFmtId="0" fontId="21" fillId="74" borderId="13" applyNumberFormat="0" applyProtection="0">
      <alignment horizontal="left" vertical="center" indent="1"/>
    </xf>
    <xf numFmtId="4" fontId="21" fillId="0" borderId="13" applyNumberFormat="0" applyProtection="0">
      <alignment horizontal="right" vertical="center"/>
    </xf>
    <xf numFmtId="0" fontId="21" fillId="83" borderId="10"/>
    <xf numFmtId="0" fontId="20" fillId="0" borderId="0"/>
    <xf numFmtId="0" fontId="2" fillId="0" borderId="0"/>
    <xf numFmtId="164" fontId="48" fillId="7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84" borderId="0" applyNumberFormat="0" applyBorder="0" applyAlignment="0" applyProtection="0"/>
    <xf numFmtId="0" fontId="34" fillId="62" borderId="0" applyNumberFormat="0" applyBorder="0" applyAlignment="0" applyProtection="0"/>
    <xf numFmtId="0" fontId="34" fillId="85" borderId="0" applyNumberFormat="0" applyBorder="0" applyAlignment="0" applyProtection="0"/>
    <xf numFmtId="0" fontId="34" fillId="86" borderId="0" applyNumberFormat="0" applyBorder="0" applyAlignment="0" applyProtection="0"/>
    <xf numFmtId="0" fontId="34" fillId="87" borderId="0" applyNumberFormat="0" applyBorder="0" applyAlignment="0" applyProtection="0"/>
    <xf numFmtId="0" fontId="34" fillId="88" borderId="0" applyNumberFormat="0" applyBorder="0" applyAlignment="0" applyProtection="0"/>
    <xf numFmtId="0" fontId="34" fillId="77" borderId="0" applyNumberFormat="0" applyBorder="0" applyAlignment="0" applyProtection="0"/>
    <xf numFmtId="0" fontId="34" fillId="89" borderId="0" applyNumberFormat="0" applyBorder="0" applyAlignment="0" applyProtection="0"/>
    <xf numFmtId="0" fontId="34" fillId="70" borderId="0" applyNumberFormat="0" applyBorder="0" applyAlignment="0" applyProtection="0"/>
    <xf numFmtId="0" fontId="34" fillId="86" borderId="0" applyNumberFormat="0" applyBorder="0" applyAlignment="0" applyProtection="0"/>
    <xf numFmtId="0" fontId="34" fillId="77" borderId="0" applyNumberFormat="0" applyBorder="0" applyAlignment="0" applyProtection="0"/>
    <xf numFmtId="0" fontId="34" fillId="65" borderId="0" applyNumberFormat="0" applyBorder="0" applyAlignment="0" applyProtection="0"/>
    <xf numFmtId="0" fontId="33" fillId="90" borderId="0" applyNumberFormat="0" applyBorder="0" applyAlignment="0" applyProtection="0"/>
    <xf numFmtId="0" fontId="33" fillId="89" borderId="0" applyNumberFormat="0" applyBorder="0" applyAlignment="0" applyProtection="0"/>
    <xf numFmtId="0" fontId="33" fillId="70" borderId="0" applyNumberFormat="0" applyBorder="0" applyAlignment="0" applyProtection="0"/>
    <xf numFmtId="0" fontId="33" fillId="91" borderId="0" applyNumberFormat="0" applyBorder="0" applyAlignment="0" applyProtection="0"/>
    <xf numFmtId="0" fontId="33" fillId="61" borderId="0" applyNumberFormat="0" applyBorder="0" applyAlignment="0" applyProtection="0"/>
    <xf numFmtId="0" fontId="33" fillId="66" borderId="0" applyNumberFormat="0" applyBorder="0" applyAlignment="0" applyProtection="0"/>
    <xf numFmtId="0" fontId="33" fillId="92" borderId="0" applyNumberFormat="0" applyBorder="0" applyAlignment="0" applyProtection="0"/>
    <xf numFmtId="0" fontId="33" fillId="35" borderId="0" applyNumberFormat="0" applyBorder="0" applyAlignment="0" applyProtection="0"/>
    <xf numFmtId="0" fontId="33" fillId="64" borderId="0" applyNumberFormat="0" applyBorder="0" applyAlignment="0" applyProtection="0"/>
    <xf numFmtId="0" fontId="33" fillId="39" borderId="0" applyNumberFormat="0" applyBorder="0" applyAlignment="0" applyProtection="0"/>
    <xf numFmtId="0" fontId="33" fillId="68" borderId="0" applyNumberFormat="0" applyBorder="0" applyAlignment="0" applyProtection="0"/>
    <xf numFmtId="0" fontId="33" fillId="43" borderId="0" applyNumberFormat="0" applyBorder="0" applyAlignment="0" applyProtection="0"/>
    <xf numFmtId="0" fontId="33" fillId="91" borderId="0" applyNumberFormat="0" applyBorder="0" applyAlignment="0" applyProtection="0"/>
    <xf numFmtId="0" fontId="33" fillId="47" borderId="0" applyNumberFormat="0" applyBorder="0" applyAlignment="0" applyProtection="0"/>
    <xf numFmtId="0" fontId="33" fillId="61" borderId="0" applyNumberFormat="0" applyBorder="0" applyAlignment="0" applyProtection="0"/>
    <xf numFmtId="0" fontId="33" fillId="38" borderId="0" applyNumberFormat="0" applyBorder="0" applyAlignment="0" applyProtection="0"/>
    <xf numFmtId="0" fontId="33" fillId="67" borderId="0" applyNumberFormat="0" applyBorder="0" applyAlignment="0" applyProtection="0"/>
    <xf numFmtId="0" fontId="33" fillId="51" borderId="0" applyNumberFormat="0" applyBorder="0" applyAlignment="0" applyProtection="0"/>
    <xf numFmtId="0" fontId="50" fillId="62" borderId="0" applyNumberFormat="0" applyBorder="0" applyAlignment="0" applyProtection="0"/>
    <xf numFmtId="0" fontId="35" fillId="52" borderId="0" applyNumberFormat="0" applyBorder="0" applyAlignment="0" applyProtection="0"/>
    <xf numFmtId="0" fontId="51" fillId="75" borderId="26" applyNumberFormat="0" applyAlignment="0" applyProtection="0"/>
    <xf numFmtId="0" fontId="36" fillId="55" borderId="13" applyNumberFormat="0" applyAlignment="0" applyProtection="0"/>
    <xf numFmtId="0" fontId="37" fillId="93" borderId="14" applyNumberFormat="0" applyAlignment="0" applyProtection="0"/>
    <xf numFmtId="0" fontId="37" fillId="47" borderId="14" applyNumberFormat="0" applyAlignment="0" applyProtection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165" fontId="52" fillId="0" borderId="0"/>
    <xf numFmtId="43" fontId="2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4" fontId="55" fillId="0" borderId="0"/>
    <xf numFmtId="0" fontId="43" fillId="85" borderId="0" applyNumberFormat="0" applyBorder="0" applyAlignment="0" applyProtection="0"/>
    <xf numFmtId="0" fontId="34" fillId="45" borderId="0" applyNumberFormat="0" applyBorder="0" applyAlignment="0" applyProtection="0"/>
    <xf numFmtId="0" fontId="56" fillId="0" borderId="27" applyNumberFormat="0" applyFill="0" applyAlignment="0" applyProtection="0"/>
    <xf numFmtId="0" fontId="39" fillId="0" borderId="15" applyNumberFormat="0" applyFill="0" applyAlignment="0" applyProtection="0"/>
    <xf numFmtId="0" fontId="57" fillId="0" borderId="28" applyNumberFormat="0" applyFill="0" applyAlignment="0" applyProtection="0"/>
    <xf numFmtId="0" fontId="40" fillId="0" borderId="16" applyNumberFormat="0" applyFill="0" applyAlignment="0" applyProtection="0"/>
    <xf numFmtId="0" fontId="58" fillId="0" borderId="29" applyNumberFormat="0" applyFill="0" applyAlignment="0" applyProtection="0"/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7" fontId="48" fillId="75" borderId="0" applyFont="0" applyFill="0" applyBorder="0" applyAlignment="0" applyProtection="0"/>
    <xf numFmtId="0" fontId="59" fillId="88" borderId="26" applyNumberFormat="0" applyAlignment="0" applyProtection="0"/>
    <xf numFmtId="0" fontId="42" fillId="53" borderId="13" applyNumberFormat="0" applyAlignment="0" applyProtection="0"/>
    <xf numFmtId="0" fontId="60" fillId="0" borderId="30" applyNumberFormat="0" applyFill="0" applyAlignment="0" applyProtection="0"/>
    <xf numFmtId="0" fontId="43" fillId="0" borderId="18" applyNumberFormat="0" applyFill="0" applyAlignment="0" applyProtection="0"/>
    <xf numFmtId="0" fontId="61" fillId="59" borderId="0" applyNumberFormat="0" applyBorder="0" applyAlignment="0" applyProtection="0"/>
    <xf numFmtId="0" fontId="43" fillId="53" borderId="0" applyNumberFormat="0" applyBorder="0" applyAlignment="0" applyProtection="0"/>
    <xf numFmtId="168" fontId="62" fillId="0" borderId="0"/>
    <xf numFmtId="0" fontId="49" fillId="0" borderId="0"/>
    <xf numFmtId="166" fontId="20" fillId="0" borderId="0"/>
    <xf numFmtId="0" fontId="20" fillId="0" borderId="0"/>
    <xf numFmtId="0" fontId="20" fillId="0" borderId="0"/>
    <xf numFmtId="0" fontId="21" fillId="34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20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34" fillId="0" borderId="0"/>
    <xf numFmtId="0" fontId="34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53" fillId="0" borderId="0"/>
    <xf numFmtId="0" fontId="20" fillId="0" borderId="0"/>
    <xf numFmtId="0" fontId="53" fillId="0" borderId="0"/>
    <xf numFmtId="0" fontId="53" fillId="0" borderId="0"/>
    <xf numFmtId="166" fontId="53" fillId="0" borderId="0"/>
    <xf numFmtId="0" fontId="49" fillId="0" borderId="0"/>
    <xf numFmtId="0" fontId="20" fillId="79" borderId="31" applyNumberFormat="0" applyFont="0" applyAlignment="0" applyProtection="0"/>
    <xf numFmtId="0" fontId="21" fillId="52" borderId="13" applyNumberFormat="0" applyFont="0" applyAlignment="0" applyProtection="0"/>
    <xf numFmtId="0" fontId="44" fillId="75" borderId="19" applyNumberFormat="0" applyAlignment="0" applyProtection="0"/>
    <xf numFmtId="0" fontId="44" fillId="55" borderId="19" applyNumberFormat="0" applyAlignment="0" applyProtection="0"/>
    <xf numFmtId="169" fontId="20" fillId="0" borderId="0">
      <alignment horizontal="left"/>
    </xf>
    <xf numFmtId="9" fontId="4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63" fillId="0" borderId="0" applyFill="0" applyBorder="0" applyAlignment="0" applyProtection="0"/>
    <xf numFmtId="0" fontId="64" fillId="0" borderId="0" applyNumberFormat="0" applyFill="0" applyBorder="0" applyAlignment="0" applyProtection="0"/>
    <xf numFmtId="0" fontId="38" fillId="0" borderId="32" applyNumberFormat="0" applyFill="0" applyAlignment="0" applyProtection="0"/>
    <xf numFmtId="0" fontId="38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25">
      <alignment horizontal="center" wrapText="1"/>
    </xf>
    <xf numFmtId="43" fontId="21" fillId="0" borderId="0" applyFont="0" applyFill="0" applyBorder="0" applyAlignment="0" applyProtection="0"/>
    <xf numFmtId="0" fontId="21" fillId="34" borderId="0"/>
    <xf numFmtId="0" fontId="33" fillId="3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38" borderId="0" applyNumberFormat="0" applyBorder="0" applyAlignment="0" applyProtection="0"/>
    <xf numFmtId="0" fontId="33" fillId="51" borderId="0" applyNumberFormat="0" applyBorder="0" applyAlignment="0" applyProtection="0"/>
    <xf numFmtId="0" fontId="33" fillId="38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38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8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35" borderId="0" applyNumberFormat="0" applyBorder="0" applyAlignment="0" applyProtection="0"/>
    <xf numFmtId="0" fontId="21" fillId="34" borderId="0"/>
    <xf numFmtId="43" fontId="21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35" borderId="0" applyNumberFormat="0" applyBorder="0" applyAlignment="0" applyProtection="0"/>
    <xf numFmtId="0" fontId="21" fillId="34" borderId="0"/>
    <xf numFmtId="43" fontId="21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35" borderId="0" applyNumberFormat="0" applyBorder="0" applyAlignment="0" applyProtection="0"/>
    <xf numFmtId="0" fontId="21" fillId="34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1" fillId="34" borderId="0"/>
    <xf numFmtId="0" fontId="21" fillId="34" borderId="0"/>
  </cellStyleXfs>
  <cellXfs count="36">
    <xf numFmtId="0" fontId="20" fillId="0" borderId="0" xfId="0" applyFont="1"/>
    <xf numFmtId="0" fontId="0" fillId="0" borderId="0" xfId="0" applyFont="1"/>
    <xf numFmtId="0" fontId="20" fillId="0" borderId="0" xfId="0" pivotButton="1" applyFont="1"/>
    <xf numFmtId="0" fontId="20" fillId="0" borderId="0" xfId="0" applyFont="1" applyAlignment="1">
      <alignment horizontal="left"/>
    </xf>
    <xf numFmtId="0" fontId="0" fillId="0" borderId="0" xfId="0"/>
    <xf numFmtId="0" fontId="18" fillId="0" borderId="0" xfId="0" applyFont="1"/>
    <xf numFmtId="38" fontId="21" fillId="0" borderId="0" xfId="0" applyNumberFormat="1" applyFont="1"/>
    <xf numFmtId="38" fontId="22" fillId="0" borderId="0" xfId="0" applyNumberFormat="1" applyFont="1"/>
    <xf numFmtId="0" fontId="23" fillId="0" borderId="0" xfId="0" applyFont="1"/>
    <xf numFmtId="38" fontId="24" fillId="0" borderId="0" xfId="0" applyNumberFormat="1" applyFont="1"/>
    <xf numFmtId="38" fontId="21" fillId="0" borderId="0" xfId="0" quotePrefix="1" applyNumberFormat="1" applyFont="1"/>
    <xf numFmtId="43" fontId="0" fillId="0" borderId="0" xfId="1" applyFont="1" applyAlignment="1">
      <alignment horizontal="center"/>
    </xf>
    <xf numFmtId="43" fontId="23" fillId="0" borderId="0" xfId="1" quotePrefix="1" applyFont="1" applyAlignment="1">
      <alignment horizontal="center"/>
    </xf>
    <xf numFmtId="43" fontId="21" fillId="0" borderId="0" xfId="1" applyFont="1" applyAlignment="1">
      <alignment horizontal="center"/>
    </xf>
    <xf numFmtId="43" fontId="21" fillId="0" borderId="0" xfId="1" applyFont="1" applyBorder="1" applyAlignment="1">
      <alignment horizontal="center"/>
    </xf>
    <xf numFmtId="43" fontId="21" fillId="0" borderId="11" xfId="1" applyFont="1" applyBorder="1" applyAlignment="1">
      <alignment horizontal="center"/>
    </xf>
    <xf numFmtId="43" fontId="21" fillId="0" borderId="0" xfId="1" applyFont="1" applyFill="1" applyAlignment="1">
      <alignment horizontal="center"/>
    </xf>
    <xf numFmtId="43" fontId="25" fillId="0" borderId="0" xfId="1" applyFont="1" applyAlignment="1">
      <alignment horizontal="center"/>
    </xf>
    <xf numFmtId="43" fontId="25" fillId="0" borderId="12" xfId="1" applyFont="1" applyBorder="1" applyAlignment="1">
      <alignment horizontal="center"/>
    </xf>
    <xf numFmtId="0" fontId="26" fillId="0" borderId="0" xfId="0" applyFont="1"/>
    <xf numFmtId="44" fontId="20" fillId="0" borderId="0" xfId="0" applyNumberFormat="1" applyFont="1"/>
    <xf numFmtId="43" fontId="20" fillId="0" borderId="0" xfId="1" applyFont="1" applyAlignment="1">
      <alignment horizontal="center" wrapText="1"/>
    </xf>
    <xf numFmtId="43" fontId="20" fillId="0" borderId="0" xfId="0" applyNumberFormat="1" applyFont="1"/>
    <xf numFmtId="0" fontId="66" fillId="0" borderId="0" xfId="0" applyFont="1"/>
    <xf numFmtId="14" fontId="0" fillId="0" borderId="0" xfId="0" applyNumberFormat="1"/>
    <xf numFmtId="43" fontId="21" fillId="0" borderId="25" xfId="1" applyFont="1" applyBorder="1" applyAlignment="1">
      <alignment horizontal="center"/>
    </xf>
    <xf numFmtId="0" fontId="20" fillId="33" borderId="10" xfId="415" applyFont="1" applyFill="1" applyBorder="1"/>
    <xf numFmtId="0" fontId="20" fillId="0" borderId="0" xfId="415" applyFont="1"/>
    <xf numFmtId="14" fontId="20" fillId="0" borderId="0" xfId="415" applyNumberFormat="1" applyFont="1" applyAlignment="1">
      <alignment horizontal="right"/>
    </xf>
    <xf numFmtId="4" fontId="20" fillId="0" borderId="0" xfId="415" applyNumberFormat="1" applyFont="1" applyAlignment="1">
      <alignment horizontal="right"/>
    </xf>
    <xf numFmtId="0" fontId="20" fillId="94" borderId="10" xfId="415" applyFont="1" applyFill="1" applyBorder="1"/>
    <xf numFmtId="14" fontId="20" fillId="94" borderId="10" xfId="415" applyNumberFormat="1" applyFont="1" applyFill="1" applyBorder="1" applyAlignment="1">
      <alignment horizontal="right"/>
    </xf>
    <xf numFmtId="4" fontId="20" fillId="94" borderId="10" xfId="415" applyNumberFormat="1" applyFont="1" applyFill="1" applyBorder="1" applyAlignment="1">
      <alignment horizontal="right"/>
    </xf>
    <xf numFmtId="0" fontId="20" fillId="0" borderId="0" xfId="0" applyFont="1" applyFill="1"/>
    <xf numFmtId="14" fontId="20" fillId="0" borderId="0" xfId="0" applyNumberFormat="1" applyFont="1"/>
    <xf numFmtId="43" fontId="20" fillId="0" borderId="0" xfId="0" applyNumberFormat="1" applyFont="1" applyFill="1"/>
  </cellXfs>
  <cellStyles count="418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2" xfId="234"/>
    <cellStyle name="20% - Accent1 3" xfId="403"/>
    <cellStyle name="20% - Accent2" xfId="24" builtinId="34" customBuiltin="1"/>
    <cellStyle name="20% - Accent2 2" xfId="235"/>
    <cellStyle name="20% - Accent2 3" xfId="405"/>
    <cellStyle name="20% - Accent3" xfId="28" builtinId="38" customBuiltin="1"/>
    <cellStyle name="20% - Accent3 2" xfId="236"/>
    <cellStyle name="20% - Accent3 3" xfId="407"/>
    <cellStyle name="20% - Accent4" xfId="32" builtinId="42" customBuiltin="1"/>
    <cellStyle name="20% - Accent4 2" xfId="237"/>
    <cellStyle name="20% - Accent4 3" xfId="409"/>
    <cellStyle name="20% - Accent5" xfId="36" builtinId="46" customBuiltin="1"/>
    <cellStyle name="20% - Accent5 2" xfId="238"/>
    <cellStyle name="20% - Accent5 3" xfId="411"/>
    <cellStyle name="20% - Accent6" xfId="40" builtinId="50" customBuiltin="1"/>
    <cellStyle name="20% - Accent6 2" xfId="239"/>
    <cellStyle name="20% - Accent6 3" xfId="413"/>
    <cellStyle name="40% - Accent1" xfId="21" builtinId="31" customBuiltin="1"/>
    <cellStyle name="40% - Accent1 2" xfId="240"/>
    <cellStyle name="40% - Accent1 3" xfId="404"/>
    <cellStyle name="40% - Accent2" xfId="25" builtinId="35" customBuiltin="1"/>
    <cellStyle name="40% - Accent2 2" xfId="241"/>
    <cellStyle name="40% - Accent2 3" xfId="406"/>
    <cellStyle name="40% - Accent3" xfId="29" builtinId="39" customBuiltin="1"/>
    <cellStyle name="40% - Accent3 2" xfId="242"/>
    <cellStyle name="40% - Accent3 3" xfId="408"/>
    <cellStyle name="40% - Accent4" xfId="33" builtinId="43" customBuiltin="1"/>
    <cellStyle name="40% - Accent4 2" xfId="243"/>
    <cellStyle name="40% - Accent4 3" xfId="410"/>
    <cellStyle name="40% - Accent5" xfId="37" builtinId="47" customBuiltin="1"/>
    <cellStyle name="40% - Accent5 2" xfId="244"/>
    <cellStyle name="40% - Accent5 3" xfId="412"/>
    <cellStyle name="40% - Accent6" xfId="41" builtinId="51" customBuiltin="1"/>
    <cellStyle name="40% - Accent6 2" xfId="245"/>
    <cellStyle name="40% - Accent6 3" xfId="414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2" xfId="25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2" xfId="23" builtinId="33" customBuiltin="1"/>
    <cellStyle name="Accent2 - 20%" xfId="49"/>
    <cellStyle name="Accent2 - 40%" xfId="50"/>
    <cellStyle name="Accent2 - 60%" xfId="51"/>
    <cellStyle name="Accent2 2" xfId="254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3" xfId="27" builtinId="37" customBuiltin="1"/>
    <cellStyle name="Accent3 - 20%" xfId="53"/>
    <cellStyle name="Accent3 - 40%" xfId="54"/>
    <cellStyle name="Accent3 - 60%" xfId="55"/>
    <cellStyle name="Accent3 2" xfId="25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4" xfId="31" builtinId="41" customBuiltin="1"/>
    <cellStyle name="Accent4 - 20%" xfId="57"/>
    <cellStyle name="Accent4 - 40%" xfId="58"/>
    <cellStyle name="Accent4 - 60%" xfId="59"/>
    <cellStyle name="Accent4 2" xfId="258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5" xfId="35" builtinId="45" customBuiltin="1"/>
    <cellStyle name="Accent5 - 20%" xfId="61"/>
    <cellStyle name="Accent5 - 40%" xfId="62"/>
    <cellStyle name="Accent5 - 60%" xfId="63"/>
    <cellStyle name="Accent5 2" xfId="260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6" xfId="39" builtinId="49" customBuiltin="1"/>
    <cellStyle name="Accent6 - 20%" xfId="65"/>
    <cellStyle name="Accent6 - 40%" xfId="66"/>
    <cellStyle name="Accent6 - 60%" xfId="67"/>
    <cellStyle name="Accent6 2" xfId="262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2" xfId="278"/>
    <cellStyle name="Comma 2 2" xfId="279"/>
    <cellStyle name="Comma 2 3" xfId="280"/>
    <cellStyle name="Comma 3" xfId="281"/>
    <cellStyle name="Comma 3 2" xfId="282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15"/>
    <cellStyle name="Normal 23" xfId="417"/>
    <cellStyle name="Normal 24" xfId="416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4" xfId="335"/>
    <cellStyle name="Normal 4 2" xfId="336"/>
    <cellStyle name="Normal 4 3" xfId="337"/>
    <cellStyle name="Normal 4_AIF" xfId="338"/>
    <cellStyle name="Normal 5" xfId="339"/>
    <cellStyle name="Normal 5 2" xfId="340"/>
    <cellStyle name="Normal 5_AIF" xfId="341"/>
    <cellStyle name="Normal 6" xfId="342"/>
    <cellStyle name="Normal 7" xfId="343"/>
    <cellStyle name="Normal 8" xfId="344"/>
    <cellStyle name="Normal 8 2" xfId="345"/>
    <cellStyle name="Normal 8_Domestic" xfId="346"/>
    <cellStyle name="Normal 9" xfId="347"/>
    <cellStyle name="Note" xfId="16" builtinId="10" customBuiltin="1"/>
    <cellStyle name="Note 2" xfId="348"/>
    <cellStyle name="Note 3" xfId="349"/>
    <cellStyle name="Note 4" xfId="82"/>
    <cellStyle name="Note 5" xfId="402"/>
    <cellStyle name="Output" xfId="11" builtinId="21" customBuiltin="1"/>
    <cellStyle name="Output 2" xfId="350"/>
    <cellStyle name="Output 3" xfId="351"/>
    <cellStyle name="Output 4" xfId="83"/>
    <cellStyle name="Per" xfId="352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5</xdr:col>
      <xdr:colOff>790574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1733549" cy="950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ganesyan, Anahit" refreshedDate="41549.559543750001" createdVersion="4" refreshedVersion="4" minRefreshableVersion="3" recordCount="195">
  <cacheSource type="worksheet">
    <worksheetSource ref="A1:S1048576" sheet="Data"/>
  </cacheSource>
  <cacheFields count="19">
    <cacheField name="Category" numFmtId="0">
      <sharedItems containsBlank="1"/>
    </cacheField>
    <cacheField name="Profit Center" numFmtId="0">
      <sharedItems containsBlank="1"/>
    </cacheField>
    <cacheField name="Deal Parent No" numFmtId="0">
      <sharedItems containsNonDate="0" containsBlank="1" count="5">
        <m/>
        <s v="ABACUS" u="1"/>
        <s v="AVEX" u="1"/>
        <s v="INTER_SOLT" u="1"/>
        <s v="FRONTIERS" u="1"/>
      </sharedItems>
    </cacheField>
    <cacheField name="Deal Sub N (Label)" numFmtId="0">
      <sharedItems containsNonDate="0" containsBlank="1" count="5">
        <m/>
        <s v="USAVX" u="1"/>
        <s v="USINL" u="1"/>
        <s v="USFRR" u="1"/>
        <s v="USABA" u="1"/>
      </sharedItems>
    </cacheField>
    <cacheField name="Customer" numFmtId="0">
      <sharedItems containsBlank="1" count="5">
        <s v="US3E070174"/>
        <m/>
        <s v="US3E070119" u="1"/>
        <s v="US3E070085" u="1"/>
        <s v="US3E070126" u="1"/>
      </sharedItems>
    </cacheField>
    <cacheField name="Flag carryforward" numFmtId="0">
      <sharedItems containsNonDate="0" containsString="0" containsBlank="1"/>
    </cacheField>
    <cacheField name="Document Number" numFmtId="0">
      <sharedItems containsBlank="1"/>
    </cacheField>
    <cacheField name="Line item" numFmtId="0">
      <sharedItems containsBlank="1"/>
    </cacheField>
    <cacheField name="Posting Date" numFmtId="0">
      <sharedItems containsNonDate="0" containsDate="1" containsString="0" containsBlank="1" minDate="2013-08-15T00:00:00" maxDate="2013-09-16T00:00:00"/>
    </cacheField>
    <cacheField name="Posting Period" numFmtId="0">
      <sharedItems containsBlank="1"/>
    </cacheField>
    <cacheField name="Fiscal Year" numFmtId="0">
      <sharedItems containsBlank="1"/>
    </cacheField>
    <cacheField name="Amount LC" numFmtId="0">
      <sharedItems containsString="0" containsBlank="1" containsNumber="1" minValue="-118183.43" maxValue="60724.18"/>
    </cacheField>
    <cacheField name="Local currency" numFmtId="0">
      <sharedItems containsBlank="1"/>
    </cacheField>
    <cacheField name="Reference Key 2" numFmtId="0">
      <sharedItems containsBlank="1" count="14">
        <s v="0000550001"/>
        <s v="0000686001"/>
        <s v="0000570001"/>
        <s v="0000500001"/>
        <s v="0000686002"/>
        <s v="0000686005"/>
        <s v="0000687001"/>
        <s v="0000540001"/>
        <s v="0000500002"/>
        <s v="0000640001"/>
        <s v="0000610003"/>
        <m/>
        <s v="0000503501" u="1"/>
        <s v="0000900030" u="1"/>
      </sharedItems>
    </cacheField>
    <cacheField name="CrossRecoupment" numFmtId="0">
      <sharedItems containsBlank="1"/>
    </cacheField>
    <cacheField name="Baseline Payment Dte" numFmtId="0">
      <sharedItems containsNonDate="0" containsDate="1" containsString="0" containsBlank="1" minDate="2013-08-14T00:00:00" maxDate="2013-09-01T00:00:00"/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5">
  <r>
    <s v="selected"/>
    <s v="US5C100011"/>
    <x v="0"/>
    <x v="0"/>
    <x v="0"/>
    <m/>
    <s v="29000799"/>
    <s v="82"/>
    <d v="2013-08-31T00:00:00"/>
    <s v="8"/>
    <s v="2013"/>
    <n v="5765.6"/>
    <s v="USD"/>
    <x v="0"/>
    <s v="C"/>
    <d v="2013-08-31T00:00:00"/>
    <s v="           5,765.60-"/>
    <m/>
    <s v="CR04"/>
  </r>
  <r>
    <s v="selected"/>
    <s v="US5C100011"/>
    <x v="0"/>
    <x v="0"/>
    <x v="0"/>
    <m/>
    <s v="29000799"/>
    <s v="107"/>
    <d v="2013-08-31T00:00:00"/>
    <s v="8"/>
    <s v="2013"/>
    <n v="1056.74"/>
    <s v="USD"/>
    <x v="1"/>
    <s v="C"/>
    <d v="2013-08-31T00:00:00"/>
    <s v="           1,056.74-"/>
    <m/>
    <s v="CR04"/>
  </r>
  <r>
    <s v="selected"/>
    <s v="US5C100011"/>
    <x v="0"/>
    <x v="0"/>
    <x v="0"/>
    <m/>
    <s v="29000799"/>
    <s v="106"/>
    <d v="2013-08-31T00:00:00"/>
    <s v="8"/>
    <s v="2013"/>
    <n v="2833.14"/>
    <s v="USD"/>
    <x v="1"/>
    <s v="C"/>
    <d v="2013-08-31T00:00:00"/>
    <s v="           2,833.14-"/>
    <m/>
    <s v="CR04"/>
  </r>
  <r>
    <s v="selected"/>
    <s v="US5C100011"/>
    <x v="0"/>
    <x v="0"/>
    <x v="0"/>
    <m/>
    <s v="29000799"/>
    <s v="105"/>
    <d v="2013-08-31T00:00:00"/>
    <s v="8"/>
    <s v="2013"/>
    <n v="315"/>
    <s v="USD"/>
    <x v="1"/>
    <s v="C"/>
    <d v="2013-08-31T00:00:00"/>
    <s v="             315.00-"/>
    <m/>
    <s v="CR04"/>
  </r>
  <r>
    <s v="selected"/>
    <s v="US5C100011"/>
    <x v="0"/>
    <x v="0"/>
    <x v="0"/>
    <m/>
    <s v="29000799"/>
    <s v="103"/>
    <d v="2013-08-31T00:00:00"/>
    <s v="8"/>
    <s v="2013"/>
    <n v="0.91"/>
    <s v="USD"/>
    <x v="1"/>
    <s v="C"/>
    <d v="2013-08-31T00:00:00"/>
    <s v="               0.91-"/>
    <m/>
    <s v="CR04"/>
  </r>
  <r>
    <s v="selected"/>
    <s v="US5C100011"/>
    <x v="0"/>
    <x v="0"/>
    <x v="0"/>
    <m/>
    <s v="29000799"/>
    <s v="104"/>
    <d v="2013-08-31T00:00:00"/>
    <s v="8"/>
    <s v="2013"/>
    <n v="9295.42"/>
    <s v="USD"/>
    <x v="1"/>
    <s v="C"/>
    <d v="2013-08-31T00:00:00"/>
    <s v="           9,295.42-"/>
    <m/>
    <s v="CR04"/>
  </r>
  <r>
    <s v="selected"/>
    <s v="US5C100011"/>
    <x v="0"/>
    <x v="0"/>
    <x v="0"/>
    <m/>
    <s v="29000799"/>
    <s v="89"/>
    <d v="2013-08-31T00:00:00"/>
    <s v="8"/>
    <s v="2013"/>
    <n v="10.37"/>
    <s v="USD"/>
    <x v="2"/>
    <s v="C"/>
    <d v="2013-08-31T00:00:00"/>
    <s v="              10.37-"/>
    <m/>
    <s v="CR04"/>
  </r>
  <r>
    <s v="selected"/>
    <s v="US5C100011"/>
    <x v="0"/>
    <x v="0"/>
    <x v="0"/>
    <m/>
    <s v="29000799"/>
    <s v="88"/>
    <d v="2013-08-31T00:00:00"/>
    <s v="8"/>
    <s v="2013"/>
    <n v="25.92"/>
    <s v="USD"/>
    <x v="2"/>
    <s v="C"/>
    <d v="2013-08-31T00:00:00"/>
    <s v="              25.92-"/>
    <m/>
    <s v="CR04"/>
  </r>
  <r>
    <s v="selected"/>
    <s v="US5C100011"/>
    <x v="0"/>
    <x v="0"/>
    <x v="0"/>
    <m/>
    <s v="29000799"/>
    <s v="87"/>
    <d v="2013-08-31T00:00:00"/>
    <s v="8"/>
    <s v="2013"/>
    <n v="18578.03"/>
    <s v="USD"/>
    <x v="2"/>
    <s v="C"/>
    <d v="2013-08-31T00:00:00"/>
    <s v="          18,578.03-"/>
    <m/>
    <s v="CR04"/>
  </r>
  <r>
    <s v="selected"/>
    <s v="US5C100011"/>
    <x v="0"/>
    <x v="0"/>
    <x v="0"/>
    <m/>
    <s v="29000799"/>
    <s v="83"/>
    <d v="2013-08-31T00:00:00"/>
    <s v="8"/>
    <s v="2013"/>
    <n v="1.82"/>
    <s v="USD"/>
    <x v="2"/>
    <s v="C"/>
    <d v="2013-08-31T00:00:00"/>
    <s v="               1.82-"/>
    <m/>
    <s v="CR04"/>
  </r>
  <r>
    <s v="selected"/>
    <s v="US5C100011"/>
    <x v="0"/>
    <x v="0"/>
    <x v="0"/>
    <m/>
    <s v="29000799"/>
    <s v="84"/>
    <d v="2013-08-31T00:00:00"/>
    <s v="8"/>
    <s v="2013"/>
    <n v="2112.75"/>
    <s v="USD"/>
    <x v="2"/>
    <s v="C"/>
    <d v="2013-08-31T00:00:00"/>
    <s v="           2,112.75-"/>
    <m/>
    <s v="CR04"/>
  </r>
  <r>
    <s v="selected"/>
    <s v="US5C100011"/>
    <x v="0"/>
    <x v="0"/>
    <x v="0"/>
    <m/>
    <s v="29000799"/>
    <s v="85"/>
    <d v="2013-08-31T00:00:00"/>
    <s v="8"/>
    <s v="2013"/>
    <n v="17215.48"/>
    <s v="USD"/>
    <x v="2"/>
    <s v="C"/>
    <d v="2013-08-31T00:00:00"/>
    <s v="          17,215.48-"/>
    <m/>
    <s v="CR04"/>
  </r>
  <r>
    <s v="selected"/>
    <s v="US5C100011"/>
    <x v="0"/>
    <x v="0"/>
    <x v="0"/>
    <m/>
    <s v="29000799"/>
    <s v="86"/>
    <d v="2013-08-31T00:00:00"/>
    <s v="8"/>
    <s v="2013"/>
    <n v="5640.31"/>
    <s v="USD"/>
    <x v="2"/>
    <s v="C"/>
    <d v="2013-08-31T00:00:00"/>
    <s v="           5,640.31-"/>
    <m/>
    <s v="CR04"/>
  </r>
  <r>
    <s v="selected"/>
    <s v="US5C100011"/>
    <x v="0"/>
    <x v="0"/>
    <x v="0"/>
    <m/>
    <s v="29000799"/>
    <s v="44"/>
    <d v="2013-08-31T00:00:00"/>
    <s v="8"/>
    <s v="2013"/>
    <n v="-148.1"/>
    <s v="USD"/>
    <x v="3"/>
    <s v="C"/>
    <d v="2013-08-31T00:00:00"/>
    <s v="             148.10"/>
    <m/>
    <s v="CR04"/>
  </r>
  <r>
    <s v="selected"/>
    <s v="US5C100011"/>
    <x v="0"/>
    <x v="0"/>
    <x v="0"/>
    <m/>
    <s v="29000799"/>
    <s v="43"/>
    <d v="2013-08-31T00:00:00"/>
    <s v="8"/>
    <s v="2013"/>
    <n v="-13225.02"/>
    <s v="USD"/>
    <x v="3"/>
    <s v="C"/>
    <d v="2013-08-31T00:00:00"/>
    <s v="          13,225.02"/>
    <m/>
    <s v="CR04"/>
  </r>
  <r>
    <s v="selected"/>
    <s v="US5C100011"/>
    <x v="0"/>
    <x v="0"/>
    <x v="0"/>
    <m/>
    <s v="29000799"/>
    <s v="42"/>
    <d v="2013-08-31T00:00:00"/>
    <s v="8"/>
    <s v="2013"/>
    <n v="-34202.99"/>
    <s v="USD"/>
    <x v="3"/>
    <s v="C"/>
    <d v="2013-08-31T00:00:00"/>
    <s v="          34,202.99"/>
    <m/>
    <s v="CR04"/>
  </r>
  <r>
    <s v="selected"/>
    <s v="US5C100011"/>
    <x v="0"/>
    <x v="0"/>
    <x v="0"/>
    <m/>
    <s v="29000799"/>
    <s v="41"/>
    <d v="2013-08-31T00:00:00"/>
    <s v="8"/>
    <s v="2013"/>
    <n v="-110476.75"/>
    <s v="USD"/>
    <x v="3"/>
    <s v="C"/>
    <d v="2013-08-31T00:00:00"/>
    <s v="         110,476.75"/>
    <m/>
    <s v="CR04"/>
  </r>
  <r>
    <s v="selected"/>
    <s v="US5C100011"/>
    <x v="0"/>
    <x v="0"/>
    <x v="0"/>
    <m/>
    <s v="29000799"/>
    <s v="40"/>
    <d v="2013-08-31T00:00:00"/>
    <s v="8"/>
    <s v="2013"/>
    <n v="-10.4"/>
    <s v="USD"/>
    <x v="3"/>
    <s v="C"/>
    <d v="2013-08-31T00:00:00"/>
    <s v="              10.40"/>
    <m/>
    <s v="CR04"/>
  </r>
  <r>
    <s v="selected"/>
    <s v="US5C100011"/>
    <x v="0"/>
    <x v="0"/>
    <x v="0"/>
    <m/>
    <s v="29000799"/>
    <s v="154"/>
    <d v="2013-08-31T00:00:00"/>
    <s v="8"/>
    <s v="2013"/>
    <n v="-1.62"/>
    <s v="USD"/>
    <x v="4"/>
    <s v="C"/>
    <d v="2013-08-31T00:00:00"/>
    <s v="               1.62"/>
    <m/>
    <s v="CR04"/>
  </r>
  <r>
    <s v="selected"/>
    <s v="US5C100011"/>
    <x v="0"/>
    <x v="0"/>
    <x v="0"/>
    <m/>
    <s v="29000799"/>
    <s v="131"/>
    <d v="2013-08-31T00:00:00"/>
    <s v="8"/>
    <s v="2013"/>
    <n v="-0.05"/>
    <s v="USD"/>
    <x v="4"/>
    <s v="C"/>
    <d v="2013-08-31T00:00:00"/>
    <s v="               0.05"/>
    <m/>
    <s v="CR04"/>
  </r>
  <r>
    <s v="selected"/>
    <s v="US5C100011"/>
    <x v="0"/>
    <x v="0"/>
    <x v="0"/>
    <m/>
    <s v="29000799"/>
    <s v="132"/>
    <d v="2013-08-31T00:00:00"/>
    <s v="8"/>
    <s v="2013"/>
    <n v="-0.06"/>
    <s v="USD"/>
    <x v="4"/>
    <s v="C"/>
    <d v="2013-08-31T00:00:00"/>
    <s v="               0.06"/>
    <m/>
    <s v="CR04"/>
  </r>
  <r>
    <s v="selected"/>
    <s v="US5C100011"/>
    <x v="0"/>
    <x v="0"/>
    <x v="0"/>
    <m/>
    <s v="29000799"/>
    <s v="133"/>
    <d v="2013-08-31T00:00:00"/>
    <s v="8"/>
    <s v="2013"/>
    <n v="-0.03"/>
    <s v="USD"/>
    <x v="4"/>
    <s v="C"/>
    <d v="2013-08-31T00:00:00"/>
    <s v="               0.03"/>
    <m/>
    <s v="CR04"/>
  </r>
  <r>
    <s v="selected"/>
    <s v="US5C100011"/>
    <x v="0"/>
    <x v="0"/>
    <x v="0"/>
    <m/>
    <s v="29000799"/>
    <s v="134"/>
    <d v="2013-08-31T00:00:00"/>
    <s v="8"/>
    <s v="2013"/>
    <n v="-0.02"/>
    <s v="USD"/>
    <x v="4"/>
    <s v="C"/>
    <d v="2013-08-31T00:00:00"/>
    <s v="               0.02"/>
    <m/>
    <s v="CR04"/>
  </r>
  <r>
    <s v="selected"/>
    <s v="US5C100011"/>
    <x v="0"/>
    <x v="0"/>
    <x v="0"/>
    <m/>
    <s v="29000799"/>
    <s v="135"/>
    <d v="2013-08-31T00:00:00"/>
    <s v="8"/>
    <s v="2013"/>
    <n v="0.44"/>
    <s v="USD"/>
    <x v="4"/>
    <s v="C"/>
    <d v="2013-08-31T00:00:00"/>
    <s v="               0.44-"/>
    <m/>
    <s v="CR04"/>
  </r>
  <r>
    <s v="selected"/>
    <s v="US5C100011"/>
    <x v="0"/>
    <x v="0"/>
    <x v="0"/>
    <m/>
    <s v="29000799"/>
    <s v="136"/>
    <d v="2013-08-31T00:00:00"/>
    <s v="8"/>
    <s v="2013"/>
    <n v="0.49"/>
    <s v="USD"/>
    <x v="4"/>
    <s v="C"/>
    <d v="2013-08-31T00:00:00"/>
    <s v="               0.49-"/>
    <m/>
    <s v="CR04"/>
  </r>
  <r>
    <s v="selected"/>
    <s v="US5C100011"/>
    <x v="0"/>
    <x v="0"/>
    <x v="0"/>
    <m/>
    <s v="29000799"/>
    <s v="137"/>
    <d v="2013-08-31T00:00:00"/>
    <s v="8"/>
    <s v="2013"/>
    <n v="0.65"/>
    <s v="USD"/>
    <x v="4"/>
    <s v="C"/>
    <d v="2013-08-31T00:00:00"/>
    <s v="               0.65-"/>
    <m/>
    <s v="CR04"/>
  </r>
  <r>
    <s v="selected"/>
    <s v="US5C100011"/>
    <x v="0"/>
    <x v="0"/>
    <x v="0"/>
    <m/>
    <s v="29000799"/>
    <s v="138"/>
    <d v="2013-08-31T00:00:00"/>
    <s v="8"/>
    <s v="2013"/>
    <n v="1.37"/>
    <s v="USD"/>
    <x v="4"/>
    <s v="C"/>
    <d v="2013-08-31T00:00:00"/>
    <s v="               1.37-"/>
    <m/>
    <s v="CR04"/>
  </r>
  <r>
    <s v="selected"/>
    <s v="US5C100011"/>
    <x v="0"/>
    <x v="0"/>
    <x v="0"/>
    <m/>
    <s v="29000799"/>
    <s v="139"/>
    <d v="2013-08-31T00:00:00"/>
    <s v="8"/>
    <s v="2013"/>
    <n v="1.21"/>
    <s v="USD"/>
    <x v="4"/>
    <s v="C"/>
    <d v="2013-08-31T00:00:00"/>
    <s v="               1.21-"/>
    <m/>
    <s v="CR04"/>
  </r>
  <r>
    <s v="selected"/>
    <s v="US5C100011"/>
    <x v="0"/>
    <x v="0"/>
    <x v="0"/>
    <m/>
    <s v="29000799"/>
    <s v="140"/>
    <d v="2013-08-31T00:00:00"/>
    <s v="8"/>
    <s v="2013"/>
    <n v="0.28999999999999998"/>
    <s v="USD"/>
    <x v="4"/>
    <s v="C"/>
    <d v="2013-08-31T00:00:00"/>
    <s v="               0.29-"/>
    <m/>
    <s v="CR04"/>
  </r>
  <r>
    <s v="selected"/>
    <s v="US5C100011"/>
    <x v="0"/>
    <x v="0"/>
    <x v="0"/>
    <m/>
    <s v="29000799"/>
    <s v="141"/>
    <d v="2013-08-31T00:00:00"/>
    <s v="8"/>
    <s v="2013"/>
    <n v="0.55000000000000004"/>
    <s v="USD"/>
    <x v="4"/>
    <s v="C"/>
    <d v="2013-08-31T00:00:00"/>
    <s v="               0.55-"/>
    <m/>
    <s v="CR04"/>
  </r>
  <r>
    <s v="selected"/>
    <s v="US5C100011"/>
    <x v="0"/>
    <x v="0"/>
    <x v="0"/>
    <m/>
    <s v="29000799"/>
    <s v="142"/>
    <d v="2013-08-31T00:00:00"/>
    <s v="8"/>
    <s v="2013"/>
    <n v="0.62"/>
    <s v="USD"/>
    <x v="4"/>
    <s v="C"/>
    <d v="2013-08-31T00:00:00"/>
    <s v="               0.62-"/>
    <m/>
    <s v="CR04"/>
  </r>
  <r>
    <s v="selected"/>
    <s v="US5C100011"/>
    <x v="0"/>
    <x v="0"/>
    <x v="0"/>
    <m/>
    <s v="29000799"/>
    <s v="143"/>
    <d v="2013-08-31T00:00:00"/>
    <s v="8"/>
    <s v="2013"/>
    <n v="-0.04"/>
    <s v="USD"/>
    <x v="4"/>
    <s v="C"/>
    <d v="2013-08-31T00:00:00"/>
    <s v="               0.04"/>
    <m/>
    <s v="CR04"/>
  </r>
  <r>
    <s v="selected"/>
    <s v="US5C100011"/>
    <x v="0"/>
    <x v="0"/>
    <x v="0"/>
    <m/>
    <s v="29000799"/>
    <s v="144"/>
    <d v="2013-08-31T00:00:00"/>
    <s v="8"/>
    <s v="2013"/>
    <n v="-0.02"/>
    <s v="USD"/>
    <x v="4"/>
    <s v="C"/>
    <d v="2013-08-31T00:00:00"/>
    <s v="               0.02"/>
    <m/>
    <s v="CR04"/>
  </r>
  <r>
    <s v="selected"/>
    <s v="US5C100011"/>
    <x v="0"/>
    <x v="0"/>
    <x v="0"/>
    <m/>
    <s v="29000799"/>
    <s v="145"/>
    <d v="2013-08-31T00:00:00"/>
    <s v="8"/>
    <s v="2013"/>
    <n v="-0.06"/>
    <s v="USD"/>
    <x v="4"/>
    <s v="C"/>
    <d v="2013-08-31T00:00:00"/>
    <s v="               0.06"/>
    <m/>
    <s v="CR04"/>
  </r>
  <r>
    <s v="selected"/>
    <s v="US5C100011"/>
    <x v="0"/>
    <x v="0"/>
    <x v="0"/>
    <m/>
    <s v="29000799"/>
    <s v="146"/>
    <d v="2013-08-31T00:00:00"/>
    <s v="8"/>
    <s v="2013"/>
    <n v="-0.04"/>
    <s v="USD"/>
    <x v="4"/>
    <s v="C"/>
    <d v="2013-08-31T00:00:00"/>
    <s v="               0.04"/>
    <m/>
    <s v="CR04"/>
  </r>
  <r>
    <s v="selected"/>
    <s v="US5C100011"/>
    <x v="0"/>
    <x v="0"/>
    <x v="0"/>
    <m/>
    <s v="29000799"/>
    <s v="147"/>
    <d v="2013-08-31T00:00:00"/>
    <s v="8"/>
    <s v="2013"/>
    <n v="-0.03"/>
    <s v="USD"/>
    <x v="4"/>
    <s v="C"/>
    <d v="2013-08-31T00:00:00"/>
    <s v="               0.03"/>
    <m/>
    <s v="CR04"/>
  </r>
  <r>
    <s v="selected"/>
    <s v="US5C100011"/>
    <x v="0"/>
    <x v="0"/>
    <x v="0"/>
    <m/>
    <s v="29000799"/>
    <s v="148"/>
    <d v="2013-08-31T00:00:00"/>
    <s v="8"/>
    <s v="2013"/>
    <n v="-0.01"/>
    <s v="USD"/>
    <x v="4"/>
    <s v="C"/>
    <d v="2013-08-31T00:00:00"/>
    <s v="               0.01"/>
    <m/>
    <s v="CR04"/>
  </r>
  <r>
    <s v="selected"/>
    <s v="US5C100011"/>
    <x v="0"/>
    <x v="0"/>
    <x v="0"/>
    <m/>
    <s v="29000799"/>
    <s v="149"/>
    <d v="2013-08-31T00:00:00"/>
    <s v="8"/>
    <s v="2013"/>
    <n v="-51.2"/>
    <s v="USD"/>
    <x v="4"/>
    <s v="C"/>
    <d v="2013-08-31T00:00:00"/>
    <s v="              51.20"/>
    <m/>
    <s v="CR04"/>
  </r>
  <r>
    <s v="selected"/>
    <s v="US5C100011"/>
    <x v="0"/>
    <x v="0"/>
    <x v="0"/>
    <m/>
    <s v="29000799"/>
    <s v="102"/>
    <d v="2013-08-31T00:00:00"/>
    <s v="8"/>
    <s v="2013"/>
    <n v="607.5"/>
    <s v="USD"/>
    <x v="5"/>
    <s v="C"/>
    <d v="2013-08-31T00:00:00"/>
    <s v="             607.50-"/>
    <m/>
    <s v="CR04"/>
  </r>
  <r>
    <s v="selected"/>
    <s v="US5C100011"/>
    <x v="0"/>
    <x v="0"/>
    <x v="0"/>
    <m/>
    <s v="29000799"/>
    <s v="169"/>
    <d v="2013-08-31T00:00:00"/>
    <s v="8"/>
    <s v="2013"/>
    <n v="1852.5"/>
    <s v="USD"/>
    <x v="5"/>
    <s v="C"/>
    <d v="2013-08-31T00:00:00"/>
    <s v="           1,852.50-"/>
    <m/>
    <s v="CR04"/>
  </r>
  <r>
    <s v="selected"/>
    <s v="US5C100011"/>
    <x v="0"/>
    <x v="0"/>
    <x v="0"/>
    <m/>
    <s v="29000799"/>
    <s v="170"/>
    <d v="2013-08-31T00:00:00"/>
    <s v="8"/>
    <s v="2013"/>
    <n v="67.5"/>
    <s v="USD"/>
    <x v="5"/>
    <s v="C"/>
    <d v="2013-08-31T00:00:00"/>
    <s v="              67.50-"/>
    <m/>
    <s v="CR04"/>
  </r>
  <r>
    <s v="selected"/>
    <s v="US5C100011"/>
    <x v="0"/>
    <x v="0"/>
    <x v="0"/>
    <m/>
    <s v="29000799"/>
    <s v="171"/>
    <d v="2013-08-31T00:00:00"/>
    <s v="8"/>
    <s v="2013"/>
    <n v="394.5"/>
    <s v="USD"/>
    <x v="5"/>
    <s v="C"/>
    <d v="2013-08-31T00:00:00"/>
    <s v="             394.50-"/>
    <m/>
    <s v="CR04"/>
  </r>
  <r>
    <s v="selected"/>
    <s v="US5C100011"/>
    <x v="0"/>
    <x v="0"/>
    <x v="0"/>
    <m/>
    <s v="29000799"/>
    <s v="172"/>
    <d v="2013-08-31T00:00:00"/>
    <s v="8"/>
    <s v="2013"/>
    <n v="4410"/>
    <s v="USD"/>
    <x v="5"/>
    <s v="C"/>
    <d v="2013-08-31T00:00:00"/>
    <s v="           4,410.00-"/>
    <m/>
    <s v="CR04"/>
  </r>
  <r>
    <s v="selected"/>
    <s v="US5C100011"/>
    <x v="0"/>
    <x v="0"/>
    <x v="0"/>
    <m/>
    <s v="29000799"/>
    <s v="173"/>
    <d v="2013-08-31T00:00:00"/>
    <s v="8"/>
    <s v="2013"/>
    <n v="12.84"/>
    <s v="USD"/>
    <x v="5"/>
    <s v="C"/>
    <d v="2013-08-31T00:00:00"/>
    <s v="              12.84-"/>
    <m/>
    <s v="CR04"/>
  </r>
  <r>
    <s v="selected"/>
    <s v="US5C100011"/>
    <x v="0"/>
    <x v="0"/>
    <x v="0"/>
    <m/>
    <s v="29000799"/>
    <s v="174"/>
    <d v="2013-08-31T00:00:00"/>
    <s v="8"/>
    <s v="2013"/>
    <n v="49.61"/>
    <s v="USD"/>
    <x v="5"/>
    <s v="C"/>
    <d v="2013-08-31T00:00:00"/>
    <s v="              49.61-"/>
    <m/>
    <s v="CR04"/>
  </r>
  <r>
    <s v="selected"/>
    <s v="US5C100011"/>
    <x v="0"/>
    <x v="0"/>
    <x v="0"/>
    <m/>
    <s v="29000799"/>
    <s v="175"/>
    <d v="2013-08-31T00:00:00"/>
    <s v="8"/>
    <s v="2013"/>
    <n v="1904.5"/>
    <s v="USD"/>
    <x v="5"/>
    <s v="C"/>
    <d v="2013-08-31T00:00:00"/>
    <s v="           1,904.50-"/>
    <m/>
    <s v="CR04"/>
  </r>
  <r>
    <s v="selected"/>
    <s v="US5C100011"/>
    <x v="0"/>
    <x v="0"/>
    <x v="0"/>
    <m/>
    <s v="29000799"/>
    <s v="176"/>
    <d v="2013-08-31T00:00:00"/>
    <s v="8"/>
    <s v="2013"/>
    <n v="24.98"/>
    <s v="USD"/>
    <x v="5"/>
    <s v="C"/>
    <d v="2013-08-31T00:00:00"/>
    <s v="              24.98-"/>
    <m/>
    <s v="CR04"/>
  </r>
  <r>
    <s v="selected"/>
    <s v="US5C100011"/>
    <x v="0"/>
    <x v="0"/>
    <x v="0"/>
    <m/>
    <s v="29000799"/>
    <s v="177"/>
    <d v="2013-08-31T00:00:00"/>
    <s v="8"/>
    <s v="2013"/>
    <n v="14.03"/>
    <s v="USD"/>
    <x v="5"/>
    <s v="C"/>
    <d v="2013-08-31T00:00:00"/>
    <s v="              14.03-"/>
    <m/>
    <s v="CR04"/>
  </r>
  <r>
    <s v="selected"/>
    <s v="US5C100011"/>
    <x v="0"/>
    <x v="0"/>
    <x v="0"/>
    <m/>
    <s v="29000799"/>
    <s v="178"/>
    <d v="2013-08-31T00:00:00"/>
    <s v="8"/>
    <s v="2013"/>
    <n v="1035"/>
    <s v="USD"/>
    <x v="5"/>
    <s v="C"/>
    <d v="2013-08-31T00:00:00"/>
    <s v="           1,035.00-"/>
    <m/>
    <s v="CR04"/>
  </r>
  <r>
    <s v="selected"/>
    <s v="US5C100011"/>
    <x v="0"/>
    <x v="0"/>
    <x v="0"/>
    <m/>
    <s v="29000799"/>
    <s v="179"/>
    <d v="2013-08-31T00:00:00"/>
    <s v="8"/>
    <s v="2013"/>
    <n v="1.25"/>
    <s v="USD"/>
    <x v="5"/>
    <s v="C"/>
    <d v="2013-08-31T00:00:00"/>
    <s v="               1.25-"/>
    <m/>
    <s v="CR04"/>
  </r>
  <r>
    <s v="selected"/>
    <s v="US5C100011"/>
    <x v="0"/>
    <x v="0"/>
    <x v="0"/>
    <m/>
    <s v="29000799"/>
    <s v="180"/>
    <d v="2013-08-31T00:00:00"/>
    <s v="8"/>
    <s v="2013"/>
    <n v="0.1"/>
    <s v="USD"/>
    <x v="5"/>
    <s v="C"/>
    <d v="2013-08-31T00:00:00"/>
    <s v="               0.10-"/>
    <m/>
    <s v="CR04"/>
  </r>
  <r>
    <s v="selected"/>
    <s v="US5C100011"/>
    <x v="0"/>
    <x v="0"/>
    <x v="0"/>
    <m/>
    <s v="29000799"/>
    <s v="181"/>
    <d v="2013-08-31T00:00:00"/>
    <s v="8"/>
    <s v="2013"/>
    <n v="1.38"/>
    <s v="USD"/>
    <x v="5"/>
    <s v="C"/>
    <d v="2013-08-31T00:00:00"/>
    <s v="               1.38-"/>
    <m/>
    <s v="CR04"/>
  </r>
  <r>
    <s v="selected"/>
    <s v="US5C100011"/>
    <x v="0"/>
    <x v="0"/>
    <x v="0"/>
    <m/>
    <s v="29000799"/>
    <s v="182"/>
    <d v="2013-08-31T00:00:00"/>
    <s v="8"/>
    <s v="2013"/>
    <n v="1"/>
    <s v="USD"/>
    <x v="5"/>
    <s v="C"/>
    <d v="2013-08-31T00:00:00"/>
    <s v="               1.00-"/>
    <m/>
    <s v="CR04"/>
  </r>
  <r>
    <s v="selected"/>
    <s v="US5C100011"/>
    <x v="0"/>
    <x v="0"/>
    <x v="0"/>
    <m/>
    <s v="29000799"/>
    <s v="183"/>
    <d v="2013-08-31T00:00:00"/>
    <s v="8"/>
    <s v="2013"/>
    <n v="0.25"/>
    <s v="USD"/>
    <x v="5"/>
    <s v="C"/>
    <d v="2013-08-31T00:00:00"/>
    <s v="               0.25-"/>
    <m/>
    <s v="CR04"/>
  </r>
  <r>
    <s v="selected"/>
    <s v="US5C100011"/>
    <x v="0"/>
    <x v="0"/>
    <x v="0"/>
    <m/>
    <s v="29000799"/>
    <s v="108"/>
    <d v="2013-08-31T00:00:00"/>
    <s v="8"/>
    <s v="2013"/>
    <n v="8607.9500000000007"/>
    <s v="USD"/>
    <x v="1"/>
    <s v="C"/>
    <d v="2013-08-31T00:00:00"/>
    <s v="           8,607.95-"/>
    <m/>
    <s v="CR04"/>
  </r>
  <r>
    <s v="selected"/>
    <s v="US5C100011"/>
    <x v="0"/>
    <x v="0"/>
    <x v="0"/>
    <m/>
    <s v="29000799"/>
    <s v="153"/>
    <d v="2013-08-31T00:00:00"/>
    <s v="8"/>
    <s v="2013"/>
    <n v="-2.29"/>
    <s v="USD"/>
    <x v="4"/>
    <s v="C"/>
    <d v="2013-08-31T00:00:00"/>
    <s v="               2.29"/>
    <m/>
    <s v="CR04"/>
  </r>
  <r>
    <s v="selected"/>
    <s v="US5C100011"/>
    <x v="0"/>
    <x v="0"/>
    <x v="0"/>
    <m/>
    <s v="29000799"/>
    <s v="151"/>
    <d v="2013-08-31T00:00:00"/>
    <s v="8"/>
    <s v="2013"/>
    <n v="-7.46"/>
    <s v="USD"/>
    <x v="4"/>
    <s v="C"/>
    <d v="2013-08-31T00:00:00"/>
    <s v="               7.46"/>
    <m/>
    <s v="CR04"/>
  </r>
  <r>
    <s v="selected"/>
    <s v="US5C100011"/>
    <x v="0"/>
    <x v="0"/>
    <x v="0"/>
    <m/>
    <s v="29000799"/>
    <s v="152"/>
    <d v="2013-08-31T00:00:00"/>
    <s v="8"/>
    <s v="2013"/>
    <n v="-4.9800000000000004"/>
    <s v="USD"/>
    <x v="4"/>
    <s v="C"/>
    <d v="2013-08-31T00:00:00"/>
    <s v="               4.98"/>
    <m/>
    <s v="CR04"/>
  </r>
  <r>
    <s v="selected"/>
    <s v="US5C100011"/>
    <x v="0"/>
    <x v="0"/>
    <x v="0"/>
    <m/>
    <s v="29000799"/>
    <s v="90"/>
    <d v="2013-08-31T00:00:00"/>
    <s v="8"/>
    <s v="2013"/>
    <n v="1640"/>
    <s v="USD"/>
    <x v="6"/>
    <s v="C"/>
    <d v="2013-08-31T00:00:00"/>
    <s v="           1,640.00-"/>
    <m/>
    <s v="CR04"/>
  </r>
  <r>
    <s v="selected"/>
    <s v="US5C100011"/>
    <x v="0"/>
    <x v="0"/>
    <x v="0"/>
    <m/>
    <s v="29000799"/>
    <s v="91"/>
    <d v="2013-08-31T00:00:00"/>
    <s v="8"/>
    <s v="2013"/>
    <n v="1755.12"/>
    <s v="USD"/>
    <x v="6"/>
    <s v="C"/>
    <d v="2013-08-31T00:00:00"/>
    <s v="           1,755.12-"/>
    <m/>
    <s v="CR04"/>
  </r>
  <r>
    <s v="selected"/>
    <s v="US5C100011"/>
    <x v="0"/>
    <x v="0"/>
    <x v="0"/>
    <m/>
    <s v="29000799"/>
    <s v="92"/>
    <d v="2013-08-31T00:00:00"/>
    <s v="8"/>
    <s v="2013"/>
    <n v="-7632.8"/>
    <s v="USD"/>
    <x v="6"/>
    <s v="C"/>
    <d v="2013-08-31T00:00:00"/>
    <s v="           7,632.80"/>
    <m/>
    <s v="CR04"/>
  </r>
  <r>
    <s v="selected"/>
    <s v="US5C100011"/>
    <x v="0"/>
    <x v="0"/>
    <x v="0"/>
    <m/>
    <s v="29000799"/>
    <s v="93"/>
    <d v="2013-08-31T00:00:00"/>
    <s v="8"/>
    <s v="2013"/>
    <n v="-4055.77"/>
    <s v="USD"/>
    <x v="6"/>
    <s v="C"/>
    <d v="2013-08-31T00:00:00"/>
    <s v="           4,055.77"/>
    <m/>
    <s v="CR04"/>
  </r>
  <r>
    <s v="selected"/>
    <s v="US5C100011"/>
    <x v="0"/>
    <x v="0"/>
    <x v="0"/>
    <m/>
    <s v="29000799"/>
    <s v="94"/>
    <d v="2013-08-31T00:00:00"/>
    <s v="8"/>
    <s v="2013"/>
    <n v="60"/>
    <s v="USD"/>
    <x v="6"/>
    <s v="C"/>
    <d v="2013-08-31T00:00:00"/>
    <s v="              60.00-"/>
    <m/>
    <s v="CR04"/>
  </r>
  <r>
    <s v="selected"/>
    <s v="US5C100011"/>
    <x v="0"/>
    <x v="0"/>
    <x v="0"/>
    <m/>
    <s v="29000799"/>
    <s v="95"/>
    <d v="2013-08-31T00:00:00"/>
    <s v="8"/>
    <s v="2013"/>
    <n v="15713.07"/>
    <s v="USD"/>
    <x v="6"/>
    <s v="C"/>
    <d v="2013-08-31T00:00:00"/>
    <s v="          15,713.07-"/>
    <m/>
    <s v="CR04"/>
  </r>
  <r>
    <s v="selected"/>
    <s v="US5C100011"/>
    <x v="0"/>
    <x v="0"/>
    <x v="0"/>
    <m/>
    <s v="29000799"/>
    <s v="96"/>
    <d v="2013-08-31T00:00:00"/>
    <s v="8"/>
    <s v="2013"/>
    <n v="22001.95"/>
    <s v="USD"/>
    <x v="6"/>
    <s v="C"/>
    <d v="2013-08-31T00:00:00"/>
    <s v="          22,001.95-"/>
    <m/>
    <s v="CR04"/>
  </r>
  <r>
    <s v="selected"/>
    <s v="US5C100011"/>
    <x v="0"/>
    <x v="0"/>
    <x v="0"/>
    <m/>
    <s v="29000799"/>
    <s v="97"/>
    <d v="2013-08-31T00:00:00"/>
    <s v="8"/>
    <s v="2013"/>
    <n v="-6744.98"/>
    <s v="USD"/>
    <x v="6"/>
    <s v="C"/>
    <d v="2013-08-31T00:00:00"/>
    <s v="           6,744.98"/>
    <m/>
    <s v="CR04"/>
  </r>
  <r>
    <s v="selected"/>
    <s v="US5C100011"/>
    <x v="0"/>
    <x v="0"/>
    <x v="0"/>
    <m/>
    <s v="29000799"/>
    <s v="98"/>
    <d v="2013-08-31T00:00:00"/>
    <s v="8"/>
    <s v="2013"/>
    <n v="0.25"/>
    <s v="USD"/>
    <x v="6"/>
    <s v="C"/>
    <d v="2013-08-31T00:00:00"/>
    <s v="               0.25-"/>
    <m/>
    <s v="CR04"/>
  </r>
  <r>
    <s v="selected"/>
    <s v="US5C100011"/>
    <x v="0"/>
    <x v="0"/>
    <x v="0"/>
    <m/>
    <s v="29000799"/>
    <s v="39"/>
    <d v="2013-08-31T00:00:00"/>
    <s v="8"/>
    <s v="2013"/>
    <n v="-12"/>
    <s v="USD"/>
    <x v="3"/>
    <s v="C"/>
    <d v="2013-08-31T00:00:00"/>
    <s v="              12.00"/>
    <m/>
    <s v="CR04"/>
  </r>
  <r>
    <s v="selected"/>
    <s v="US5C100011"/>
    <x v="0"/>
    <x v="0"/>
    <x v="0"/>
    <m/>
    <s v="29000799"/>
    <s v="38"/>
    <d v="2013-08-31T00:00:00"/>
    <s v="8"/>
    <s v="2013"/>
    <n v="-59.24"/>
    <s v="USD"/>
    <x v="3"/>
    <s v="C"/>
    <d v="2013-08-31T00:00:00"/>
    <s v="              59.24"/>
    <m/>
    <s v="CR04"/>
  </r>
  <r>
    <s v="selected"/>
    <s v="US5C100011"/>
    <x v="0"/>
    <x v="0"/>
    <x v="0"/>
    <m/>
    <s v="29000799"/>
    <s v="37"/>
    <d v="2013-08-31T00:00:00"/>
    <s v="8"/>
    <s v="2013"/>
    <n v="-111925.75"/>
    <s v="USD"/>
    <x v="3"/>
    <s v="C"/>
    <d v="2013-08-31T00:00:00"/>
    <s v="         111,925.75"/>
    <s v="970,013 Units"/>
    <s v="CR04"/>
  </r>
  <r>
    <s v="selected"/>
    <s v="US5C100011"/>
    <x v="0"/>
    <x v="0"/>
    <x v="0"/>
    <m/>
    <s v="29000799"/>
    <s v="76"/>
    <d v="2013-08-31T00:00:00"/>
    <s v="8"/>
    <s v="2013"/>
    <n v="60724.18"/>
    <s v="USD"/>
    <x v="7"/>
    <s v="C"/>
    <d v="2013-08-31T00:00:00"/>
    <s v="          60,724.18-"/>
    <m/>
    <s v="CR04"/>
  </r>
  <r>
    <s v="selected"/>
    <s v="US5C100011"/>
    <x v="0"/>
    <x v="0"/>
    <x v="0"/>
    <m/>
    <s v="29000799"/>
    <s v="77"/>
    <d v="2013-08-31T00:00:00"/>
    <s v="8"/>
    <s v="2013"/>
    <n v="28.6"/>
    <s v="USD"/>
    <x v="7"/>
    <s v="C"/>
    <d v="2013-08-31T00:00:00"/>
    <s v="              28.60-"/>
    <m/>
    <s v="CR04"/>
  </r>
  <r>
    <s v="selected"/>
    <s v="US5C100011"/>
    <x v="0"/>
    <x v="0"/>
    <x v="0"/>
    <m/>
    <s v="29000799"/>
    <s v="78"/>
    <d v="2013-08-31T00:00:00"/>
    <s v="8"/>
    <s v="2013"/>
    <n v="3.3"/>
    <s v="USD"/>
    <x v="7"/>
    <s v="C"/>
    <d v="2013-08-31T00:00:00"/>
    <s v="               3.30-"/>
    <m/>
    <s v="CR04"/>
  </r>
  <r>
    <s v="selected"/>
    <s v="US5C100011"/>
    <x v="0"/>
    <x v="0"/>
    <x v="0"/>
    <m/>
    <s v="29000799"/>
    <s v="79"/>
    <d v="2013-08-31T00:00:00"/>
    <s v="8"/>
    <s v="2013"/>
    <n v="1152.1500000000001"/>
    <s v="USD"/>
    <x v="0"/>
    <s v="C"/>
    <d v="2013-08-31T00:00:00"/>
    <s v="           1,152.15-"/>
    <m/>
    <s v="CR04"/>
  </r>
  <r>
    <s v="selected"/>
    <s v="US5C100011"/>
    <x v="0"/>
    <x v="0"/>
    <x v="0"/>
    <m/>
    <s v="29000799"/>
    <s v="80"/>
    <d v="2013-08-31T00:00:00"/>
    <s v="8"/>
    <s v="2013"/>
    <n v="12102.59"/>
    <s v="USD"/>
    <x v="0"/>
    <s v="C"/>
    <d v="2013-08-31T00:00:00"/>
    <s v="          12,102.59-"/>
    <m/>
    <s v="CR04"/>
  </r>
  <r>
    <s v="selected"/>
    <s v="US5C100011"/>
    <x v="0"/>
    <x v="0"/>
    <x v="0"/>
    <m/>
    <s v="29000799"/>
    <s v="81"/>
    <d v="2013-08-31T00:00:00"/>
    <s v="8"/>
    <s v="2013"/>
    <n v="1972.65"/>
    <s v="USD"/>
    <x v="0"/>
    <s v="C"/>
    <d v="2013-08-31T00:00:00"/>
    <s v="           1,972.65-"/>
    <m/>
    <s v="CR04"/>
  </r>
  <r>
    <s v="selected"/>
    <s v="US5C100011"/>
    <x v="0"/>
    <x v="0"/>
    <x v="0"/>
    <m/>
    <s v="29000799"/>
    <s v="52"/>
    <d v="2013-08-31T00:00:00"/>
    <s v="8"/>
    <s v="2013"/>
    <n v="-9.1"/>
    <s v="USD"/>
    <x v="8"/>
    <s v="C"/>
    <d v="2013-08-31T00:00:00"/>
    <s v="               9.10"/>
    <m/>
    <s v="CR04"/>
  </r>
  <r>
    <s v="selected"/>
    <s v="US5C100011"/>
    <x v="0"/>
    <x v="0"/>
    <x v="0"/>
    <m/>
    <s v="29000799"/>
    <s v="73"/>
    <d v="2013-08-31T00:00:00"/>
    <s v="8"/>
    <s v="2013"/>
    <n v="-22.98"/>
    <s v="USD"/>
    <x v="8"/>
    <s v="C"/>
    <d v="2013-08-31T00:00:00"/>
    <s v="              22.98"/>
    <m/>
    <s v="CR04"/>
  </r>
  <r>
    <s v="selected"/>
    <s v="US5C100011"/>
    <x v="0"/>
    <x v="0"/>
    <x v="0"/>
    <m/>
    <s v="29000799"/>
    <s v="72"/>
    <d v="2013-08-31T00:00:00"/>
    <s v="8"/>
    <s v="2013"/>
    <n v="-15.32"/>
    <s v="USD"/>
    <x v="8"/>
    <s v="C"/>
    <d v="2013-08-31T00:00:00"/>
    <s v="              15.32"/>
    <m/>
    <s v="CR04"/>
  </r>
  <r>
    <s v="selected"/>
    <s v="US5C100011"/>
    <x v="0"/>
    <x v="0"/>
    <x v="0"/>
    <m/>
    <s v="29000799"/>
    <s v="114"/>
    <d v="2013-08-31T00:00:00"/>
    <s v="8"/>
    <s v="2013"/>
    <n v="0.73"/>
    <s v="USD"/>
    <x v="4"/>
    <s v="C"/>
    <d v="2013-08-31T00:00:00"/>
    <s v="               0.73-"/>
    <m/>
    <s v="CR04"/>
  </r>
  <r>
    <s v="selected"/>
    <s v="US5C100011"/>
    <x v="0"/>
    <x v="0"/>
    <x v="0"/>
    <m/>
    <s v="29000799"/>
    <s v="115"/>
    <d v="2013-08-31T00:00:00"/>
    <s v="8"/>
    <s v="2013"/>
    <n v="1.38"/>
    <s v="USD"/>
    <x v="4"/>
    <s v="C"/>
    <d v="2013-08-31T00:00:00"/>
    <s v="               1.38-"/>
    <m/>
    <s v="CR04"/>
  </r>
  <r>
    <s v="selected"/>
    <s v="US5C100011"/>
    <x v="0"/>
    <x v="0"/>
    <x v="0"/>
    <m/>
    <s v="29000799"/>
    <s v="71"/>
    <d v="2013-08-31T00:00:00"/>
    <s v="8"/>
    <s v="2013"/>
    <n v="-12.42"/>
    <s v="USD"/>
    <x v="8"/>
    <s v="C"/>
    <d v="2013-08-31T00:00:00"/>
    <s v="              12.42"/>
    <m/>
    <s v="CR04"/>
  </r>
  <r>
    <s v="selected"/>
    <s v="US5C100011"/>
    <x v="0"/>
    <x v="0"/>
    <x v="0"/>
    <m/>
    <s v="29000799"/>
    <s v="116"/>
    <d v="2013-08-31T00:00:00"/>
    <s v="8"/>
    <s v="2013"/>
    <n v="0.37"/>
    <s v="USD"/>
    <x v="4"/>
    <s v="C"/>
    <d v="2013-08-31T00:00:00"/>
    <s v="               0.37-"/>
    <m/>
    <s v="CR04"/>
  </r>
  <r>
    <s v="selected"/>
    <s v="US5C100011"/>
    <x v="0"/>
    <x v="0"/>
    <x v="0"/>
    <m/>
    <s v="29000799"/>
    <s v="70"/>
    <d v="2013-08-31T00:00:00"/>
    <s v="8"/>
    <s v="2013"/>
    <n v="-5.23"/>
    <s v="USD"/>
    <x v="8"/>
    <s v="C"/>
    <d v="2013-08-31T00:00:00"/>
    <s v="               5.23"/>
    <m/>
    <s v="CR04"/>
  </r>
  <r>
    <s v="selected"/>
    <s v="US5C100011"/>
    <x v="0"/>
    <x v="0"/>
    <x v="0"/>
    <m/>
    <s v="29000799"/>
    <s v="150"/>
    <d v="2013-08-31T00:00:00"/>
    <s v="8"/>
    <s v="2013"/>
    <n v="-19.52"/>
    <s v="USD"/>
    <x v="4"/>
    <s v="C"/>
    <d v="2013-08-31T00:00:00"/>
    <s v="              19.52"/>
    <m/>
    <s v="CR04"/>
  </r>
  <r>
    <s v="selected"/>
    <s v="US5C100011"/>
    <x v="0"/>
    <x v="0"/>
    <x v="0"/>
    <m/>
    <s v="29000799"/>
    <s v="69"/>
    <d v="2013-08-31T00:00:00"/>
    <s v="8"/>
    <s v="2013"/>
    <n v="-20481.93"/>
    <s v="USD"/>
    <x v="8"/>
    <s v="C"/>
    <d v="2013-08-31T00:00:00"/>
    <s v="          20,481.93"/>
    <m/>
    <s v="CR04"/>
  </r>
  <r>
    <s v="selected"/>
    <s v="US5C100011"/>
    <x v="0"/>
    <x v="0"/>
    <x v="0"/>
    <m/>
    <s v="29000799"/>
    <s v="68"/>
    <d v="2013-08-31T00:00:00"/>
    <s v="8"/>
    <s v="2013"/>
    <n v="-7806.4"/>
    <s v="USD"/>
    <x v="8"/>
    <s v="C"/>
    <d v="2013-08-31T00:00:00"/>
    <s v="           7,806.40"/>
    <m/>
    <s v="CR04"/>
  </r>
  <r>
    <s v="selected"/>
    <s v="US5C100011"/>
    <x v="0"/>
    <x v="0"/>
    <x v="0"/>
    <m/>
    <s v="29000799"/>
    <s v="168"/>
    <d v="2013-08-31T00:00:00"/>
    <s v="8"/>
    <s v="2013"/>
    <n v="7.0000000000000007E-2"/>
    <s v="USD"/>
    <x v="4"/>
    <s v="C"/>
    <d v="2013-08-31T00:00:00"/>
    <s v="               0.07-"/>
    <m/>
    <s v="CR04"/>
  </r>
  <r>
    <s v="selected"/>
    <s v="US5C100011"/>
    <x v="0"/>
    <x v="0"/>
    <x v="0"/>
    <m/>
    <s v="29000799"/>
    <s v="167"/>
    <d v="2013-08-31T00:00:00"/>
    <s v="8"/>
    <s v="2013"/>
    <n v="14.73"/>
    <s v="USD"/>
    <x v="4"/>
    <s v="C"/>
    <d v="2013-08-31T00:00:00"/>
    <s v="              14.73-"/>
    <m/>
    <s v="CR04"/>
  </r>
  <r>
    <s v="selected"/>
    <s v="US5C100011"/>
    <x v="0"/>
    <x v="0"/>
    <x v="0"/>
    <m/>
    <s v="29000799"/>
    <s v="166"/>
    <d v="2013-08-31T00:00:00"/>
    <s v="8"/>
    <s v="2013"/>
    <n v="14.48"/>
    <s v="USD"/>
    <x v="4"/>
    <s v="C"/>
    <d v="2013-08-31T00:00:00"/>
    <s v="              14.48-"/>
    <m/>
    <s v="CR04"/>
  </r>
  <r>
    <s v="selected"/>
    <s v="US5C100011"/>
    <x v="0"/>
    <x v="0"/>
    <x v="0"/>
    <m/>
    <s v="29000799"/>
    <s v="165"/>
    <d v="2013-08-31T00:00:00"/>
    <s v="8"/>
    <s v="2013"/>
    <n v="-0.02"/>
    <s v="USD"/>
    <x v="4"/>
    <s v="C"/>
    <d v="2013-08-31T00:00:00"/>
    <s v="               0.02"/>
    <m/>
    <s v="CR04"/>
  </r>
  <r>
    <s v="selected"/>
    <s v="US5C100011"/>
    <x v="0"/>
    <x v="0"/>
    <x v="0"/>
    <m/>
    <s v="29000799"/>
    <s v="164"/>
    <d v="2013-08-31T00:00:00"/>
    <s v="8"/>
    <s v="2013"/>
    <n v="-0.03"/>
    <s v="USD"/>
    <x v="4"/>
    <s v="C"/>
    <d v="2013-08-31T00:00:00"/>
    <s v="               0.03"/>
    <m/>
    <s v="CR04"/>
  </r>
  <r>
    <s v="selected"/>
    <s v="US5C100011"/>
    <x v="0"/>
    <x v="0"/>
    <x v="0"/>
    <m/>
    <s v="29000799"/>
    <s v="163"/>
    <d v="2013-08-31T00:00:00"/>
    <s v="8"/>
    <s v="2013"/>
    <n v="-0.01"/>
    <s v="USD"/>
    <x v="4"/>
    <s v="C"/>
    <d v="2013-08-31T00:00:00"/>
    <s v="               0.01"/>
    <m/>
    <s v="CR04"/>
  </r>
  <r>
    <s v="selected"/>
    <s v="US5C100011"/>
    <x v="0"/>
    <x v="0"/>
    <x v="0"/>
    <m/>
    <s v="29000799"/>
    <s v="67"/>
    <d v="2013-08-31T00:00:00"/>
    <s v="8"/>
    <s v="2013"/>
    <n v="-2983.39"/>
    <s v="USD"/>
    <x v="8"/>
    <s v="C"/>
    <d v="2013-08-31T00:00:00"/>
    <s v="           2,983.39"/>
    <m/>
    <s v="CR04"/>
  </r>
  <r>
    <s v="selected"/>
    <s v="US5C100011"/>
    <x v="0"/>
    <x v="0"/>
    <x v="0"/>
    <m/>
    <s v="29000799"/>
    <s v="66"/>
    <d v="2013-08-31T00:00:00"/>
    <s v="8"/>
    <s v="2013"/>
    <n v="-1993.4"/>
    <s v="USD"/>
    <x v="8"/>
    <s v="C"/>
    <d v="2013-08-31T00:00:00"/>
    <s v="           1,993.40"/>
    <m/>
    <s v="CR04"/>
  </r>
  <r>
    <s v="selected"/>
    <s v="US5C100011"/>
    <x v="0"/>
    <x v="0"/>
    <x v="0"/>
    <m/>
    <s v="29000799"/>
    <s v="65"/>
    <d v="2013-08-31T00:00:00"/>
    <s v="8"/>
    <s v="2013"/>
    <n v="-916.08"/>
    <s v="USD"/>
    <x v="8"/>
    <s v="C"/>
    <d v="2013-08-31T00:00:00"/>
    <s v="             916.08"/>
    <m/>
    <s v="CR04"/>
  </r>
  <r>
    <s v="selected"/>
    <s v="US5C100011"/>
    <x v="0"/>
    <x v="0"/>
    <x v="0"/>
    <m/>
    <s v="29000799"/>
    <s v="64"/>
    <d v="2013-08-31T00:00:00"/>
    <s v="8"/>
    <s v="2013"/>
    <n v="-647.6"/>
    <s v="USD"/>
    <x v="8"/>
    <s v="C"/>
    <d v="2013-08-31T00:00:00"/>
    <s v="             647.60"/>
    <m/>
    <s v="CR04"/>
  </r>
  <r>
    <s v="selected"/>
    <s v="US5C100011"/>
    <x v="0"/>
    <x v="0"/>
    <x v="0"/>
    <m/>
    <s v="29000799"/>
    <s v="63"/>
    <d v="2013-08-31T00:00:00"/>
    <s v="8"/>
    <s v="2013"/>
    <n v="-165.41"/>
    <s v="USD"/>
    <x v="8"/>
    <s v="C"/>
    <d v="2013-08-31T00:00:00"/>
    <s v="             165.41"/>
    <m/>
    <s v="CR04"/>
  </r>
  <r>
    <s v="selected"/>
    <s v="US5C100011"/>
    <x v="0"/>
    <x v="0"/>
    <x v="0"/>
    <m/>
    <s v="29000799"/>
    <s v="62"/>
    <d v="2013-08-31T00:00:00"/>
    <s v="8"/>
    <s v="2013"/>
    <n v="-245.49"/>
    <s v="USD"/>
    <x v="8"/>
    <s v="C"/>
    <d v="2013-08-31T00:00:00"/>
    <s v="             245.49"/>
    <m/>
    <s v="CR04"/>
  </r>
  <r>
    <s v="selected"/>
    <s v="US5C100011"/>
    <x v="0"/>
    <x v="0"/>
    <x v="0"/>
    <m/>
    <s v="29000799"/>
    <s v="61"/>
    <d v="2013-08-31T00:00:00"/>
    <s v="8"/>
    <s v="2013"/>
    <n v="-12.23"/>
    <s v="USD"/>
    <x v="8"/>
    <s v="C"/>
    <d v="2013-08-31T00:00:00"/>
    <s v="              12.23"/>
    <m/>
    <s v="CR04"/>
  </r>
  <r>
    <s v="selected"/>
    <s v="US5C100011"/>
    <x v="0"/>
    <x v="0"/>
    <x v="0"/>
    <m/>
    <s v="29000799"/>
    <s v="60"/>
    <d v="2013-08-31T00:00:00"/>
    <s v="8"/>
    <s v="2013"/>
    <n v="-241.32"/>
    <s v="USD"/>
    <x v="8"/>
    <s v="C"/>
    <d v="2013-08-31T00:00:00"/>
    <s v="             241.32"/>
    <m/>
    <s v="CR04"/>
  </r>
  <r>
    <s v="selected"/>
    <s v="US5C100011"/>
    <x v="0"/>
    <x v="0"/>
    <x v="0"/>
    <m/>
    <s v="29000799"/>
    <s v="59"/>
    <d v="2013-08-31T00:00:00"/>
    <s v="8"/>
    <s v="2013"/>
    <n v="-1.17"/>
    <s v="USD"/>
    <x v="8"/>
    <s v="C"/>
    <d v="2013-08-31T00:00:00"/>
    <s v="               1.17"/>
    <m/>
    <s v="CR04"/>
  </r>
  <r>
    <s v="selected"/>
    <s v="US5C100011"/>
    <x v="0"/>
    <x v="0"/>
    <x v="0"/>
    <m/>
    <s v="29000799"/>
    <s v="58"/>
    <d v="2013-08-31T00:00:00"/>
    <s v="8"/>
    <s v="2013"/>
    <n v="-1215.6099999999999"/>
    <s v="USD"/>
    <x v="8"/>
    <s v="C"/>
    <d v="2013-08-31T00:00:00"/>
    <s v="           1,215.61"/>
    <m/>
    <s v="CR04"/>
  </r>
  <r>
    <s v="selected"/>
    <s v="US5C100011"/>
    <x v="0"/>
    <x v="0"/>
    <x v="0"/>
    <m/>
    <s v="29000799"/>
    <s v="57"/>
    <d v="2013-08-31T00:00:00"/>
    <s v="8"/>
    <s v="2013"/>
    <n v="-1625.58"/>
    <s v="USD"/>
    <x v="8"/>
    <s v="C"/>
    <d v="2013-08-31T00:00:00"/>
    <s v="           1,625.58"/>
    <m/>
    <s v="CR04"/>
  </r>
  <r>
    <s v="selected"/>
    <s v="US5C100011"/>
    <x v="0"/>
    <x v="0"/>
    <x v="0"/>
    <m/>
    <s v="29000799"/>
    <s v="162"/>
    <d v="2013-08-31T00:00:00"/>
    <s v="8"/>
    <s v="2013"/>
    <n v="-0.03"/>
    <s v="USD"/>
    <x v="4"/>
    <s v="C"/>
    <d v="2013-08-31T00:00:00"/>
    <s v="               0.03"/>
    <m/>
    <s v="CR04"/>
  </r>
  <r>
    <s v="selected"/>
    <s v="US5C100011"/>
    <x v="0"/>
    <x v="0"/>
    <x v="0"/>
    <m/>
    <s v="29000799"/>
    <s v="155"/>
    <d v="2013-08-31T00:00:00"/>
    <s v="8"/>
    <s v="2013"/>
    <n v="-0.41"/>
    <s v="USD"/>
    <x v="4"/>
    <s v="C"/>
    <d v="2013-08-31T00:00:00"/>
    <s v="               0.41"/>
    <m/>
    <s v="CR04"/>
  </r>
  <r>
    <s v="selected"/>
    <s v="US5C100011"/>
    <x v="0"/>
    <x v="0"/>
    <x v="0"/>
    <m/>
    <s v="29000799"/>
    <s v="156"/>
    <d v="2013-08-31T00:00:00"/>
    <s v="8"/>
    <s v="2013"/>
    <n v="-0.61"/>
    <s v="USD"/>
    <x v="4"/>
    <s v="C"/>
    <d v="2013-08-31T00:00:00"/>
    <s v="               0.61"/>
    <m/>
    <s v="CR04"/>
  </r>
  <r>
    <s v="selected"/>
    <s v="US5C100011"/>
    <x v="0"/>
    <x v="0"/>
    <x v="0"/>
    <m/>
    <s v="29000799"/>
    <s v="161"/>
    <d v="2013-08-31T00:00:00"/>
    <s v="8"/>
    <s v="2013"/>
    <n v="-0.03"/>
    <s v="USD"/>
    <x v="4"/>
    <s v="C"/>
    <d v="2013-08-31T00:00:00"/>
    <s v="               0.03"/>
    <m/>
    <s v="CR04"/>
  </r>
  <r>
    <s v="selected"/>
    <s v="US5C100011"/>
    <x v="0"/>
    <x v="0"/>
    <x v="0"/>
    <m/>
    <s v="29000799"/>
    <s v="160"/>
    <d v="2013-08-31T00:00:00"/>
    <s v="8"/>
    <s v="2013"/>
    <n v="-3.43"/>
    <s v="USD"/>
    <x v="4"/>
    <s v="C"/>
    <d v="2013-08-31T00:00:00"/>
    <s v="               3.43"/>
    <m/>
    <s v="CR04"/>
  </r>
  <r>
    <s v="selected"/>
    <s v="US5C100011"/>
    <x v="0"/>
    <x v="0"/>
    <x v="0"/>
    <m/>
    <s v="29000799"/>
    <s v="157"/>
    <d v="2013-08-31T00:00:00"/>
    <s v="8"/>
    <s v="2013"/>
    <n v="-0.6"/>
    <s v="USD"/>
    <x v="4"/>
    <s v="C"/>
    <d v="2013-08-31T00:00:00"/>
    <s v="               0.60"/>
    <m/>
    <s v="CR04"/>
  </r>
  <r>
    <s v="selected"/>
    <s v="US5C100011"/>
    <x v="0"/>
    <x v="0"/>
    <x v="0"/>
    <m/>
    <s v="29000799"/>
    <s v="158"/>
    <d v="2013-08-31T00:00:00"/>
    <s v="8"/>
    <s v="2013"/>
    <n v="-3.04"/>
    <s v="USD"/>
    <x v="4"/>
    <s v="C"/>
    <d v="2013-08-31T00:00:00"/>
    <s v="               3.04"/>
    <m/>
    <s v="CR04"/>
  </r>
  <r>
    <s v="selected"/>
    <s v="US5C100011"/>
    <x v="0"/>
    <x v="0"/>
    <x v="0"/>
    <m/>
    <s v="29000799"/>
    <s v="159"/>
    <d v="2013-08-31T00:00:00"/>
    <s v="8"/>
    <s v="2013"/>
    <n v="-4.0599999999999996"/>
    <s v="USD"/>
    <x v="4"/>
    <s v="C"/>
    <d v="2013-08-31T00:00:00"/>
    <s v="               4.06"/>
    <m/>
    <s v="CR04"/>
  </r>
  <r>
    <s v="selected"/>
    <s v="US5C100011"/>
    <x v="0"/>
    <x v="0"/>
    <x v="0"/>
    <m/>
    <s v="29000799"/>
    <s v="53"/>
    <d v="2013-08-31T00:00:00"/>
    <s v="8"/>
    <s v="2013"/>
    <n v="-10.39"/>
    <s v="USD"/>
    <x v="8"/>
    <s v="C"/>
    <d v="2013-08-31T00:00:00"/>
    <s v="              10.39"/>
    <m/>
    <s v="CR04"/>
  </r>
  <r>
    <s v="selected"/>
    <s v="US5C100011"/>
    <x v="0"/>
    <x v="0"/>
    <x v="0"/>
    <m/>
    <s v="29000799"/>
    <s v="54"/>
    <d v="2013-08-31T00:00:00"/>
    <s v="8"/>
    <s v="2013"/>
    <n v="-4.24"/>
    <s v="USD"/>
    <x v="8"/>
    <s v="C"/>
    <d v="2013-08-31T00:00:00"/>
    <s v="               4.24"/>
    <m/>
    <s v="CR04"/>
  </r>
  <r>
    <s v="selected"/>
    <s v="US5C100011"/>
    <x v="0"/>
    <x v="0"/>
    <x v="0"/>
    <m/>
    <s v="29000799"/>
    <s v="55"/>
    <d v="2013-08-31T00:00:00"/>
    <s v="8"/>
    <s v="2013"/>
    <n v="-13.34"/>
    <s v="USD"/>
    <x v="8"/>
    <s v="C"/>
    <d v="2013-08-31T00:00:00"/>
    <s v="              13.34"/>
    <m/>
    <s v="CR04"/>
  </r>
  <r>
    <s v="selected"/>
    <s v="US5C100011"/>
    <x v="0"/>
    <x v="0"/>
    <x v="0"/>
    <m/>
    <s v="29000799"/>
    <s v="56"/>
    <d v="2013-08-31T00:00:00"/>
    <s v="8"/>
    <s v="2013"/>
    <n v="-1370.99"/>
    <s v="USD"/>
    <x v="8"/>
    <s v="C"/>
    <d v="2013-08-31T00:00:00"/>
    <s v="           1,370.99"/>
    <m/>
    <s v="CR04"/>
  </r>
  <r>
    <s v="selected"/>
    <s v="US5C100011"/>
    <x v="0"/>
    <x v="0"/>
    <x v="0"/>
    <m/>
    <s v="29000799"/>
    <s v="110"/>
    <d v="2013-08-31T00:00:00"/>
    <s v="8"/>
    <s v="2013"/>
    <n v="-0.02"/>
    <s v="USD"/>
    <x v="4"/>
    <s v="C"/>
    <d v="2013-08-31T00:00:00"/>
    <s v="               0.02"/>
    <m/>
    <s v="CR04"/>
  </r>
  <r>
    <s v="selected"/>
    <s v="US5C100011"/>
    <x v="0"/>
    <x v="0"/>
    <x v="0"/>
    <m/>
    <s v="29000799"/>
    <s v="109"/>
    <d v="2013-08-31T00:00:00"/>
    <s v="8"/>
    <s v="2013"/>
    <n v="-0.02"/>
    <s v="USD"/>
    <x v="4"/>
    <s v="C"/>
    <d v="2013-08-31T00:00:00"/>
    <s v="               0.02"/>
    <m/>
    <s v="CR04"/>
  </r>
  <r>
    <s v="selected"/>
    <s v="US5C100011"/>
    <x v="0"/>
    <x v="0"/>
    <x v="0"/>
    <m/>
    <s v="29000799"/>
    <s v="49"/>
    <d v="2013-08-31T00:00:00"/>
    <s v="8"/>
    <s v="2013"/>
    <n v="-22.75"/>
    <s v="USD"/>
    <x v="8"/>
    <s v="C"/>
    <d v="2013-08-31T00:00:00"/>
    <s v="              22.75"/>
    <m/>
    <s v="CR04"/>
  </r>
  <r>
    <s v="selected"/>
    <s v="US5C100011"/>
    <x v="0"/>
    <x v="0"/>
    <x v="0"/>
    <m/>
    <s v="29000799"/>
    <s v="101"/>
    <d v="2013-08-31T00:00:00"/>
    <s v="8"/>
    <s v="2013"/>
    <n v="12045"/>
    <s v="USD"/>
    <x v="9"/>
    <s v="C"/>
    <d v="2013-08-31T00:00:00"/>
    <s v="          12,045.00-"/>
    <m/>
    <s v="CR04"/>
  </r>
  <r>
    <s v="selected"/>
    <s v="US5C100011"/>
    <x v="0"/>
    <x v="0"/>
    <x v="0"/>
    <m/>
    <s v="29000799"/>
    <s v="100"/>
    <d v="2013-08-31T00:00:00"/>
    <s v="8"/>
    <s v="2013"/>
    <n v="1557.5"/>
    <s v="USD"/>
    <x v="9"/>
    <s v="C"/>
    <d v="2013-08-31T00:00:00"/>
    <s v="           1,557.50-"/>
    <m/>
    <s v="CR04"/>
  </r>
  <r>
    <s v="selected"/>
    <s v="US5C100011"/>
    <x v="0"/>
    <x v="0"/>
    <x v="0"/>
    <m/>
    <s v="29000799"/>
    <s v="99"/>
    <d v="2013-08-31T00:00:00"/>
    <s v="8"/>
    <s v="2013"/>
    <n v="95"/>
    <s v="USD"/>
    <x v="9"/>
    <s v="C"/>
    <d v="2013-08-31T00:00:00"/>
    <s v="              95.00-"/>
    <m/>
    <s v="CR04"/>
  </r>
  <r>
    <s v="selected"/>
    <s v="US5C100011"/>
    <x v="0"/>
    <x v="0"/>
    <x v="0"/>
    <m/>
    <s v="29000799"/>
    <s v="50"/>
    <d v="2013-08-31T00:00:00"/>
    <s v="8"/>
    <s v="2013"/>
    <n v="-20.13"/>
    <s v="USD"/>
    <x v="8"/>
    <s v="C"/>
    <d v="2013-08-31T00:00:00"/>
    <s v="              20.13"/>
    <m/>
    <s v="CR04"/>
  </r>
  <r>
    <s v="selected"/>
    <s v="US5C100011"/>
    <x v="0"/>
    <x v="0"/>
    <x v="0"/>
    <m/>
    <s v="29000799"/>
    <s v="47"/>
    <d v="2013-08-31T00:00:00"/>
    <s v="8"/>
    <s v="2013"/>
    <n v="-8.19"/>
    <s v="USD"/>
    <x v="8"/>
    <s v="C"/>
    <d v="2013-08-31T00:00:00"/>
    <s v="               8.19"/>
    <m/>
    <s v="CR04"/>
  </r>
  <r>
    <s v="selected"/>
    <s v="US5C100011"/>
    <x v="0"/>
    <x v="0"/>
    <x v="0"/>
    <m/>
    <s v="29000799"/>
    <s v="46"/>
    <d v="2013-08-31T00:00:00"/>
    <s v="8"/>
    <s v="2013"/>
    <n v="-7.28"/>
    <s v="USD"/>
    <x v="8"/>
    <s v="C"/>
    <d v="2013-08-31T00:00:00"/>
    <s v="               7.28"/>
    <m/>
    <s v="CR04"/>
  </r>
  <r>
    <s v="selected"/>
    <s v="US5C100011"/>
    <x v="0"/>
    <x v="0"/>
    <x v="0"/>
    <m/>
    <s v="29000799"/>
    <s v="45"/>
    <d v="2013-08-31T00:00:00"/>
    <s v="8"/>
    <s v="2013"/>
    <n v="0.3"/>
    <s v="USD"/>
    <x v="8"/>
    <s v="C"/>
    <d v="2013-08-31T00:00:00"/>
    <s v="               0.30-"/>
    <m/>
    <s v="CR04"/>
  </r>
  <r>
    <s v="selected"/>
    <s v="US5C100011"/>
    <x v="0"/>
    <x v="0"/>
    <x v="0"/>
    <m/>
    <s v="29000799"/>
    <s v="117"/>
    <d v="2013-08-31T00:00:00"/>
    <s v="8"/>
    <s v="2013"/>
    <n v="1.07"/>
    <s v="USD"/>
    <x v="4"/>
    <s v="C"/>
    <d v="2013-08-31T00:00:00"/>
    <s v="               1.07-"/>
    <m/>
    <s v="CR04"/>
  </r>
  <r>
    <s v="selected"/>
    <s v="US5C100011"/>
    <x v="0"/>
    <x v="0"/>
    <x v="0"/>
    <m/>
    <s v="29000799"/>
    <s v="118"/>
    <d v="2013-08-31T00:00:00"/>
    <s v="8"/>
    <s v="2013"/>
    <n v="0.31"/>
    <s v="USD"/>
    <x v="4"/>
    <s v="C"/>
    <d v="2013-08-31T00:00:00"/>
    <s v="               0.31-"/>
    <m/>
    <s v="CR04"/>
  </r>
  <r>
    <s v="selected"/>
    <s v="US5C100011"/>
    <x v="0"/>
    <x v="0"/>
    <x v="0"/>
    <m/>
    <s v="29000799"/>
    <s v="119"/>
    <d v="2013-08-31T00:00:00"/>
    <s v="8"/>
    <s v="2013"/>
    <n v="0.75"/>
    <s v="USD"/>
    <x v="4"/>
    <s v="C"/>
    <d v="2013-08-31T00:00:00"/>
    <s v="               0.75-"/>
    <m/>
    <s v="CR04"/>
  </r>
  <r>
    <s v="selected"/>
    <s v="US5C100011"/>
    <x v="0"/>
    <x v="0"/>
    <x v="0"/>
    <m/>
    <s v="29000799"/>
    <s v="120"/>
    <d v="2013-08-31T00:00:00"/>
    <s v="8"/>
    <s v="2013"/>
    <n v="0.25"/>
    <s v="USD"/>
    <x v="4"/>
    <s v="C"/>
    <d v="2013-08-31T00:00:00"/>
    <s v="               0.25-"/>
    <m/>
    <s v="CR04"/>
  </r>
  <r>
    <s v="selected"/>
    <s v="US5C100011"/>
    <x v="0"/>
    <x v="0"/>
    <x v="0"/>
    <m/>
    <s v="29000799"/>
    <s v="121"/>
    <d v="2013-08-31T00:00:00"/>
    <s v="8"/>
    <s v="2013"/>
    <n v="82.26"/>
    <s v="USD"/>
    <x v="4"/>
    <s v="C"/>
    <d v="2013-08-31T00:00:00"/>
    <s v="              82.26-"/>
    <m/>
    <s v="CR04"/>
  </r>
  <r>
    <s v="selected"/>
    <s v="US5C100011"/>
    <x v="0"/>
    <x v="0"/>
    <x v="0"/>
    <m/>
    <s v="29000799"/>
    <s v="122"/>
    <d v="2013-08-31T00:00:00"/>
    <s v="8"/>
    <s v="2013"/>
    <n v="1228.92"/>
    <s v="USD"/>
    <x v="4"/>
    <s v="C"/>
    <d v="2013-08-31T00:00:00"/>
    <s v="           1,228.92-"/>
    <m/>
    <s v="CR04"/>
  </r>
  <r>
    <s v="selected"/>
    <s v="US5C100011"/>
    <x v="0"/>
    <x v="0"/>
    <x v="0"/>
    <m/>
    <s v="29000799"/>
    <s v="51"/>
    <d v="2013-08-31T00:00:00"/>
    <s v="8"/>
    <s v="2013"/>
    <n v="-4.8499999999999996"/>
    <s v="USD"/>
    <x v="8"/>
    <s v="C"/>
    <d v="2013-08-31T00:00:00"/>
    <s v="               4.85"/>
    <m/>
    <s v="CR04"/>
  </r>
  <r>
    <s v="selected"/>
    <s v="US5C100011"/>
    <x v="0"/>
    <x v="0"/>
    <x v="0"/>
    <m/>
    <s v="29000799"/>
    <s v="123"/>
    <d v="2013-08-31T00:00:00"/>
    <s v="8"/>
    <s v="2013"/>
    <n v="468.38"/>
    <s v="USD"/>
    <x v="4"/>
    <s v="C"/>
    <d v="2013-08-31T00:00:00"/>
    <s v="             468.38-"/>
    <m/>
    <s v="CR04"/>
  </r>
  <r>
    <s v="selected"/>
    <s v="US5C100011"/>
    <x v="0"/>
    <x v="0"/>
    <x v="0"/>
    <m/>
    <s v="29000799"/>
    <s v="124"/>
    <d v="2013-08-31T00:00:00"/>
    <s v="8"/>
    <s v="2013"/>
    <n v="179"/>
    <s v="USD"/>
    <x v="4"/>
    <s v="C"/>
    <d v="2013-08-31T00:00:00"/>
    <s v="             179.00-"/>
    <m/>
    <s v="CR04"/>
  </r>
  <r>
    <s v="selected"/>
    <s v="US5C100011"/>
    <x v="0"/>
    <x v="0"/>
    <x v="0"/>
    <m/>
    <s v="29000799"/>
    <s v="125"/>
    <d v="2013-08-31T00:00:00"/>
    <s v="8"/>
    <s v="2013"/>
    <n v="119.6"/>
    <s v="USD"/>
    <x v="4"/>
    <s v="C"/>
    <d v="2013-08-31T00:00:00"/>
    <s v="             119.60-"/>
    <m/>
    <s v="CR04"/>
  </r>
  <r>
    <s v="selected"/>
    <s v="US5C100011"/>
    <x v="0"/>
    <x v="0"/>
    <x v="0"/>
    <m/>
    <s v="29000799"/>
    <s v="126"/>
    <d v="2013-08-31T00:00:00"/>
    <s v="8"/>
    <s v="2013"/>
    <n v="54.96"/>
    <s v="USD"/>
    <x v="4"/>
    <s v="C"/>
    <d v="2013-08-31T00:00:00"/>
    <s v="              54.96-"/>
    <m/>
    <s v="CR04"/>
  </r>
  <r>
    <s v="selected"/>
    <s v="US5C100011"/>
    <x v="0"/>
    <x v="0"/>
    <x v="0"/>
    <m/>
    <s v="29000799"/>
    <s v="127"/>
    <d v="2013-08-31T00:00:00"/>
    <s v="8"/>
    <s v="2013"/>
    <n v="38.86"/>
    <s v="USD"/>
    <x v="4"/>
    <s v="C"/>
    <d v="2013-08-31T00:00:00"/>
    <s v="              38.86-"/>
    <m/>
    <s v="CR04"/>
  </r>
  <r>
    <s v="selected"/>
    <s v="US5C100011"/>
    <x v="0"/>
    <x v="0"/>
    <x v="0"/>
    <m/>
    <s v="29000799"/>
    <s v="128"/>
    <d v="2013-08-31T00:00:00"/>
    <s v="8"/>
    <s v="2013"/>
    <n v="97.53"/>
    <s v="USD"/>
    <x v="4"/>
    <s v="C"/>
    <d v="2013-08-31T00:00:00"/>
    <s v="              97.53-"/>
    <m/>
    <s v="CR04"/>
  </r>
  <r>
    <s v="selected"/>
    <s v="US5C100011"/>
    <x v="0"/>
    <x v="0"/>
    <x v="0"/>
    <m/>
    <s v="29000799"/>
    <s v="129"/>
    <d v="2013-08-31T00:00:00"/>
    <s v="8"/>
    <s v="2013"/>
    <n v="9.92"/>
    <s v="USD"/>
    <x v="4"/>
    <s v="C"/>
    <d v="2013-08-31T00:00:00"/>
    <s v="               9.92-"/>
    <m/>
    <s v="CR04"/>
  </r>
  <r>
    <s v="selected"/>
    <s v="US5C100011"/>
    <x v="0"/>
    <x v="0"/>
    <x v="0"/>
    <m/>
    <s v="29000799"/>
    <s v="130"/>
    <d v="2013-08-31T00:00:00"/>
    <s v="8"/>
    <s v="2013"/>
    <n v="-0.01"/>
    <s v="USD"/>
    <x v="4"/>
    <s v="C"/>
    <d v="2013-08-31T00:00:00"/>
    <s v="               0.01"/>
    <m/>
    <s v="CR04"/>
  </r>
  <r>
    <s v="selected"/>
    <s v="US5C100011"/>
    <x v="0"/>
    <x v="0"/>
    <x v="0"/>
    <m/>
    <s v="29000799"/>
    <s v="111"/>
    <d v="2013-08-31T00:00:00"/>
    <s v="8"/>
    <s v="2013"/>
    <n v="72.94"/>
    <s v="USD"/>
    <x v="4"/>
    <s v="C"/>
    <d v="2013-08-31T00:00:00"/>
    <s v="              72.94-"/>
    <m/>
    <s v="CR04"/>
  </r>
  <r>
    <s v="selected"/>
    <s v="US5C100011"/>
    <x v="0"/>
    <x v="0"/>
    <x v="0"/>
    <m/>
    <s v="29000799"/>
    <s v="75"/>
    <d v="2013-08-31T00:00:00"/>
    <s v="8"/>
    <s v="2013"/>
    <n v="-17.899999999999999"/>
    <s v="USD"/>
    <x v="8"/>
    <s v="C"/>
    <d v="2013-08-31T00:00:00"/>
    <s v="              17.90"/>
    <m/>
    <s v="CR04"/>
  </r>
  <r>
    <s v="selected"/>
    <s v="US5C100011"/>
    <x v="0"/>
    <x v="0"/>
    <x v="0"/>
    <m/>
    <s v="29000799"/>
    <s v="112"/>
    <d v="2013-08-31T00:00:00"/>
    <s v="8"/>
    <s v="2013"/>
    <n v="0.92"/>
    <s v="USD"/>
    <x v="4"/>
    <s v="C"/>
    <d v="2013-08-31T00:00:00"/>
    <s v="               0.92-"/>
    <m/>
    <s v="CR04"/>
  </r>
  <r>
    <s v="selected"/>
    <s v="US5C100011"/>
    <x v="0"/>
    <x v="0"/>
    <x v="0"/>
    <m/>
    <s v="29000799"/>
    <s v="113"/>
    <d v="2013-08-31T00:00:00"/>
    <s v="8"/>
    <s v="2013"/>
    <n v="0.8"/>
    <s v="USD"/>
    <x v="4"/>
    <s v="C"/>
    <d v="2013-08-31T00:00:00"/>
    <s v="               0.80-"/>
    <m/>
    <s v="CR04"/>
  </r>
  <r>
    <s v="selected"/>
    <s v="US5C100011"/>
    <x v="0"/>
    <x v="0"/>
    <x v="0"/>
    <m/>
    <s v="29000799"/>
    <s v="48"/>
    <d v="2013-08-31T00:00:00"/>
    <s v="8"/>
    <s v="2013"/>
    <n v="-10.81"/>
    <s v="USD"/>
    <x v="8"/>
    <s v="C"/>
    <d v="2013-08-31T00:00:00"/>
    <s v="              10.81"/>
    <m/>
    <s v="CR04"/>
  </r>
  <r>
    <s v="selected"/>
    <s v="US5C100011"/>
    <x v="0"/>
    <x v="0"/>
    <x v="0"/>
    <m/>
    <s v="29000799"/>
    <s v="74"/>
    <d v="2013-08-31T00:00:00"/>
    <s v="8"/>
    <s v="2013"/>
    <n v="-6.19"/>
    <s v="USD"/>
    <x v="8"/>
    <s v="C"/>
    <d v="2013-08-31T00:00:00"/>
    <s v="               6.19"/>
    <m/>
    <s v="CR04"/>
  </r>
  <r>
    <s v="selected"/>
    <s v="US5C100011"/>
    <x v="0"/>
    <x v="0"/>
    <x v="0"/>
    <m/>
    <s v="29000809"/>
    <s v="4"/>
    <d v="2013-08-31T00:00:00"/>
    <s v="8"/>
    <s v="2013"/>
    <n v="1"/>
    <s v="USD"/>
    <x v="1"/>
    <s v="C"/>
    <d v="2013-08-31T00:00:00"/>
    <s v="               1.00-"/>
    <m/>
    <s v="CR04"/>
  </r>
  <r>
    <s v="selected"/>
    <s v="US5C100011"/>
    <x v="0"/>
    <x v="0"/>
    <x v="0"/>
    <m/>
    <s v="29000809"/>
    <s v="6"/>
    <d v="2013-08-31T00:00:00"/>
    <s v="8"/>
    <s v="2013"/>
    <n v="7.75"/>
    <s v="USD"/>
    <x v="5"/>
    <s v="C"/>
    <d v="2013-08-31T00:00:00"/>
    <s v="               7.75-"/>
    <m/>
    <s v="CR04"/>
  </r>
  <r>
    <s v="selected"/>
    <s v="US5C100011"/>
    <x v="0"/>
    <x v="0"/>
    <x v="0"/>
    <m/>
    <s v="29000809"/>
    <s v="5"/>
    <d v="2013-08-31T00:00:00"/>
    <s v="8"/>
    <s v="2013"/>
    <n v="63.69"/>
    <s v="USD"/>
    <x v="1"/>
    <s v="C"/>
    <d v="2013-08-31T00:00:00"/>
    <s v="              63.69-"/>
    <m/>
    <s v="CR04"/>
  </r>
  <r>
    <s v="selected"/>
    <s v="US5C100011"/>
    <x v="0"/>
    <x v="0"/>
    <x v="0"/>
    <m/>
    <s v="29000809"/>
    <s v="1"/>
    <d v="2013-08-31T00:00:00"/>
    <s v="8"/>
    <s v="2013"/>
    <n v="-764.06"/>
    <s v="USD"/>
    <x v="3"/>
    <s v="C"/>
    <d v="2013-08-31T00:00:00"/>
    <s v="             764.06"/>
    <s v="41 Units"/>
    <s v="CR04"/>
  </r>
  <r>
    <s v="selected"/>
    <s v="US5C100011"/>
    <x v="0"/>
    <x v="0"/>
    <x v="0"/>
    <m/>
    <s v="29000809"/>
    <s v="2"/>
    <d v="2013-08-31T00:00:00"/>
    <s v="8"/>
    <s v="2013"/>
    <n v="309.56"/>
    <s v="USD"/>
    <x v="7"/>
    <s v="C"/>
    <d v="2013-08-31T00:00:00"/>
    <s v="             309.56-"/>
    <m/>
    <s v="CR04"/>
  </r>
  <r>
    <s v="selected"/>
    <s v="US5C100011"/>
    <x v="0"/>
    <x v="0"/>
    <x v="0"/>
    <m/>
    <s v="29000809"/>
    <s v="3"/>
    <d v="2013-08-31T00:00:00"/>
    <s v="8"/>
    <s v="2013"/>
    <n v="35.799999999999997"/>
    <s v="USD"/>
    <x v="0"/>
    <s v="C"/>
    <d v="2013-08-31T00:00:00"/>
    <s v="              35.80-"/>
    <m/>
    <s v="CR04"/>
  </r>
  <r>
    <s v="selected"/>
    <s v="US5C100011"/>
    <x v="0"/>
    <x v="0"/>
    <x v="0"/>
    <m/>
    <s v="29000839"/>
    <s v="5"/>
    <d v="2013-08-31T00:00:00"/>
    <s v="8"/>
    <s v="2013"/>
    <n v="318.20999999999998"/>
    <s v="USD"/>
    <x v="2"/>
    <s v="C"/>
    <d v="2013-08-31T00:00:00"/>
    <s v="             318.21-"/>
    <m/>
    <s v="CR04"/>
  </r>
  <r>
    <s v="selected"/>
    <s v="US5C100011"/>
    <x v="0"/>
    <x v="0"/>
    <x v="0"/>
    <m/>
    <s v="29000839"/>
    <s v="2"/>
    <d v="2013-08-31T00:00:00"/>
    <s v="8"/>
    <s v="2013"/>
    <n v="-1980.5"/>
    <s v="USD"/>
    <x v="3"/>
    <s v="C"/>
    <d v="2013-08-31T00:00:00"/>
    <s v="           1,980.50"/>
    <s v="126 Units"/>
    <s v="CR04"/>
  </r>
  <r>
    <s v="selected"/>
    <s v="US5C100011"/>
    <x v="0"/>
    <x v="0"/>
    <x v="0"/>
    <m/>
    <s v="29000839"/>
    <s v="3"/>
    <d v="2013-08-31T00:00:00"/>
    <s v="8"/>
    <s v="2013"/>
    <n v="986.7"/>
    <s v="USD"/>
    <x v="7"/>
    <s v="C"/>
    <d v="2013-08-31T00:00:00"/>
    <s v="             986.70-"/>
    <m/>
    <s v="CR04"/>
  </r>
  <r>
    <s v="selected"/>
    <s v="US5C100011"/>
    <x v="0"/>
    <x v="0"/>
    <x v="0"/>
    <m/>
    <s v="29000839"/>
    <s v="4"/>
    <d v="2013-08-31T00:00:00"/>
    <s v="8"/>
    <s v="2013"/>
    <n v="162.18"/>
    <s v="USD"/>
    <x v="0"/>
    <s v="C"/>
    <d v="2013-08-31T00:00:00"/>
    <s v="             162.18-"/>
    <m/>
    <s v="CR04"/>
  </r>
  <r>
    <s v="selected"/>
    <s v="US5C100011"/>
    <x v="0"/>
    <x v="0"/>
    <x v="0"/>
    <m/>
    <s v="29000839"/>
    <s v="8"/>
    <d v="2013-08-31T00:00:00"/>
    <s v="8"/>
    <s v="2013"/>
    <n v="34.5"/>
    <s v="USD"/>
    <x v="5"/>
    <s v="C"/>
    <d v="2013-08-31T00:00:00"/>
    <s v="              34.50-"/>
    <m/>
    <s v="CR04"/>
  </r>
  <r>
    <s v="selected"/>
    <s v="US5C100011"/>
    <x v="0"/>
    <x v="0"/>
    <x v="0"/>
    <m/>
    <s v="29000839"/>
    <s v="7"/>
    <d v="2013-08-31T00:00:00"/>
    <s v="8"/>
    <s v="2013"/>
    <n v="21"/>
    <s v="USD"/>
    <x v="1"/>
    <s v="C"/>
    <d v="2013-08-31T00:00:00"/>
    <s v="              21.00-"/>
    <m/>
    <s v="CR04"/>
  </r>
  <r>
    <s v="selected"/>
    <s v="US5C100011"/>
    <x v="0"/>
    <x v="0"/>
    <x v="0"/>
    <m/>
    <s v="29000839"/>
    <s v="6"/>
    <d v="2013-08-31T00:00:00"/>
    <s v="8"/>
    <s v="2013"/>
    <n v="159.19"/>
    <s v="USD"/>
    <x v="1"/>
    <s v="C"/>
    <d v="2013-08-31T00:00:00"/>
    <s v="             159.19-"/>
    <m/>
    <s v="CR04"/>
  </r>
  <r>
    <s v="selected"/>
    <s v="US5C100011"/>
    <x v="0"/>
    <x v="0"/>
    <x v="0"/>
    <m/>
    <s v="29000861"/>
    <s v="8"/>
    <d v="2013-08-31T00:00:00"/>
    <s v="8"/>
    <s v="2013"/>
    <n v="19"/>
    <s v="USD"/>
    <x v="5"/>
    <s v="C"/>
    <d v="2013-08-31T00:00:00"/>
    <s v="              19.00-"/>
    <m/>
    <s v="CR04"/>
  </r>
  <r>
    <s v="selected"/>
    <s v="US5C100011"/>
    <x v="0"/>
    <x v="0"/>
    <x v="0"/>
    <m/>
    <s v="29000861"/>
    <s v="5"/>
    <d v="2013-08-31T00:00:00"/>
    <s v="8"/>
    <s v="2013"/>
    <n v="521.92999999999995"/>
    <s v="USD"/>
    <x v="2"/>
    <s v="C"/>
    <d v="2013-08-31T00:00:00"/>
    <s v="             521.93-"/>
    <m/>
    <s v="CR04"/>
  </r>
  <r>
    <s v="selected"/>
    <s v="US5C100011"/>
    <x v="0"/>
    <x v="0"/>
    <x v="0"/>
    <m/>
    <s v="29000861"/>
    <s v="2"/>
    <d v="2013-08-31T00:00:00"/>
    <s v="8"/>
    <s v="2013"/>
    <n v="-3009.2"/>
    <s v="USD"/>
    <x v="3"/>
    <s v="C"/>
    <d v="2013-08-31T00:00:00"/>
    <s v="           3,009.20"/>
    <s v="248 Units"/>
    <s v="CR04"/>
  </r>
  <r>
    <s v="selected"/>
    <s v="US5C100011"/>
    <x v="0"/>
    <x v="0"/>
    <x v="0"/>
    <m/>
    <s v="29000861"/>
    <s v="7"/>
    <d v="2013-08-31T00:00:00"/>
    <s v="8"/>
    <s v="2013"/>
    <n v="260.92"/>
    <s v="USD"/>
    <x v="1"/>
    <s v="C"/>
    <d v="2013-08-31T00:00:00"/>
    <s v="             260.92-"/>
    <m/>
    <s v="CR04"/>
  </r>
  <r>
    <s v="selected"/>
    <s v="US5C100011"/>
    <x v="0"/>
    <x v="0"/>
    <x v="0"/>
    <m/>
    <s v="29000861"/>
    <s v="6"/>
    <d v="2013-08-31T00:00:00"/>
    <s v="8"/>
    <s v="2013"/>
    <n v="2"/>
    <s v="USD"/>
    <x v="1"/>
    <s v="C"/>
    <d v="2013-08-31T00:00:00"/>
    <s v="               2.00-"/>
    <m/>
    <s v="CR04"/>
  </r>
  <r>
    <s v="selected"/>
    <s v="US5C100011"/>
    <x v="0"/>
    <x v="0"/>
    <x v="0"/>
    <m/>
    <s v="29000861"/>
    <s v="4"/>
    <d v="2013-08-31T00:00:00"/>
    <s v="8"/>
    <s v="2013"/>
    <n v="26.74"/>
    <s v="USD"/>
    <x v="0"/>
    <s v="C"/>
    <d v="2013-08-31T00:00:00"/>
    <s v="              26.74-"/>
    <m/>
    <s v="CR04"/>
  </r>
  <r>
    <s v="selected"/>
    <s v="US5C100011"/>
    <x v="0"/>
    <x v="0"/>
    <x v="0"/>
    <m/>
    <s v="29000861"/>
    <s v="3"/>
    <d v="2013-08-31T00:00:00"/>
    <s v="8"/>
    <s v="2013"/>
    <n v="737.59"/>
    <s v="USD"/>
    <x v="7"/>
    <s v="C"/>
    <d v="2013-08-31T00:00:00"/>
    <s v="             737.59-"/>
    <m/>
    <s v="CR04"/>
  </r>
  <r>
    <s v="selected"/>
    <s v="US5C100011"/>
    <x v="0"/>
    <x v="0"/>
    <x v="0"/>
    <m/>
    <s v="29000862"/>
    <s v="8"/>
    <d v="2013-08-31T00:00:00"/>
    <s v="8"/>
    <s v="2013"/>
    <n v="20.5"/>
    <s v="USD"/>
    <x v="5"/>
    <s v="C"/>
    <d v="2013-08-31T00:00:00"/>
    <s v="              20.50-"/>
    <m/>
    <s v="CR04"/>
  </r>
  <r>
    <s v="selected"/>
    <s v="US5C100011"/>
    <x v="0"/>
    <x v="0"/>
    <x v="0"/>
    <m/>
    <s v="29000862"/>
    <s v="5"/>
    <d v="2013-08-31T00:00:00"/>
    <s v="8"/>
    <s v="2013"/>
    <n v="190.27"/>
    <s v="USD"/>
    <x v="2"/>
    <s v="C"/>
    <d v="2013-08-31T00:00:00"/>
    <s v="             190.27-"/>
    <m/>
    <s v="CR04"/>
  </r>
  <r>
    <s v="selected"/>
    <s v="US5C100011"/>
    <x v="0"/>
    <x v="0"/>
    <x v="0"/>
    <m/>
    <s v="29000862"/>
    <s v="7"/>
    <d v="2013-08-31T00:00:00"/>
    <s v="8"/>
    <s v="2013"/>
    <n v="95.13"/>
    <s v="USD"/>
    <x v="1"/>
    <s v="C"/>
    <d v="2013-08-31T00:00:00"/>
    <s v="              95.13-"/>
    <m/>
    <s v="CR04"/>
  </r>
  <r>
    <s v="selected"/>
    <s v="US5C100011"/>
    <x v="0"/>
    <x v="0"/>
    <x v="0"/>
    <m/>
    <s v="29000862"/>
    <s v="2"/>
    <d v="2013-08-31T00:00:00"/>
    <s v="8"/>
    <s v="2013"/>
    <n v="-1103.94"/>
    <s v="USD"/>
    <x v="3"/>
    <s v="C"/>
    <d v="2013-08-31T00:00:00"/>
    <s v="           1,103.94"/>
    <s v="39 Units"/>
    <s v="CR04"/>
  </r>
  <r>
    <s v="selected"/>
    <s v="US5C100011"/>
    <x v="0"/>
    <x v="0"/>
    <x v="0"/>
    <m/>
    <s v="29000862"/>
    <s v="3"/>
    <d v="2013-08-31T00:00:00"/>
    <s v="8"/>
    <s v="2013"/>
    <n v="739.19"/>
    <s v="USD"/>
    <x v="7"/>
    <s v="C"/>
    <d v="2013-08-31T00:00:00"/>
    <s v="             739.19-"/>
    <m/>
    <s v="CR04"/>
  </r>
  <r>
    <s v="selected"/>
    <s v="US5C100011"/>
    <x v="0"/>
    <x v="0"/>
    <x v="0"/>
    <m/>
    <s v="29000862"/>
    <s v="4"/>
    <d v="2013-08-31T00:00:00"/>
    <s v="8"/>
    <s v="2013"/>
    <n v="16.690000000000001"/>
    <s v="USD"/>
    <x v="0"/>
    <s v="C"/>
    <d v="2013-08-31T00:00:00"/>
    <s v="              16.69-"/>
    <m/>
    <s v="CR04"/>
  </r>
  <r>
    <s v="selected"/>
    <s v="US5C100011"/>
    <x v="0"/>
    <x v="0"/>
    <x v="0"/>
    <m/>
    <s v="29000862"/>
    <s v="6"/>
    <d v="2013-08-31T00:00:00"/>
    <s v="8"/>
    <s v="2013"/>
    <n v="34"/>
    <s v="USD"/>
    <x v="1"/>
    <s v="C"/>
    <d v="2013-08-31T00:00:00"/>
    <s v="              34.00-"/>
    <m/>
    <s v="CR04"/>
  </r>
  <r>
    <s v="selected"/>
    <s v="US5C100011"/>
    <x v="0"/>
    <x v="0"/>
    <x v="0"/>
    <m/>
    <s v="29000921"/>
    <s v="6"/>
    <d v="2013-08-31T00:00:00"/>
    <s v="8"/>
    <s v="2013"/>
    <n v="1620.51"/>
    <s v="USD"/>
    <x v="1"/>
    <s v="C"/>
    <d v="2013-08-31T00:00:00"/>
    <s v="           1,620.51-"/>
    <m/>
    <s v="CR04"/>
  </r>
  <r>
    <s v="selected"/>
    <s v="US5C100011"/>
    <x v="0"/>
    <x v="0"/>
    <x v="0"/>
    <m/>
    <s v="29000921"/>
    <s v="7"/>
    <d v="2013-08-31T00:00:00"/>
    <s v="8"/>
    <s v="2013"/>
    <n v="40.75"/>
    <s v="USD"/>
    <x v="5"/>
    <s v="C"/>
    <d v="2013-08-31T00:00:00"/>
    <s v="              40.75-"/>
    <m/>
    <s v="CR04"/>
  </r>
  <r>
    <s v="selected"/>
    <s v="US5C100011"/>
    <x v="0"/>
    <x v="0"/>
    <x v="0"/>
    <m/>
    <s v="29000921"/>
    <s v="4"/>
    <d v="2013-08-31T00:00:00"/>
    <s v="8"/>
    <s v="2013"/>
    <n v="660.26"/>
    <s v="USD"/>
    <x v="0"/>
    <s v="C"/>
    <d v="2013-08-31T00:00:00"/>
    <s v="             660.26-"/>
    <m/>
    <s v="CR04"/>
  </r>
  <r>
    <s v="selected"/>
    <s v="US5C100011"/>
    <x v="0"/>
    <x v="0"/>
    <x v="0"/>
    <m/>
    <s v="29000921"/>
    <s v="5"/>
    <d v="2013-08-31T00:00:00"/>
    <s v="8"/>
    <s v="2013"/>
    <n v="3240.85"/>
    <s v="USD"/>
    <x v="2"/>
    <s v="C"/>
    <d v="2013-08-31T00:00:00"/>
    <s v="           3,240.85-"/>
    <m/>
    <s v="CR04"/>
  </r>
  <r>
    <s v="selected"/>
    <s v="US5C100011"/>
    <x v="0"/>
    <x v="0"/>
    <x v="0"/>
    <m/>
    <s v="29000921"/>
    <s v="3"/>
    <d v="2013-08-31T00:00:00"/>
    <s v="8"/>
    <s v="2013"/>
    <n v="2258.9699999999998"/>
    <s v="USD"/>
    <x v="7"/>
    <s v="C"/>
    <d v="2013-08-31T00:00:00"/>
    <s v="           2,258.97-"/>
    <m/>
    <s v="CR04"/>
  </r>
  <r>
    <s v="selected"/>
    <s v="US5C100011"/>
    <x v="0"/>
    <x v="0"/>
    <x v="0"/>
    <m/>
    <s v="29000921"/>
    <s v="2"/>
    <d v="2013-08-31T00:00:00"/>
    <s v="8"/>
    <s v="2013"/>
    <n v="-19179.400000000001"/>
    <s v="USD"/>
    <x v="3"/>
    <s v="C"/>
    <d v="2013-08-31T00:00:00"/>
    <s v="          19,179.40"/>
    <s v="1,446 Units"/>
    <s v="CR04"/>
  </r>
  <r>
    <s v="selected"/>
    <s v="US5C100011"/>
    <x v="0"/>
    <x v="0"/>
    <x v="0"/>
    <m/>
    <s v="29001031"/>
    <s v="1"/>
    <d v="2013-08-31T00:00:00"/>
    <s v="8"/>
    <s v="2013"/>
    <n v="2.6"/>
    <s v="USD"/>
    <x v="9"/>
    <s v="C"/>
    <d v="2013-08-31T00:00:00"/>
    <s v="               2.60-"/>
    <m/>
    <s v="CR04"/>
  </r>
  <r>
    <s v="selected"/>
    <s v="US5C100011"/>
    <x v="0"/>
    <x v="0"/>
    <x v="0"/>
    <m/>
    <s v="29001254"/>
    <s v="3"/>
    <d v="2013-08-31T00:00:00"/>
    <s v="8"/>
    <s v="2013"/>
    <n v="-464"/>
    <s v="USD"/>
    <x v="1"/>
    <s v="C"/>
    <d v="2013-08-31T00:00:00"/>
    <s v="             464.00"/>
    <m/>
    <s v="CR04"/>
  </r>
  <r>
    <s v="selected"/>
    <s v="US5C100011"/>
    <x v="0"/>
    <x v="0"/>
    <x v="0"/>
    <m/>
    <s v="29001254"/>
    <s v="2"/>
    <d v="2013-08-31T00:00:00"/>
    <s v="8"/>
    <s v="2013"/>
    <n v="60"/>
    <s v="USD"/>
    <x v="9"/>
    <s v="C"/>
    <d v="2013-08-31T00:00:00"/>
    <s v="              60.00-"/>
    <m/>
    <s v="CR04"/>
  </r>
  <r>
    <s v="selected"/>
    <s v="US5C100011"/>
    <x v="0"/>
    <x v="0"/>
    <x v="0"/>
    <m/>
    <s v="29001254"/>
    <s v="1"/>
    <d v="2013-08-31T00:00:00"/>
    <s v="8"/>
    <s v="2013"/>
    <n v="60"/>
    <s v="USD"/>
    <x v="9"/>
    <s v="C"/>
    <d v="2013-08-31T00:00:00"/>
    <s v="              60.00-"/>
    <m/>
    <s v="CR04"/>
  </r>
  <r>
    <s v="selected"/>
    <s v="US5C100011"/>
    <x v="0"/>
    <x v="0"/>
    <x v="0"/>
    <m/>
    <s v="99023013"/>
    <s v="6"/>
    <d v="2013-08-15T00:00:00"/>
    <s v="8"/>
    <s v="2013"/>
    <n v="-21"/>
    <s v="USD"/>
    <x v="1"/>
    <s v="C"/>
    <d v="2013-08-14T00:00:00"/>
    <m/>
    <m/>
    <s v="CR04"/>
  </r>
  <r>
    <s v="selected"/>
    <s v="US5C100011"/>
    <x v="0"/>
    <x v="0"/>
    <x v="0"/>
    <m/>
    <s v="99023013"/>
    <s v="18"/>
    <d v="2013-08-15T00:00:00"/>
    <s v="8"/>
    <s v="2013"/>
    <n v="-13"/>
    <s v="USD"/>
    <x v="1"/>
    <s v="C"/>
    <d v="2013-08-14T00:00:00"/>
    <m/>
    <m/>
    <s v="CR04"/>
  </r>
  <r>
    <s v="selected"/>
    <s v="US5C100011"/>
    <x v="0"/>
    <x v="0"/>
    <x v="0"/>
    <m/>
    <s v="99023013"/>
    <s v="2"/>
    <d v="2013-08-15T00:00:00"/>
    <s v="8"/>
    <s v="2013"/>
    <n v="-1"/>
    <s v="USD"/>
    <x v="1"/>
    <s v="C"/>
    <d v="2013-08-14T00:00:00"/>
    <m/>
    <m/>
    <s v="CR04"/>
  </r>
  <r>
    <s v="selected"/>
    <s v="US5C100011"/>
    <x v="0"/>
    <x v="0"/>
    <x v="0"/>
    <m/>
    <s v="99023013"/>
    <s v="14"/>
    <d v="2013-08-15T00:00:00"/>
    <s v="8"/>
    <s v="2013"/>
    <n v="-17"/>
    <s v="USD"/>
    <x v="1"/>
    <s v="C"/>
    <d v="2013-08-14T00:00:00"/>
    <m/>
    <m/>
    <s v="CR04"/>
  </r>
  <r>
    <s v="selected"/>
    <s v="US5C100011"/>
    <x v="0"/>
    <x v="0"/>
    <x v="0"/>
    <m/>
    <s v="99023013"/>
    <s v="10"/>
    <d v="2013-08-15T00:00:00"/>
    <s v="8"/>
    <s v="2013"/>
    <n v="-2"/>
    <s v="USD"/>
    <x v="1"/>
    <s v="C"/>
    <d v="2013-08-14T00:00:00"/>
    <m/>
    <m/>
    <s v="CR04"/>
  </r>
  <r>
    <s v="selected"/>
    <s v="US5C100011"/>
    <x v="0"/>
    <x v="0"/>
    <x v="0"/>
    <m/>
    <s v="99164004"/>
    <s v="2"/>
    <d v="2013-08-15T00:00:00"/>
    <s v="8"/>
    <s v="2013"/>
    <n v="5"/>
    <s v="USD"/>
    <x v="4"/>
    <s v="C"/>
    <d v="2013-08-14T00:00:00"/>
    <m/>
    <m/>
    <s v="CR04"/>
  </r>
  <r>
    <s v="selected"/>
    <s v="US5C100011"/>
    <x v="0"/>
    <x v="0"/>
    <x v="0"/>
    <m/>
    <s v="99164005"/>
    <s v="2"/>
    <d v="2013-08-15T00:00:00"/>
    <s v="8"/>
    <s v="2013"/>
    <n v="-320"/>
    <s v="USD"/>
    <x v="1"/>
    <s v="C"/>
    <d v="2013-08-14T00:00:00"/>
    <m/>
    <m/>
    <s v="CR04"/>
  </r>
  <r>
    <s v="selected"/>
    <s v="US5C100011"/>
    <x v="0"/>
    <x v="0"/>
    <x v="0"/>
    <m/>
    <s v="99165012"/>
    <s v="4"/>
    <d v="2013-09-15T00:00:00"/>
    <s v="9"/>
    <s v="2013"/>
    <n v="11688.57"/>
    <s v="USD"/>
    <x v="10"/>
    <s v="C"/>
    <d v="2013-08-15T00:00:00"/>
    <m/>
    <m/>
    <s v="CR04"/>
  </r>
  <r>
    <s v="selected"/>
    <s v="US5C100011"/>
    <x v="0"/>
    <x v="0"/>
    <x v="0"/>
    <m/>
    <s v="99222002"/>
    <s v="2"/>
    <d v="2013-08-15T00:00:00"/>
    <s v="8"/>
    <s v="2013"/>
    <n v="-2300"/>
    <s v="USD"/>
    <x v="4"/>
    <s v="C"/>
    <d v="2013-08-14T00:00:00"/>
    <m/>
    <m/>
    <s v="CR04"/>
  </r>
  <r>
    <m/>
    <m/>
    <x v="0"/>
    <x v="0"/>
    <x v="1"/>
    <m/>
    <m/>
    <m/>
    <m/>
    <m/>
    <m/>
    <n v="-118183.43"/>
    <m/>
    <x v="11"/>
    <m/>
    <m/>
    <m/>
    <m/>
    <m/>
  </r>
  <r>
    <m/>
    <m/>
    <x v="0"/>
    <x v="0"/>
    <x v="1"/>
    <m/>
    <m/>
    <m/>
    <m/>
    <m/>
    <m/>
    <m/>
    <m/>
    <x v="1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C18" firstHeaderRow="1" firstDataRow="2" firstDataCol="1" rowPageCount="2" colPageCount="1"/>
  <pivotFields count="19">
    <pivotField showAll="0"/>
    <pivotField showAll="0"/>
    <pivotField axis="axisCol" showAll="0">
      <items count="6">
        <item x="0"/>
        <item m="1" x="4"/>
        <item m="1" x="1"/>
        <item m="1" x="2"/>
        <item m="1" x="3"/>
        <item t="default"/>
      </items>
    </pivotField>
    <pivotField axis="axisPage" showAll="0">
      <items count="6">
        <item x="0"/>
        <item m="1" x="3"/>
        <item m="1" x="4"/>
        <item m="1" x="1"/>
        <item m="1" x="2"/>
        <item t="default"/>
      </items>
    </pivotField>
    <pivotField axis="axisPage" showAll="0">
      <items count="6">
        <item x="1"/>
        <item m="1" x="3"/>
        <item m="1" x="2"/>
        <item m="1"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15">
        <item x="3"/>
        <item x="7"/>
        <item x="0"/>
        <item x="2"/>
        <item x="9"/>
        <item x="1"/>
        <item x="5"/>
        <item h="1" x="11"/>
        <item m="1" x="12"/>
        <item m="1" x="13"/>
        <item x="8"/>
        <item x="4"/>
        <item x="6"/>
        <item x="10"/>
        <item t="default"/>
      </items>
    </pivotField>
    <pivotField showAll="0"/>
    <pivotField showAll="0"/>
    <pivotField showAll="0"/>
    <pivotField showAll="0"/>
    <pivotField showAll="0"/>
  </pivotFields>
  <rowFields count="1">
    <field x="1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10"/>
    </i>
    <i>
      <x v="11"/>
    </i>
    <i>
      <x v="12"/>
    </i>
    <i>
      <x v="13"/>
    </i>
    <i t="grand">
      <x/>
    </i>
  </rowItems>
  <colFields count="1">
    <field x="2"/>
  </colFields>
  <colItems count="2">
    <i>
      <x/>
    </i>
    <i t="grand">
      <x/>
    </i>
  </colItems>
  <pageFields count="2">
    <pageField fld="4" item="4" hier="-1"/>
    <pageField fld="3" hier="-1"/>
  </pageFields>
  <dataFields count="1">
    <dataField name="Sum of Amount LC" fld="11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S7" totalsRowShown="0">
  <autoFilter ref="A1:S7"/>
  <tableColumns count="19">
    <tableColumn id="1" name="Category"/>
    <tableColumn id="2" name="Profit Center"/>
    <tableColumn id="3" name="Deal Parent No"/>
    <tableColumn id="4" name="Deal Sub N (Label)"/>
    <tableColumn id="5" name="Customer"/>
    <tableColumn id="6" name="Flag carryforward"/>
    <tableColumn id="7" name="Document Number"/>
    <tableColumn id="8" name="Line item"/>
    <tableColumn id="9" name="Posting Date" dataDxfId="1"/>
    <tableColumn id="10" name="Posting Period"/>
    <tableColumn id="11" name="Fiscal Year"/>
    <tableColumn id="12" name="Amount LC"/>
    <tableColumn id="13" name="Local currency"/>
    <tableColumn id="14" name="Reference Key 2"/>
    <tableColumn id="15" name="CrossRecoupment"/>
    <tableColumn id="16" name="Baseline Payment Dte" dataDxfId="0"/>
    <tableColumn id="17" name="Grant"/>
    <tableColumn id="18" name="Text"/>
    <tableColumn id="19" name="Indust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B1" workbookViewId="0">
      <selection activeCell="F10" sqref="F10"/>
    </sheetView>
  </sheetViews>
  <sheetFormatPr defaultRowHeight="12.75" x14ac:dyDescent="0.2"/>
  <cols>
    <col min="1" max="1" width="11.7109375" style="4" hidden="1" customWidth="1"/>
    <col min="2" max="2" width="5.5703125" style="4" customWidth="1"/>
    <col min="3" max="3" width="3.85546875" style="6" customWidth="1"/>
    <col min="4" max="4" width="39" style="6" customWidth="1"/>
    <col min="5" max="5" width="20.5703125" style="6" customWidth="1"/>
    <col min="6" max="6" width="11.85546875" style="11" bestFit="1" customWidth="1"/>
    <col min="7" max="7" width="13.28515625" customWidth="1"/>
    <col min="8" max="8" width="10.85546875" bestFit="1" customWidth="1"/>
    <col min="10" max="10" width="11.85546875" bestFit="1" customWidth="1"/>
  </cols>
  <sheetData>
    <row r="1" spans="1:8" ht="15" x14ac:dyDescent="0.25">
      <c r="B1" s="5" t="s">
        <v>37</v>
      </c>
    </row>
    <row r="2" spans="1:8" ht="15" x14ac:dyDescent="0.25">
      <c r="B2" s="5" t="s">
        <v>442</v>
      </c>
    </row>
    <row r="3" spans="1:8" ht="15" x14ac:dyDescent="0.25">
      <c r="B3" s="5" t="str">
        <f>"ASL: "&amp;DataPivot!B2</f>
        <v>ASL: US3E070174</v>
      </c>
    </row>
    <row r="4" spans="1:8" s="1" customFormat="1" ht="15" x14ac:dyDescent="0.25">
      <c r="B4" s="19" t="s">
        <v>796</v>
      </c>
      <c r="C4" s="6"/>
      <c r="D4" s="6"/>
      <c r="E4" s="6"/>
      <c r="F4" s="11"/>
    </row>
    <row r="5" spans="1:8" ht="15" x14ac:dyDescent="0.25">
      <c r="C5" s="7"/>
      <c r="D5" s="7"/>
      <c r="E5" s="7"/>
      <c r="F5" s="12"/>
    </row>
    <row r="6" spans="1:8" ht="15" x14ac:dyDescent="0.25">
      <c r="A6" s="8" t="s">
        <v>38</v>
      </c>
      <c r="B6" s="5" t="s">
        <v>39</v>
      </c>
    </row>
    <row r="7" spans="1:8" x14ac:dyDescent="0.2">
      <c r="A7" s="4">
        <v>500001</v>
      </c>
      <c r="C7" s="6" t="s">
        <v>40</v>
      </c>
      <c r="F7" s="13">
        <f>IF(ISERR(-GETPIVOTDATA("Amount LC",DataPivot!$A$5,"Reference Key 2","0000"&amp;A7)),0,-GETPIVOTDATA("Amount LC",DataPivot!$A$5,"Reference Key 2","0000"&amp;A7))</f>
        <v>296097.35000000003</v>
      </c>
    </row>
    <row r="8" spans="1:8" x14ac:dyDescent="0.2">
      <c r="A8" s="4">
        <v>540001</v>
      </c>
      <c r="C8" s="6" t="s">
        <v>41</v>
      </c>
      <c r="F8" s="13">
        <f>IF(ISERR(-GETPIVOTDATA("Amount LC",DataPivot!$A$5,"Reference Key 2","0000"&amp;A8)),0,-GETPIVOTDATA("Amount LC",DataPivot!$A$5,"Reference Key 2","0000"&amp;A8))</f>
        <v>-65788.09</v>
      </c>
    </row>
    <row r="9" spans="1:8" x14ac:dyDescent="0.2">
      <c r="A9" s="4">
        <v>550001</v>
      </c>
      <c r="C9" s="6" t="s">
        <v>42</v>
      </c>
      <c r="F9" s="25">
        <f>IF(ISERR(-GETPIVOTDATA("Amount LC",DataPivot!$A$5,"Reference Key 2","0000"&amp;A9)),0,-GETPIVOTDATA("Amount LC",DataPivot!$A$5,"Reference Key 2","0000"&amp;A9))</f>
        <v>-21894.66</v>
      </c>
    </row>
    <row r="10" spans="1:8" x14ac:dyDescent="0.2">
      <c r="D10" s="6" t="s">
        <v>43</v>
      </c>
      <c r="F10" s="13">
        <f>SUM(F7:F9)</f>
        <v>208414.60000000003</v>
      </c>
    </row>
    <row r="11" spans="1:8" x14ac:dyDescent="0.2">
      <c r="A11" s="4">
        <v>570001</v>
      </c>
      <c r="C11" s="6" t="s">
        <v>44</v>
      </c>
      <c r="F11" s="25" t="e">
        <f>+-#REF!</f>
        <v>#REF!</v>
      </c>
    </row>
    <row r="12" spans="1:8" x14ac:dyDescent="0.2">
      <c r="D12" s="6" t="s">
        <v>45</v>
      </c>
      <c r="F12" s="14" t="e">
        <f>SUM(F10:F11)</f>
        <v>#REF!</v>
      </c>
    </row>
    <row r="13" spans="1:8" x14ac:dyDescent="0.2">
      <c r="F13" s="13"/>
    </row>
    <row r="14" spans="1:8" x14ac:dyDescent="0.2">
      <c r="A14" s="4">
        <v>686001</v>
      </c>
      <c r="C14" s="6" t="s">
        <v>787</v>
      </c>
      <c r="F14" s="16">
        <f>+-F10*0.0875</f>
        <v>-18236.2775</v>
      </c>
      <c r="G14" s="35"/>
      <c r="H14" s="35"/>
    </row>
    <row r="15" spans="1:8" x14ac:dyDescent="0.2">
      <c r="A15" s="4">
        <v>686005</v>
      </c>
      <c r="C15" s="6" t="s">
        <v>46</v>
      </c>
      <c r="F15" s="13">
        <f>IF(ISERR(-GETPIVOTDATA("Amount LC",DataPivot!$A$5,"Reference Key 2","0000"&amp;A15)),0,-GETPIVOTDATA("Amount LC",DataPivot!$A$5,"Reference Key 2","0000"&amp;A15))</f>
        <v>-10499.44</v>
      </c>
    </row>
    <row r="16" spans="1:8" x14ac:dyDescent="0.2">
      <c r="A16" s="4">
        <v>687001</v>
      </c>
      <c r="C16" s="6" t="s">
        <v>47</v>
      </c>
      <c r="F16" s="13">
        <f>IF(ISERR(-GETPIVOTDATA("Amount LC",DataPivot!$A$5,"Reference Key 2","0000"&amp;A16)),0,-GETPIVOTDATA("Amount LC",DataPivot!$A$5,"Reference Key 2","0000"&amp;A16))</f>
        <v>-22736.84</v>
      </c>
    </row>
    <row r="17" spans="1:10" x14ac:dyDescent="0.2">
      <c r="A17" s="4">
        <v>688001</v>
      </c>
      <c r="C17" s="6" t="s">
        <v>48</v>
      </c>
      <c r="F17" s="13">
        <f>IF(ISERR(-GETPIVOTDATA("Amount LC",DataPivot!$A$5,"Reference Key 2","0000"&amp;A17)),0,-GETPIVOTDATA("Amount LC",DataPivot!$A$5,"Reference Key 2","0000"&amp;A17))</f>
        <v>0</v>
      </c>
    </row>
    <row r="18" spans="1:10" x14ac:dyDescent="0.2">
      <c r="D18" s="6" t="s">
        <v>49</v>
      </c>
      <c r="F18" s="15" t="e">
        <f>SUM(F12:F17)</f>
        <v>#REF!</v>
      </c>
    </row>
    <row r="19" spans="1:10" x14ac:dyDescent="0.2">
      <c r="F19" s="13"/>
    </row>
    <row r="20" spans="1:10" ht="15" x14ac:dyDescent="0.25">
      <c r="B20" s="5" t="s">
        <v>50</v>
      </c>
      <c r="F20" s="13"/>
    </row>
    <row r="21" spans="1:10" x14ac:dyDescent="0.2">
      <c r="A21" s="4">
        <v>500002</v>
      </c>
      <c r="C21" s="6" t="s">
        <v>51</v>
      </c>
      <c r="F21" s="13">
        <f>IF(ISERR(-GETPIVOTDATA("Amount LC",DataPivot!$A$5,"Reference Key 2","0000"&amp;A21)),0,-GETPIVOTDATA("Amount LC",DataPivot!$A$5,"Reference Key 2","0000"&amp;A21))</f>
        <v>39897.419999999991</v>
      </c>
    </row>
    <row r="22" spans="1:10" x14ac:dyDescent="0.2">
      <c r="A22" s="4">
        <v>686002</v>
      </c>
      <c r="C22" s="6" t="s">
        <v>788</v>
      </c>
      <c r="F22" s="16">
        <v>0</v>
      </c>
      <c r="G22" s="33"/>
    </row>
    <row r="23" spans="1:10" x14ac:dyDescent="0.2">
      <c r="A23" s="4">
        <v>688002</v>
      </c>
      <c r="C23" s="6" t="s">
        <v>48</v>
      </c>
      <c r="F23" s="13">
        <f>IF(ISERR(-GETPIVOTDATA("Amount LC",DataPivot!$A$5,"Reference Key 2","0000"&amp;A23)),0,-GETPIVOTDATA("Amount LC",DataPivot!$A$5,"Reference Key 2","0000"&amp;A23))</f>
        <v>0</v>
      </c>
    </row>
    <row r="24" spans="1:10" x14ac:dyDescent="0.2">
      <c r="F24" s="16"/>
    </row>
    <row r="25" spans="1:10" x14ac:dyDescent="0.2">
      <c r="D25" s="6" t="s">
        <v>52</v>
      </c>
      <c r="F25" s="15">
        <f>SUM(F21:F23)</f>
        <v>39897.419999999991</v>
      </c>
    </row>
    <row r="26" spans="1:10" x14ac:dyDescent="0.2">
      <c r="F26" s="14"/>
    </row>
    <row r="27" spans="1:10" ht="15" x14ac:dyDescent="0.25">
      <c r="B27" s="5" t="s">
        <v>53</v>
      </c>
      <c r="F27" s="13"/>
    </row>
    <row r="28" spans="1:10" x14ac:dyDescent="0.2">
      <c r="C28" s="6" t="s">
        <v>54</v>
      </c>
      <c r="F28" s="13"/>
    </row>
    <row r="29" spans="1:10" x14ac:dyDescent="0.2">
      <c r="A29" s="4">
        <v>502001</v>
      </c>
      <c r="D29" s="6" t="s">
        <v>55</v>
      </c>
      <c r="F29" s="13">
        <f>IF(ISERR(-GETPIVOTDATA("Amount LC",DataPivot!$A$5,"Reference Key 2","0000"&amp;A29)),0,-GETPIVOTDATA("Amount LC",DataPivot!$A$5,"Reference Key 2","0000"&amp;A29))</f>
        <v>0</v>
      </c>
    </row>
    <row r="30" spans="1:10" x14ac:dyDescent="0.2">
      <c r="A30" s="4">
        <v>610004</v>
      </c>
      <c r="D30" s="6" t="s">
        <v>56</v>
      </c>
      <c r="F30" s="13">
        <f>IF(ISERR(-GETPIVOTDATA("Amount LC",DataPivot!$A$5,"Reference Key 2","0000"&amp;A30)),0,-GETPIVOTDATA("Amount LC",DataPivot!$A$5,"Reference Key 2","0000"&amp;A30))</f>
        <v>0</v>
      </c>
    </row>
    <row r="31" spans="1:10" x14ac:dyDescent="0.2">
      <c r="D31" s="6" t="s">
        <v>57</v>
      </c>
      <c r="F31" s="15">
        <f>SUM(F29:F30)</f>
        <v>0</v>
      </c>
      <c r="J31" s="22"/>
    </row>
    <row r="32" spans="1:10" x14ac:dyDescent="0.2">
      <c r="F32" s="13"/>
    </row>
    <row r="33" spans="1:6" x14ac:dyDescent="0.2">
      <c r="C33" s="6" t="s">
        <v>58</v>
      </c>
      <c r="F33" s="13"/>
    </row>
    <row r="34" spans="1:6" x14ac:dyDescent="0.2">
      <c r="A34" s="4">
        <v>503501</v>
      </c>
      <c r="D34" s="6" t="s">
        <v>79</v>
      </c>
      <c r="F34" s="13">
        <f>IF(ISERR(-GETPIVOTDATA("Amount LC",DataPivot!$A$5,"Reference Key 2","0000"&amp;A34)),0,-GETPIVOTDATA("Amount LC",DataPivot!$A$5,"Reference Key 2","0000"&amp;A34))</f>
        <v>0</v>
      </c>
    </row>
    <row r="35" spans="1:6" x14ac:dyDescent="0.2">
      <c r="A35" s="4">
        <v>610101</v>
      </c>
      <c r="D35" s="6" t="s">
        <v>56</v>
      </c>
      <c r="F35" s="13">
        <f>IF(ISERR(-GETPIVOTDATA("Amount LC",DataPivot!$A$5,"Reference Key 2","0000"&amp;A35)),0,-GETPIVOTDATA("Amount LC",DataPivot!$A$5,"Reference Key 2","0000"&amp;A35))</f>
        <v>0</v>
      </c>
    </row>
    <row r="36" spans="1:6" ht="15" x14ac:dyDescent="0.25">
      <c r="B36" s="5"/>
      <c r="D36" s="6" t="s">
        <v>59</v>
      </c>
      <c r="F36" s="15">
        <f>SUM(F34:F35)</f>
        <v>0</v>
      </c>
    </row>
    <row r="37" spans="1:6" ht="15" x14ac:dyDescent="0.25">
      <c r="B37" s="5"/>
      <c r="F37" s="14"/>
    </row>
    <row r="38" spans="1:6" ht="15" x14ac:dyDescent="0.25">
      <c r="B38" s="5" t="s">
        <v>60</v>
      </c>
      <c r="F38" s="14"/>
    </row>
    <row r="39" spans="1:6" ht="15" x14ac:dyDescent="0.25">
      <c r="A39" s="4">
        <v>500003</v>
      </c>
      <c r="B39" s="5"/>
      <c r="C39" s="6" t="s">
        <v>55</v>
      </c>
      <c r="F39" s="13">
        <f>IF(ISERR(-GETPIVOTDATA("Amount LC",DataPivot!$A$5,"Reference Key 2","0000"&amp;A39)),0,-GETPIVOTDATA("Amount LC",DataPivot!$A$5,"Reference Key 2","0000"&amp;A39))</f>
        <v>0</v>
      </c>
    </row>
    <row r="40" spans="1:6" ht="15" x14ac:dyDescent="0.25">
      <c r="A40" s="4">
        <v>610003</v>
      </c>
      <c r="B40" s="5"/>
      <c r="C40" s="6" t="s">
        <v>56</v>
      </c>
      <c r="F40" s="13"/>
    </row>
    <row r="41" spans="1:6" ht="15" x14ac:dyDescent="0.25">
      <c r="B41" s="5"/>
      <c r="D41" s="6" t="s">
        <v>61</v>
      </c>
      <c r="F41" s="15">
        <f>SUM(F39:F40)</f>
        <v>0</v>
      </c>
    </row>
    <row r="42" spans="1:6" ht="15" x14ac:dyDescent="0.25">
      <c r="B42" s="5"/>
      <c r="F42" s="14"/>
    </row>
    <row r="43" spans="1:6" ht="15" x14ac:dyDescent="0.25">
      <c r="B43" s="5" t="s">
        <v>62</v>
      </c>
      <c r="F43" s="14"/>
    </row>
    <row r="44" spans="1:6" ht="15" x14ac:dyDescent="0.25">
      <c r="A44" s="4">
        <v>640001</v>
      </c>
      <c r="B44" s="5"/>
      <c r="C44" s="6" t="s">
        <v>63</v>
      </c>
      <c r="F44" s="13">
        <f>IF(ISERR(-GETPIVOTDATA("Amount LC",DataPivot!$A$5,"Reference Key 2","0000"&amp;A44)),0,-GETPIVOTDATA("Amount LC",DataPivot!$A$5,"Reference Key 2","0000"&amp;A44))</f>
        <v>-13820.1</v>
      </c>
    </row>
    <row r="45" spans="1:6" ht="15" x14ac:dyDescent="0.25">
      <c r="A45" s="4">
        <v>641001</v>
      </c>
      <c r="B45" s="5"/>
      <c r="C45" s="6" t="s">
        <v>64</v>
      </c>
      <c r="F45" s="13">
        <f>IF(ISERR(-GETPIVOTDATA("Amount LC",DataPivot!$A$5,"Reference Key 2","0000"&amp;A45)),0,-GETPIVOTDATA("Amount LC",DataPivot!$A$5,"Reference Key 2","0000"&amp;A45))</f>
        <v>0</v>
      </c>
    </row>
    <row r="46" spans="1:6" ht="15" x14ac:dyDescent="0.25">
      <c r="A46" s="4">
        <v>642001</v>
      </c>
      <c r="B46" s="5"/>
      <c r="C46" s="6" t="s">
        <v>65</v>
      </c>
      <c r="F46" s="13">
        <f>IF(ISERR(-GETPIVOTDATA("Amount LC",DataPivot!$A$5,"Reference Key 2","0000"&amp;A46)),0,-GETPIVOTDATA("Amount LC",DataPivot!$A$5,"Reference Key 2","0000"&amp;A46))</f>
        <v>0</v>
      </c>
    </row>
    <row r="47" spans="1:6" ht="15" x14ac:dyDescent="0.25">
      <c r="A47" s="4">
        <v>819101</v>
      </c>
      <c r="B47" s="5"/>
      <c r="C47" s="6" t="s">
        <v>66</v>
      </c>
      <c r="F47" s="13">
        <f>IF(ISERR(-GETPIVOTDATA("Amount LC",DataPivot!$A$5,"Reference Key 2","0000"&amp;A47)),0,-GETPIVOTDATA("Amount LC",DataPivot!$A$5,"Reference Key 2","0000"&amp;A47))</f>
        <v>0</v>
      </c>
    </row>
    <row r="48" spans="1:6" ht="15" x14ac:dyDescent="0.25">
      <c r="B48" s="5"/>
      <c r="F48" s="13"/>
    </row>
    <row r="49" spans="1:9" ht="15" x14ac:dyDescent="0.25">
      <c r="B49" s="5" t="s">
        <v>67</v>
      </c>
      <c r="F49" s="15" t="e">
        <f>F18+F25+F31+F36+F41+SUM(F44:F47)</f>
        <v>#REF!</v>
      </c>
    </row>
    <row r="50" spans="1:9" ht="15" x14ac:dyDescent="0.25">
      <c r="B50" s="5"/>
      <c r="F50" s="13"/>
    </row>
    <row r="51" spans="1:9" ht="15" hidden="1" x14ac:dyDescent="0.25">
      <c r="A51" s="4">
        <v>900000</v>
      </c>
      <c r="B51" s="5"/>
      <c r="C51" s="9" t="s">
        <v>68</v>
      </c>
      <c r="F51" s="17" t="e">
        <f>-F49*H51</f>
        <v>#REF!</v>
      </c>
    </row>
    <row r="52" spans="1:9" ht="15" x14ac:dyDescent="0.25">
      <c r="A52" s="4">
        <v>999999</v>
      </c>
      <c r="B52" s="5" t="s">
        <v>69</v>
      </c>
      <c r="F52" s="14" t="e">
        <f>F49+F51</f>
        <v>#REF!</v>
      </c>
    </row>
    <row r="53" spans="1:9" ht="15" x14ac:dyDescent="0.25">
      <c r="A53" s="4">
        <v>640000</v>
      </c>
      <c r="B53" s="5"/>
      <c r="C53" s="6" t="s">
        <v>72</v>
      </c>
      <c r="F53" s="13">
        <f>IF(ISERR(-GETPIVOTDATA("Amount LC",DataPivot!$A$5,"Reference Key 2","0000"&amp;A53)),0,-GETPIVOTDATA("Amount LC",DataPivot!$A$5,"Reference Key 2","0000"&amp;A53))</f>
        <v>0</v>
      </c>
    </row>
    <row r="54" spans="1:9" ht="15" x14ac:dyDescent="0.25">
      <c r="A54" s="4">
        <v>900020</v>
      </c>
      <c r="B54" s="5"/>
      <c r="C54" s="6" t="s">
        <v>73</v>
      </c>
      <c r="F54" s="13">
        <v>-62205</v>
      </c>
    </row>
    <row r="55" spans="1:9" ht="15" x14ac:dyDescent="0.25">
      <c r="A55" s="4">
        <v>900030</v>
      </c>
      <c r="B55" s="5"/>
      <c r="C55" s="6" t="s">
        <v>74</v>
      </c>
      <c r="F55" s="17">
        <v>62205</v>
      </c>
    </row>
    <row r="56" spans="1:9" ht="15" x14ac:dyDescent="0.25">
      <c r="A56" s="4">
        <v>900040</v>
      </c>
      <c r="B56" s="5"/>
      <c r="C56" s="6" t="s">
        <v>70</v>
      </c>
      <c r="F56" s="17">
        <v>0</v>
      </c>
    </row>
    <row r="57" spans="1:9" ht="15.75" thickBot="1" x14ac:dyDescent="0.3">
      <c r="B57" s="5" t="s">
        <v>71</v>
      </c>
      <c r="F57" s="18" t="e">
        <f>SUM(F52:F56)</f>
        <v>#REF!</v>
      </c>
      <c r="I57" s="22"/>
    </row>
    <row r="58" spans="1:9" ht="15.75" thickTop="1" x14ac:dyDescent="0.25">
      <c r="B58" s="5"/>
    </row>
    <row r="59" spans="1:9" ht="39.75" customHeight="1" x14ac:dyDescent="0.25">
      <c r="B59" s="5"/>
    </row>
    <row r="60" spans="1:9" x14ac:dyDescent="0.2">
      <c r="D60" s="10"/>
      <c r="E60" s="10"/>
    </row>
    <row r="61" spans="1:9" x14ac:dyDescent="0.2">
      <c r="B61"/>
      <c r="F61" s="21"/>
    </row>
    <row r="63" spans="1:9" x14ac:dyDescent="0.2">
      <c r="F63" s="21"/>
    </row>
    <row r="64" spans="1:9" x14ac:dyDescent="0.2">
      <c r="F64" s="21"/>
    </row>
    <row r="65" spans="4:7" x14ac:dyDescent="0.2">
      <c r="F65" s="21"/>
    </row>
    <row r="66" spans="4:7" x14ac:dyDescent="0.2">
      <c r="F66" s="21"/>
    </row>
    <row r="67" spans="4:7" x14ac:dyDescent="0.2">
      <c r="F67" s="21"/>
    </row>
    <row r="68" spans="4:7" x14ac:dyDescent="0.2">
      <c r="G68" s="22"/>
    </row>
    <row r="71" spans="4:7" x14ac:dyDescent="0.2">
      <c r="D71" s="7"/>
    </row>
  </sheetData>
  <printOptions horizontalCentered="1"/>
  <pageMargins left="0.7" right="0.7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2"/>
  <sheetViews>
    <sheetView tabSelected="1" topLeftCell="AN1" workbookViewId="0">
      <selection activeCell="BB9" sqref="BB9"/>
    </sheetView>
  </sheetViews>
  <sheetFormatPr defaultRowHeight="12.75" x14ac:dyDescent="0.2"/>
  <cols>
    <col min="1" max="16384" width="9.140625" style="4"/>
  </cols>
  <sheetData>
    <row r="1" spans="1:56" x14ac:dyDescent="0.2">
      <c r="A1" s="4" t="s">
        <v>80</v>
      </c>
      <c r="B1" s="4" t="s">
        <v>504</v>
      </c>
    </row>
    <row r="2" spans="1:56" x14ac:dyDescent="0.2">
      <c r="A2" s="4" t="s">
        <v>505</v>
      </c>
      <c r="B2" s="4" t="s">
        <v>506</v>
      </c>
    </row>
    <row r="3" spans="1:56" x14ac:dyDescent="0.2">
      <c r="A3" s="4" t="s">
        <v>81</v>
      </c>
      <c r="B3" s="4" t="s">
        <v>507</v>
      </c>
    </row>
    <row r="4" spans="1:56" x14ac:dyDescent="0.2">
      <c r="A4" s="4" t="s">
        <v>82</v>
      </c>
      <c r="B4" s="4" t="s">
        <v>508</v>
      </c>
    </row>
    <row r="5" spans="1:56" x14ac:dyDescent="0.2">
      <c r="A5" s="4" t="s">
        <v>83</v>
      </c>
      <c r="B5" s="4" t="s">
        <v>797</v>
      </c>
    </row>
    <row r="6" spans="1:56" x14ac:dyDescent="0.2">
      <c r="A6" s="4" t="s">
        <v>84</v>
      </c>
    </row>
    <row r="7" spans="1:56" x14ac:dyDescent="0.2">
      <c r="A7" s="4" t="s">
        <v>509</v>
      </c>
      <c r="B7" s="4" t="s">
        <v>510</v>
      </c>
    </row>
    <row r="9" spans="1:56" x14ac:dyDescent="0.2">
      <c r="A9" s="4" t="s">
        <v>511</v>
      </c>
      <c r="B9" s="4" t="s">
        <v>512</v>
      </c>
      <c r="C9" s="4" t="s">
        <v>513</v>
      </c>
      <c r="D9" s="4" t="s">
        <v>514</v>
      </c>
      <c r="E9" s="4" t="s">
        <v>515</v>
      </c>
      <c r="F9" s="4" t="s">
        <v>516</v>
      </c>
      <c r="G9" s="4" t="s">
        <v>517</v>
      </c>
      <c r="H9" s="4" t="s">
        <v>518</v>
      </c>
      <c r="I9" s="4" t="s">
        <v>19</v>
      </c>
      <c r="J9" s="4" t="s">
        <v>86</v>
      </c>
      <c r="K9" s="4" t="s">
        <v>85</v>
      </c>
      <c r="L9" s="4" t="s">
        <v>519</v>
      </c>
      <c r="M9" s="4" t="s">
        <v>87</v>
      </c>
      <c r="N9" s="4" t="s">
        <v>520</v>
      </c>
      <c r="O9" s="4" t="s">
        <v>521</v>
      </c>
      <c r="P9" s="4" t="s">
        <v>522</v>
      </c>
      <c r="Q9" s="4" t="s">
        <v>523</v>
      </c>
      <c r="R9" s="4" t="s">
        <v>524</v>
      </c>
      <c r="S9" s="4" t="s">
        <v>90</v>
      </c>
      <c r="T9" s="4" t="s">
        <v>525</v>
      </c>
      <c r="U9" s="4" t="s">
        <v>526</v>
      </c>
      <c r="V9" s="4" t="s">
        <v>527</v>
      </c>
      <c r="W9" s="4" t="s">
        <v>528</v>
      </c>
      <c r="X9" s="4" t="s">
        <v>529</v>
      </c>
      <c r="Y9" s="4" t="s">
        <v>88</v>
      </c>
      <c r="Z9" s="4" t="s">
        <v>89</v>
      </c>
      <c r="AA9" s="4" t="s">
        <v>530</v>
      </c>
      <c r="AB9" s="4" t="s">
        <v>531</v>
      </c>
      <c r="AC9" s="4" t="s">
        <v>532</v>
      </c>
      <c r="AD9" s="4" t="s">
        <v>533</v>
      </c>
      <c r="AE9" s="4" t="s">
        <v>534</v>
      </c>
      <c r="AF9" s="4" t="s">
        <v>535</v>
      </c>
      <c r="AG9" s="4" t="s">
        <v>536</v>
      </c>
      <c r="AH9" s="4" t="s">
        <v>537</v>
      </c>
      <c r="AI9" s="4" t="s">
        <v>538</v>
      </c>
      <c r="AJ9" s="4" t="s">
        <v>539</v>
      </c>
      <c r="AK9" s="4" t="s">
        <v>91</v>
      </c>
      <c r="AL9" s="4" t="s">
        <v>92</v>
      </c>
      <c r="AM9" s="4" t="s">
        <v>540</v>
      </c>
      <c r="AN9" s="4" t="s">
        <v>541</v>
      </c>
      <c r="AO9" s="4" t="s">
        <v>542</v>
      </c>
      <c r="AP9" s="4" t="s">
        <v>543</v>
      </c>
      <c r="AQ9" s="4" t="s">
        <v>544</v>
      </c>
      <c r="AR9" s="4" t="s">
        <v>545</v>
      </c>
      <c r="AS9" s="4" t="s">
        <v>546</v>
      </c>
      <c r="AT9" s="4" t="s">
        <v>547</v>
      </c>
      <c r="AU9" s="4" t="s">
        <v>548</v>
      </c>
      <c r="AV9" s="4" t="s">
        <v>549</v>
      </c>
      <c r="AW9" s="4" t="s">
        <v>550</v>
      </c>
      <c r="AX9" s="4" t="s">
        <v>551</v>
      </c>
      <c r="AY9" s="4" t="s">
        <v>552</v>
      </c>
      <c r="AZ9" s="4" t="s">
        <v>553</v>
      </c>
      <c r="BA9" s="4" t="s">
        <v>554</v>
      </c>
      <c r="BB9" s="4" t="s">
        <v>555</v>
      </c>
      <c r="BC9" s="4" t="s">
        <v>556</v>
      </c>
      <c r="BD9" s="4" t="s">
        <v>557</v>
      </c>
    </row>
    <row r="10" spans="1:56" x14ac:dyDescent="0.2">
      <c r="A10" s="4" t="s">
        <v>558</v>
      </c>
      <c r="B10" s="4" t="s">
        <v>559</v>
      </c>
      <c r="C10" s="4" t="s">
        <v>560</v>
      </c>
      <c r="D10" s="4" t="s">
        <v>445</v>
      </c>
      <c r="E10" s="4" t="s">
        <v>561</v>
      </c>
      <c r="F10" s="4" t="s">
        <v>559</v>
      </c>
      <c r="G10" s="4" t="s">
        <v>562</v>
      </c>
      <c r="H10" s="4" t="s">
        <v>445</v>
      </c>
      <c r="I10" s="4" t="str">
        <f t="shared" ref="I10:I73" si="0">"1010"</f>
        <v>1010</v>
      </c>
      <c r="J10" s="4" t="s">
        <v>444</v>
      </c>
      <c r="K10" s="4" t="s">
        <v>443</v>
      </c>
      <c r="L10" s="4" t="s">
        <v>444</v>
      </c>
      <c r="M10" s="4" t="s">
        <v>445</v>
      </c>
      <c r="N10" s="4" t="str">
        <f>"311"</f>
        <v>311</v>
      </c>
      <c r="O10" s="4" t="s">
        <v>472</v>
      </c>
      <c r="P10" s="4" t="s">
        <v>563</v>
      </c>
      <c r="Q10" s="4" t="str">
        <f>"8088217521"</f>
        <v>8088217521</v>
      </c>
      <c r="S10" s="4" t="str">
        <f>"00880882175214"</f>
        <v>00880882175214</v>
      </c>
      <c r="T10" s="24">
        <v>40739</v>
      </c>
      <c r="U10" s="24">
        <v>40739</v>
      </c>
      <c r="V10" s="24">
        <v>1</v>
      </c>
      <c r="W10" s="4" t="str">
        <f>"8088217521"</f>
        <v>8088217521</v>
      </c>
      <c r="X10" s="4" t="s">
        <v>563</v>
      </c>
      <c r="Y10" s="4" t="str">
        <f t="shared" ref="Y10:Y47" si="1">"1010"</f>
        <v>1010</v>
      </c>
      <c r="Z10" s="4" t="str">
        <f>"11"</f>
        <v>11</v>
      </c>
      <c r="AA10" s="4" t="s">
        <v>93</v>
      </c>
      <c r="AB10" s="4" t="s">
        <v>564</v>
      </c>
      <c r="AC10" s="4" t="s">
        <v>563</v>
      </c>
      <c r="AD10" s="4" t="s">
        <v>565</v>
      </c>
      <c r="AE10" s="4" t="s">
        <v>566</v>
      </c>
      <c r="AF10" s="4" t="s">
        <v>567</v>
      </c>
      <c r="AH10" s="4" t="s">
        <v>568</v>
      </c>
      <c r="AI10" s="4" t="s">
        <v>569</v>
      </c>
      <c r="AJ10" s="4" t="s">
        <v>570</v>
      </c>
      <c r="AK10" s="4" t="s">
        <v>571</v>
      </c>
      <c r="AL10" s="4" t="s">
        <v>572</v>
      </c>
      <c r="AN10" s="4" t="str">
        <f t="shared" ref="AN10:AN35" si="2">"1"</f>
        <v>1</v>
      </c>
      <c r="AO10" s="4" t="s">
        <v>573</v>
      </c>
      <c r="AP10" s="4" t="s">
        <v>574</v>
      </c>
      <c r="AQ10" s="4" t="s">
        <v>575</v>
      </c>
      <c r="AR10" s="4" t="str">
        <f>"1.8000"</f>
        <v>1.8000</v>
      </c>
      <c r="AS10" s="4" t="str">
        <f>"10.40"</f>
        <v>10.40</v>
      </c>
      <c r="AT10" s="4" t="s">
        <v>576</v>
      </c>
      <c r="AU10" s="4" t="str">
        <f>"10.40"</f>
        <v>10.40</v>
      </c>
      <c r="AV10" s="4">
        <v>5</v>
      </c>
      <c r="AW10" s="4">
        <v>0</v>
      </c>
      <c r="AX10" s="4">
        <v>0</v>
      </c>
      <c r="AY10" s="4">
        <v>5</v>
      </c>
      <c r="AZ10" s="4">
        <v>0</v>
      </c>
      <c r="BA10" s="4">
        <v>52</v>
      </c>
      <c r="BB10" s="4">
        <v>52</v>
      </c>
      <c r="BC10" s="4">
        <v>52</v>
      </c>
      <c r="BD10" s="4">
        <v>0</v>
      </c>
    </row>
    <row r="11" spans="1:56" x14ac:dyDescent="0.2">
      <c r="A11" s="4" t="s">
        <v>558</v>
      </c>
      <c r="B11" s="4" t="s">
        <v>559</v>
      </c>
      <c r="C11" s="4" t="s">
        <v>560</v>
      </c>
      <c r="D11" s="4" t="s">
        <v>445</v>
      </c>
      <c r="E11" s="4" t="s">
        <v>561</v>
      </c>
      <c r="F11" s="4" t="s">
        <v>559</v>
      </c>
      <c r="G11" s="4" t="s">
        <v>562</v>
      </c>
      <c r="H11" s="4" t="s">
        <v>445</v>
      </c>
      <c r="I11" s="4" t="str">
        <f t="shared" si="0"/>
        <v>1010</v>
      </c>
      <c r="J11" s="4" t="s">
        <v>444</v>
      </c>
      <c r="K11" s="4" t="s">
        <v>443</v>
      </c>
      <c r="L11" s="4" t="s">
        <v>444</v>
      </c>
      <c r="M11" s="4" t="s">
        <v>445</v>
      </c>
      <c r="N11" s="4" t="str">
        <f>"311"</f>
        <v>311</v>
      </c>
      <c r="O11" s="4" t="s">
        <v>472</v>
      </c>
      <c r="P11" s="4" t="s">
        <v>563</v>
      </c>
      <c r="Q11" s="4" t="str">
        <f>"8088217522"</f>
        <v>8088217522</v>
      </c>
      <c r="S11" s="4" t="str">
        <f>"00880882175221"</f>
        <v>00880882175221</v>
      </c>
      <c r="T11" s="24">
        <v>40739</v>
      </c>
      <c r="U11" s="24">
        <v>40739</v>
      </c>
      <c r="V11" s="24">
        <v>1</v>
      </c>
      <c r="W11" s="4" t="str">
        <f>"8088217522"</f>
        <v>8088217522</v>
      </c>
      <c r="X11" s="4" t="s">
        <v>563</v>
      </c>
      <c r="Y11" s="4" t="str">
        <f t="shared" si="1"/>
        <v>1010</v>
      </c>
      <c r="Z11" s="4" t="str">
        <f>"11"</f>
        <v>11</v>
      </c>
      <c r="AA11" s="4" t="s">
        <v>93</v>
      </c>
      <c r="AB11" s="4" t="s">
        <v>564</v>
      </c>
      <c r="AC11" s="4" t="s">
        <v>563</v>
      </c>
      <c r="AD11" s="4" t="s">
        <v>565</v>
      </c>
      <c r="AE11" s="4" t="s">
        <v>566</v>
      </c>
      <c r="AF11" s="4" t="s">
        <v>567</v>
      </c>
      <c r="AH11" s="4" t="s">
        <v>568</v>
      </c>
      <c r="AI11" s="4" t="s">
        <v>569</v>
      </c>
      <c r="AJ11" s="4" t="s">
        <v>570</v>
      </c>
      <c r="AK11" s="4" t="s">
        <v>577</v>
      </c>
      <c r="AL11" s="4" t="s">
        <v>578</v>
      </c>
      <c r="AN11" s="4" t="str">
        <f t="shared" si="2"/>
        <v>1</v>
      </c>
      <c r="AO11" s="4" t="s">
        <v>579</v>
      </c>
      <c r="AP11" s="4" t="s">
        <v>574</v>
      </c>
      <c r="AQ11" s="4" t="s">
        <v>580</v>
      </c>
      <c r="AR11" s="4" t="str">
        <f>".7500"</f>
        <v>.7500</v>
      </c>
      <c r="AS11" s="4" t="str">
        <f>"7.50"</f>
        <v>7.50</v>
      </c>
      <c r="AT11" s="4" t="s">
        <v>581</v>
      </c>
      <c r="AU11" s="4" t="str">
        <f>"7.50"</f>
        <v>7.50</v>
      </c>
      <c r="AV11" s="4">
        <v>27</v>
      </c>
      <c r="AW11" s="4">
        <v>-502</v>
      </c>
      <c r="AX11" s="4">
        <v>-3681</v>
      </c>
      <c r="AY11" s="4">
        <v>-475</v>
      </c>
      <c r="AZ11" s="4">
        <v>17.25</v>
      </c>
      <c r="BA11" s="4">
        <v>202.55</v>
      </c>
      <c r="BB11" s="4">
        <v>-3495.7</v>
      </c>
      <c r="BC11" s="4">
        <v>185.3</v>
      </c>
      <c r="BD11" s="4">
        <v>0</v>
      </c>
    </row>
    <row r="12" spans="1:56" x14ac:dyDescent="0.2">
      <c r="A12" s="4" t="s">
        <v>558</v>
      </c>
      <c r="B12" s="4" t="s">
        <v>559</v>
      </c>
      <c r="C12" s="4" t="s">
        <v>560</v>
      </c>
      <c r="D12" s="4" t="s">
        <v>445</v>
      </c>
      <c r="E12" s="4" t="s">
        <v>561</v>
      </c>
      <c r="F12" s="4" t="s">
        <v>559</v>
      </c>
      <c r="G12" s="4" t="s">
        <v>562</v>
      </c>
      <c r="H12" s="4" t="s">
        <v>445</v>
      </c>
      <c r="I12" s="4" t="str">
        <f t="shared" si="0"/>
        <v>1010</v>
      </c>
      <c r="J12" s="4" t="s">
        <v>444</v>
      </c>
      <c r="K12" s="4" t="s">
        <v>443</v>
      </c>
      <c r="L12" s="4" t="s">
        <v>444</v>
      </c>
      <c r="M12" s="4" t="s">
        <v>445</v>
      </c>
      <c r="N12" s="4" t="s">
        <v>582</v>
      </c>
      <c r="O12" s="4" t="s">
        <v>454</v>
      </c>
      <c r="P12" s="4" t="s">
        <v>563</v>
      </c>
      <c r="Q12" s="4" t="str">
        <f>"8088217721"</f>
        <v>8088217721</v>
      </c>
      <c r="S12" s="4" t="str">
        <f>"00880882177218"</f>
        <v>00880882177218</v>
      </c>
      <c r="T12" s="24">
        <v>40851</v>
      </c>
      <c r="U12" s="24">
        <v>40851</v>
      </c>
      <c r="V12" s="24">
        <v>1</v>
      </c>
      <c r="W12" s="4" t="str">
        <f>"8088217721"</f>
        <v>8088217721</v>
      </c>
      <c r="X12" s="4" t="s">
        <v>563</v>
      </c>
      <c r="Y12" s="4" t="str">
        <f t="shared" si="1"/>
        <v>1010</v>
      </c>
      <c r="Z12" s="4" t="str">
        <f>"11"</f>
        <v>11</v>
      </c>
      <c r="AA12" s="4" t="s">
        <v>93</v>
      </c>
      <c r="AB12" s="4" t="s">
        <v>564</v>
      </c>
      <c r="AC12" s="4" t="s">
        <v>563</v>
      </c>
      <c r="AD12" s="4" t="s">
        <v>565</v>
      </c>
      <c r="AE12" s="4" t="s">
        <v>566</v>
      </c>
      <c r="AF12" s="4" t="s">
        <v>567</v>
      </c>
      <c r="AH12" s="4" t="s">
        <v>568</v>
      </c>
      <c r="AI12" s="4" t="s">
        <v>569</v>
      </c>
      <c r="AJ12" s="4" t="s">
        <v>570</v>
      </c>
      <c r="AK12" s="4" t="s">
        <v>571</v>
      </c>
      <c r="AL12" s="4" t="s">
        <v>572</v>
      </c>
      <c r="AN12" s="4" t="str">
        <f t="shared" si="2"/>
        <v>1</v>
      </c>
      <c r="AO12" s="4" t="s">
        <v>573</v>
      </c>
      <c r="AP12" s="4" t="s">
        <v>574</v>
      </c>
      <c r="AQ12" s="4" t="s">
        <v>575</v>
      </c>
      <c r="AR12" s="4" t="str">
        <f>"1.8000"</f>
        <v>1.8000</v>
      </c>
      <c r="AS12" s="4" t="str">
        <f>"10.40"</f>
        <v>10.40</v>
      </c>
      <c r="AT12" s="4" t="s">
        <v>576</v>
      </c>
      <c r="AU12" s="4" t="str">
        <f>"10.40"</f>
        <v>10.40</v>
      </c>
      <c r="AV12" s="4">
        <v>6</v>
      </c>
      <c r="AW12" s="4">
        <v>0</v>
      </c>
      <c r="AX12" s="4">
        <v>0</v>
      </c>
      <c r="AY12" s="4">
        <v>6</v>
      </c>
      <c r="AZ12" s="4">
        <v>0</v>
      </c>
      <c r="BA12" s="4">
        <v>62.4</v>
      </c>
      <c r="BB12" s="4">
        <v>62.4</v>
      </c>
      <c r="BC12" s="4">
        <v>62.4</v>
      </c>
      <c r="BD12" s="4">
        <v>0</v>
      </c>
    </row>
    <row r="13" spans="1:56" x14ac:dyDescent="0.2">
      <c r="A13" s="4" t="s">
        <v>558</v>
      </c>
      <c r="B13" s="4" t="s">
        <v>559</v>
      </c>
      <c r="C13" s="4" t="s">
        <v>560</v>
      </c>
      <c r="D13" s="4" t="s">
        <v>445</v>
      </c>
      <c r="E13" s="4" t="s">
        <v>561</v>
      </c>
      <c r="F13" s="4" t="s">
        <v>559</v>
      </c>
      <c r="G13" s="4" t="s">
        <v>562</v>
      </c>
      <c r="H13" s="4" t="s">
        <v>445</v>
      </c>
      <c r="I13" s="4" t="str">
        <f t="shared" si="0"/>
        <v>1010</v>
      </c>
      <c r="J13" s="4" t="s">
        <v>444</v>
      </c>
      <c r="K13" s="4" t="s">
        <v>443</v>
      </c>
      <c r="L13" s="4" t="s">
        <v>444</v>
      </c>
      <c r="M13" s="4" t="s">
        <v>445</v>
      </c>
      <c r="N13" s="4" t="s">
        <v>582</v>
      </c>
      <c r="O13" s="4" t="s">
        <v>454</v>
      </c>
      <c r="P13" s="4" t="s">
        <v>563</v>
      </c>
      <c r="Q13" s="4" t="str">
        <f>"8088217722"</f>
        <v>8088217722</v>
      </c>
      <c r="S13" s="4" t="str">
        <f>"00880882177225"</f>
        <v>00880882177225</v>
      </c>
      <c r="T13" s="24">
        <v>40851</v>
      </c>
      <c r="U13" s="24">
        <v>40851</v>
      </c>
      <c r="V13" s="24">
        <v>1</v>
      </c>
      <c r="W13" s="4" t="str">
        <f>"8088217722"</f>
        <v>8088217722</v>
      </c>
      <c r="X13" s="4" t="s">
        <v>563</v>
      </c>
      <c r="Y13" s="4" t="str">
        <f t="shared" si="1"/>
        <v>1010</v>
      </c>
      <c r="Z13" s="4" t="str">
        <f>"11"</f>
        <v>11</v>
      </c>
      <c r="AA13" s="4" t="s">
        <v>93</v>
      </c>
      <c r="AB13" s="4" t="s">
        <v>564</v>
      </c>
      <c r="AC13" s="4" t="s">
        <v>563</v>
      </c>
      <c r="AD13" s="4" t="s">
        <v>565</v>
      </c>
      <c r="AE13" s="4" t="s">
        <v>566</v>
      </c>
      <c r="AF13" s="4" t="s">
        <v>567</v>
      </c>
      <c r="AH13" s="4" t="s">
        <v>568</v>
      </c>
      <c r="AI13" s="4" t="s">
        <v>569</v>
      </c>
      <c r="AJ13" s="4" t="s">
        <v>570</v>
      </c>
      <c r="AK13" s="4" t="s">
        <v>577</v>
      </c>
      <c r="AL13" s="4" t="s">
        <v>578</v>
      </c>
      <c r="AN13" s="4" t="str">
        <f t="shared" si="2"/>
        <v>1</v>
      </c>
      <c r="AO13" s="4" t="s">
        <v>579</v>
      </c>
      <c r="AP13" s="4" t="s">
        <v>574</v>
      </c>
      <c r="AQ13" s="4" t="s">
        <v>580</v>
      </c>
      <c r="AR13" s="4" t="str">
        <f>".7500"</f>
        <v>.7500</v>
      </c>
      <c r="AS13" s="4" t="str">
        <f>"7.50"</f>
        <v>7.50</v>
      </c>
      <c r="AT13" s="4" t="s">
        <v>581</v>
      </c>
      <c r="AU13" s="4" t="str">
        <f>"7.50"</f>
        <v>7.50</v>
      </c>
      <c r="AV13" s="4">
        <v>0</v>
      </c>
      <c r="AW13" s="4">
        <v>-1</v>
      </c>
      <c r="AX13" s="4">
        <v>-7.15</v>
      </c>
      <c r="AY13" s="4">
        <v>-1</v>
      </c>
      <c r="AZ13" s="4">
        <v>0</v>
      </c>
      <c r="BA13" s="4">
        <v>0</v>
      </c>
      <c r="BB13" s="4">
        <v>-7.15</v>
      </c>
      <c r="BC13" s="4">
        <v>0</v>
      </c>
      <c r="BD13" s="4">
        <v>0</v>
      </c>
    </row>
    <row r="14" spans="1:56" x14ac:dyDescent="0.2">
      <c r="A14" s="4" t="s">
        <v>558</v>
      </c>
      <c r="B14" s="4" t="s">
        <v>559</v>
      </c>
      <c r="C14" s="4" t="s">
        <v>560</v>
      </c>
      <c r="D14" s="4" t="s">
        <v>445</v>
      </c>
      <c r="E14" s="4" t="s">
        <v>561</v>
      </c>
      <c r="F14" s="4" t="s">
        <v>559</v>
      </c>
      <c r="G14" s="4" t="s">
        <v>562</v>
      </c>
      <c r="H14" s="4" t="s">
        <v>445</v>
      </c>
      <c r="I14" s="4" t="str">
        <f t="shared" si="0"/>
        <v>1010</v>
      </c>
      <c r="J14" s="4" t="s">
        <v>444</v>
      </c>
      <c r="K14" s="4" t="s">
        <v>443</v>
      </c>
      <c r="L14" s="4" t="s">
        <v>444</v>
      </c>
      <c r="M14" s="4" t="s">
        <v>445</v>
      </c>
      <c r="N14" s="4" t="s">
        <v>451</v>
      </c>
      <c r="O14" s="4" t="s">
        <v>450</v>
      </c>
      <c r="P14" s="4" t="s">
        <v>563</v>
      </c>
      <c r="Q14" s="4" t="str">
        <f>"8088217871"</f>
        <v>8088217871</v>
      </c>
      <c r="S14" s="4" t="str">
        <f>"00880882178710"</f>
        <v>00880882178710</v>
      </c>
      <c r="T14" s="24">
        <v>41005</v>
      </c>
      <c r="U14" s="24">
        <v>41005</v>
      </c>
      <c r="V14" s="24">
        <v>1</v>
      </c>
      <c r="W14" s="4" t="str">
        <f>"8088217871"</f>
        <v>8088217871</v>
      </c>
      <c r="X14" s="4" t="s">
        <v>563</v>
      </c>
      <c r="Y14" s="4" t="str">
        <f t="shared" si="1"/>
        <v>1010</v>
      </c>
      <c r="Z14" s="4" t="str">
        <f>"11"</f>
        <v>11</v>
      </c>
      <c r="AA14" s="4" t="s">
        <v>93</v>
      </c>
      <c r="AB14" s="4" t="s">
        <v>564</v>
      </c>
      <c r="AC14" s="4" t="s">
        <v>563</v>
      </c>
      <c r="AD14" s="4" t="s">
        <v>565</v>
      </c>
      <c r="AE14" s="4" t="s">
        <v>566</v>
      </c>
      <c r="AF14" s="4" t="s">
        <v>567</v>
      </c>
      <c r="AH14" s="4" t="s">
        <v>568</v>
      </c>
      <c r="AI14" s="4" t="s">
        <v>569</v>
      </c>
      <c r="AJ14" s="4" t="s">
        <v>570</v>
      </c>
      <c r="AK14" s="4" t="s">
        <v>571</v>
      </c>
      <c r="AL14" s="4" t="s">
        <v>572</v>
      </c>
      <c r="AN14" s="4" t="str">
        <f t="shared" si="2"/>
        <v>1</v>
      </c>
      <c r="AO14" s="4" t="s">
        <v>583</v>
      </c>
      <c r="AP14" s="4" t="s">
        <v>584</v>
      </c>
      <c r="AQ14" s="4" t="s">
        <v>575</v>
      </c>
      <c r="AR14" s="4" t="str">
        <f>"1.8000"</f>
        <v>1.8000</v>
      </c>
      <c r="AS14" s="4" t="str">
        <f>"11.59"</f>
        <v>11.59</v>
      </c>
      <c r="AT14" s="4" t="s">
        <v>585</v>
      </c>
      <c r="AU14" s="4" t="str">
        <f>"11.59"</f>
        <v>11.59</v>
      </c>
      <c r="AV14" s="4">
        <v>763</v>
      </c>
      <c r="AW14" s="4">
        <v>0</v>
      </c>
      <c r="AX14" s="4">
        <v>0</v>
      </c>
      <c r="AY14" s="4">
        <v>763</v>
      </c>
      <c r="AZ14" s="4">
        <v>0</v>
      </c>
      <c r="BA14" s="4">
        <v>8825.77</v>
      </c>
      <c r="BB14" s="4">
        <v>8825.77</v>
      </c>
      <c r="BC14" s="4">
        <v>8825.77</v>
      </c>
      <c r="BD14" s="4">
        <v>0</v>
      </c>
    </row>
    <row r="15" spans="1:56" x14ac:dyDescent="0.2">
      <c r="A15" s="4" t="s">
        <v>558</v>
      </c>
      <c r="B15" s="4" t="s">
        <v>559</v>
      </c>
      <c r="C15" s="4" t="s">
        <v>560</v>
      </c>
      <c r="D15" s="4" t="s">
        <v>445</v>
      </c>
      <c r="E15" s="4" t="s">
        <v>561</v>
      </c>
      <c r="F15" s="4" t="s">
        <v>559</v>
      </c>
      <c r="G15" s="4" t="s">
        <v>562</v>
      </c>
      <c r="H15" s="4" t="s">
        <v>445</v>
      </c>
      <c r="I15" s="4" t="str">
        <f t="shared" si="0"/>
        <v>1010</v>
      </c>
      <c r="J15" s="4" t="s">
        <v>444</v>
      </c>
      <c r="K15" s="4" t="s">
        <v>443</v>
      </c>
      <c r="L15" s="4" t="s">
        <v>444</v>
      </c>
      <c r="M15" s="4" t="s">
        <v>445</v>
      </c>
      <c r="N15" s="4" t="s">
        <v>451</v>
      </c>
      <c r="O15" s="4" t="s">
        <v>450</v>
      </c>
      <c r="P15" s="4" t="s">
        <v>563</v>
      </c>
      <c r="Q15" s="4" t="str">
        <f>"8088217871"</f>
        <v>8088217871</v>
      </c>
      <c r="S15" s="4" t="str">
        <f>"00880882178710"</f>
        <v>00880882178710</v>
      </c>
      <c r="T15" s="24">
        <v>41005</v>
      </c>
      <c r="U15" s="24">
        <v>41005</v>
      </c>
      <c r="V15" s="24">
        <v>1</v>
      </c>
      <c r="W15" s="4" t="str">
        <f>"8088217871"</f>
        <v>8088217871</v>
      </c>
      <c r="X15" s="4" t="s">
        <v>563</v>
      </c>
      <c r="Y15" s="4" t="str">
        <f t="shared" si="1"/>
        <v>1010</v>
      </c>
      <c r="Z15" s="4" t="str">
        <f>"53"</f>
        <v>53</v>
      </c>
      <c r="AA15" s="4" t="s">
        <v>93</v>
      </c>
      <c r="AB15" s="4" t="s">
        <v>564</v>
      </c>
      <c r="AC15" s="4" t="s">
        <v>563</v>
      </c>
      <c r="AD15" s="4" t="s">
        <v>565</v>
      </c>
      <c r="AE15" s="4" t="s">
        <v>566</v>
      </c>
      <c r="AF15" s="4" t="s">
        <v>568</v>
      </c>
      <c r="AH15" s="4" t="s">
        <v>568</v>
      </c>
      <c r="AI15" s="4" t="s">
        <v>569</v>
      </c>
      <c r="AJ15" s="4" t="s">
        <v>570</v>
      </c>
      <c r="AK15" s="4" t="s">
        <v>571</v>
      </c>
      <c r="AL15" s="4" t="s">
        <v>572</v>
      </c>
      <c r="AN15" s="4" t="str">
        <f t="shared" si="2"/>
        <v>1</v>
      </c>
      <c r="AO15" s="4" t="s">
        <v>583</v>
      </c>
      <c r="AP15" s="4" t="s">
        <v>584</v>
      </c>
      <c r="AQ15" s="4" t="s">
        <v>575</v>
      </c>
      <c r="AR15" s="4" t="str">
        <f>"1.8000"</f>
        <v>1.8000</v>
      </c>
      <c r="AS15" s="4" t="str">
        <f>"11.59"</f>
        <v>11.59</v>
      </c>
      <c r="AT15" s="4" t="s">
        <v>585</v>
      </c>
      <c r="AU15" s="4" t="str">
        <f>"11.59"</f>
        <v>11.59</v>
      </c>
      <c r="AV15" s="4">
        <v>2</v>
      </c>
      <c r="AW15" s="4">
        <v>0</v>
      </c>
      <c r="AX15" s="4">
        <v>0</v>
      </c>
      <c r="AY15" s="4">
        <v>2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</row>
    <row r="16" spans="1:56" x14ac:dyDescent="0.2">
      <c r="A16" s="4" t="s">
        <v>558</v>
      </c>
      <c r="B16" s="4" t="s">
        <v>559</v>
      </c>
      <c r="C16" s="4" t="s">
        <v>560</v>
      </c>
      <c r="D16" s="4" t="s">
        <v>445</v>
      </c>
      <c r="E16" s="4" t="s">
        <v>561</v>
      </c>
      <c r="F16" s="4" t="s">
        <v>559</v>
      </c>
      <c r="G16" s="4" t="s">
        <v>562</v>
      </c>
      <c r="H16" s="4" t="s">
        <v>445</v>
      </c>
      <c r="I16" s="4" t="str">
        <f t="shared" si="0"/>
        <v>1010</v>
      </c>
      <c r="J16" s="4" t="s">
        <v>444</v>
      </c>
      <c r="K16" s="4" t="s">
        <v>443</v>
      </c>
      <c r="L16" s="4" t="s">
        <v>444</v>
      </c>
      <c r="M16" s="4" t="s">
        <v>445</v>
      </c>
      <c r="N16" s="4" t="s">
        <v>451</v>
      </c>
      <c r="O16" s="4" t="s">
        <v>450</v>
      </c>
      <c r="P16" s="4" t="s">
        <v>563</v>
      </c>
      <c r="Q16" s="4" t="str">
        <f>"8088217871"</f>
        <v>8088217871</v>
      </c>
      <c r="S16" s="4" t="str">
        <f>"00880882178710"</f>
        <v>00880882178710</v>
      </c>
      <c r="T16" s="24">
        <v>41005</v>
      </c>
      <c r="U16" s="24">
        <v>41005</v>
      </c>
      <c r="V16" s="24">
        <v>1</v>
      </c>
      <c r="W16" s="4" t="str">
        <f>"8088217871"</f>
        <v>8088217871</v>
      </c>
      <c r="X16" s="4" t="s">
        <v>563</v>
      </c>
      <c r="Y16" s="4" t="str">
        <f t="shared" si="1"/>
        <v>1010</v>
      </c>
      <c r="Z16" s="4" t="str">
        <f>"54"</f>
        <v>54</v>
      </c>
      <c r="AA16" s="4" t="s">
        <v>93</v>
      </c>
      <c r="AB16" s="4" t="s">
        <v>564</v>
      </c>
      <c r="AC16" s="4" t="s">
        <v>563</v>
      </c>
      <c r="AD16" s="4" t="s">
        <v>565</v>
      </c>
      <c r="AE16" s="4" t="s">
        <v>566</v>
      </c>
      <c r="AF16" s="4" t="s">
        <v>568</v>
      </c>
      <c r="AH16" s="4" t="s">
        <v>568</v>
      </c>
      <c r="AI16" s="4" t="s">
        <v>569</v>
      </c>
      <c r="AJ16" s="4" t="s">
        <v>570</v>
      </c>
      <c r="AK16" s="4" t="s">
        <v>571</v>
      </c>
      <c r="AL16" s="4" t="s">
        <v>572</v>
      </c>
      <c r="AN16" s="4" t="str">
        <f t="shared" si="2"/>
        <v>1</v>
      </c>
      <c r="AO16" s="4" t="s">
        <v>583</v>
      </c>
      <c r="AP16" s="4" t="s">
        <v>584</v>
      </c>
      <c r="AQ16" s="4" t="s">
        <v>575</v>
      </c>
      <c r="AR16" s="4" t="str">
        <f>"1.8000"</f>
        <v>1.8000</v>
      </c>
      <c r="AS16" s="4" t="str">
        <f>"11.59"</f>
        <v>11.59</v>
      </c>
      <c r="AT16" s="4" t="s">
        <v>585</v>
      </c>
      <c r="AU16" s="4" t="str">
        <f>"11.59"</f>
        <v>11.59</v>
      </c>
      <c r="AV16" s="4">
        <v>1</v>
      </c>
      <c r="AW16" s="4">
        <v>0</v>
      </c>
      <c r="AX16" s="4">
        <v>0</v>
      </c>
      <c r="AY16" s="4">
        <v>1</v>
      </c>
      <c r="AZ16" s="4">
        <v>0</v>
      </c>
      <c r="BA16" s="4">
        <v>4</v>
      </c>
      <c r="BB16" s="4">
        <v>4</v>
      </c>
      <c r="BC16" s="4">
        <v>4</v>
      </c>
      <c r="BD16" s="4">
        <v>0</v>
      </c>
    </row>
    <row r="17" spans="1:56" x14ac:dyDescent="0.2">
      <c r="A17" s="4" t="s">
        <v>558</v>
      </c>
      <c r="B17" s="4" t="s">
        <v>559</v>
      </c>
      <c r="C17" s="4" t="s">
        <v>560</v>
      </c>
      <c r="D17" s="4" t="s">
        <v>445</v>
      </c>
      <c r="E17" s="4" t="s">
        <v>561</v>
      </c>
      <c r="F17" s="4" t="s">
        <v>559</v>
      </c>
      <c r="G17" s="4" t="s">
        <v>562</v>
      </c>
      <c r="H17" s="4" t="s">
        <v>445</v>
      </c>
      <c r="I17" s="4" t="str">
        <f t="shared" si="0"/>
        <v>1010</v>
      </c>
      <c r="J17" s="4" t="s">
        <v>444</v>
      </c>
      <c r="K17" s="4" t="s">
        <v>443</v>
      </c>
      <c r="L17" s="4" t="s">
        <v>444</v>
      </c>
      <c r="M17" s="4" t="s">
        <v>445</v>
      </c>
      <c r="N17" s="4" t="s">
        <v>451</v>
      </c>
      <c r="O17" s="4" t="s">
        <v>450</v>
      </c>
      <c r="P17" s="4" t="s">
        <v>563</v>
      </c>
      <c r="Q17" s="4" t="str">
        <f>"8088217872"</f>
        <v>8088217872</v>
      </c>
      <c r="S17" s="4" t="str">
        <f>"00880882178727"</f>
        <v>00880882178727</v>
      </c>
      <c r="T17" s="24">
        <v>41005</v>
      </c>
      <c r="U17" s="24">
        <v>41005</v>
      </c>
      <c r="V17" s="24">
        <v>1</v>
      </c>
      <c r="W17" s="4" t="str">
        <f>"8088217872"</f>
        <v>8088217872</v>
      </c>
      <c r="X17" s="4" t="s">
        <v>563</v>
      </c>
      <c r="Y17" s="4" t="str">
        <f t="shared" si="1"/>
        <v>1010</v>
      </c>
      <c r="Z17" s="4" t="str">
        <f>"11"</f>
        <v>11</v>
      </c>
      <c r="AA17" s="4" t="s">
        <v>93</v>
      </c>
      <c r="AB17" s="4" t="s">
        <v>564</v>
      </c>
      <c r="AC17" s="4" t="s">
        <v>563</v>
      </c>
      <c r="AD17" s="4" t="s">
        <v>565</v>
      </c>
      <c r="AE17" s="4" t="s">
        <v>566</v>
      </c>
      <c r="AF17" s="4" t="s">
        <v>567</v>
      </c>
      <c r="AH17" s="4" t="s">
        <v>568</v>
      </c>
      <c r="AI17" s="4" t="s">
        <v>569</v>
      </c>
      <c r="AJ17" s="4" t="s">
        <v>570</v>
      </c>
      <c r="AK17" s="4" t="s">
        <v>577</v>
      </c>
      <c r="AL17" s="4" t="s">
        <v>578</v>
      </c>
      <c r="AN17" s="4" t="str">
        <f t="shared" si="2"/>
        <v>1</v>
      </c>
      <c r="AO17" s="4" t="s">
        <v>586</v>
      </c>
      <c r="AP17" s="4" t="s">
        <v>584</v>
      </c>
      <c r="AQ17" s="4" t="s">
        <v>575</v>
      </c>
      <c r="AR17" s="4" t="str">
        <f>".7500"</f>
        <v>.7500</v>
      </c>
      <c r="AS17" s="4" t="str">
        <f>"8.00"</f>
        <v>8.00</v>
      </c>
      <c r="AT17" s="4" t="s">
        <v>587</v>
      </c>
      <c r="AU17" s="4" t="str">
        <f>"8.00"</f>
        <v>8.00</v>
      </c>
      <c r="AV17" s="4">
        <v>3412</v>
      </c>
      <c r="AW17" s="4">
        <v>-1140</v>
      </c>
      <c r="AX17" s="4">
        <v>-9094.4500000000007</v>
      </c>
      <c r="AY17" s="4">
        <v>2272</v>
      </c>
      <c r="AZ17" s="4">
        <v>2628.73</v>
      </c>
      <c r="BA17" s="4">
        <v>27284.33</v>
      </c>
      <c r="BB17" s="4">
        <v>15561.15</v>
      </c>
      <c r="BC17" s="4">
        <v>24655.599999999999</v>
      </c>
      <c r="BD17" s="4">
        <v>0</v>
      </c>
    </row>
    <row r="18" spans="1:56" x14ac:dyDescent="0.2">
      <c r="A18" s="4" t="s">
        <v>558</v>
      </c>
      <c r="B18" s="4" t="s">
        <v>559</v>
      </c>
      <c r="C18" s="4" t="s">
        <v>560</v>
      </c>
      <c r="D18" s="4" t="s">
        <v>445</v>
      </c>
      <c r="E18" s="4" t="s">
        <v>561</v>
      </c>
      <c r="F18" s="4" t="s">
        <v>559</v>
      </c>
      <c r="G18" s="4" t="s">
        <v>562</v>
      </c>
      <c r="H18" s="4" t="s">
        <v>445</v>
      </c>
      <c r="I18" s="4" t="str">
        <f t="shared" si="0"/>
        <v>1010</v>
      </c>
      <c r="J18" s="4" t="s">
        <v>444</v>
      </c>
      <c r="K18" s="4" t="s">
        <v>443</v>
      </c>
      <c r="L18" s="4" t="s">
        <v>444</v>
      </c>
      <c r="M18" s="4" t="s">
        <v>445</v>
      </c>
      <c r="N18" s="4" t="s">
        <v>451</v>
      </c>
      <c r="O18" s="4" t="s">
        <v>450</v>
      </c>
      <c r="P18" s="4" t="s">
        <v>563</v>
      </c>
      <c r="Q18" s="4" t="str">
        <f>"8088217872"</f>
        <v>8088217872</v>
      </c>
      <c r="S18" s="4" t="str">
        <f>"00880882178727"</f>
        <v>00880882178727</v>
      </c>
      <c r="T18" s="24">
        <v>41005</v>
      </c>
      <c r="U18" s="24">
        <v>41005</v>
      </c>
      <c r="V18" s="24">
        <v>1</v>
      </c>
      <c r="W18" s="4" t="str">
        <f>"8088217872"</f>
        <v>8088217872</v>
      </c>
      <c r="X18" s="4" t="s">
        <v>563</v>
      </c>
      <c r="Y18" s="4" t="str">
        <f t="shared" si="1"/>
        <v>1010</v>
      </c>
      <c r="Z18" s="4" t="str">
        <f>"53"</f>
        <v>53</v>
      </c>
      <c r="AA18" s="4" t="s">
        <v>93</v>
      </c>
      <c r="AB18" s="4" t="s">
        <v>564</v>
      </c>
      <c r="AC18" s="4" t="s">
        <v>563</v>
      </c>
      <c r="AD18" s="4" t="s">
        <v>565</v>
      </c>
      <c r="AE18" s="4" t="s">
        <v>566</v>
      </c>
      <c r="AF18" s="4" t="s">
        <v>568</v>
      </c>
      <c r="AH18" s="4" t="s">
        <v>568</v>
      </c>
      <c r="AI18" s="4" t="s">
        <v>569</v>
      </c>
      <c r="AJ18" s="4" t="s">
        <v>570</v>
      </c>
      <c r="AK18" s="4" t="s">
        <v>577</v>
      </c>
      <c r="AL18" s="4" t="s">
        <v>578</v>
      </c>
      <c r="AN18" s="4" t="str">
        <f t="shared" si="2"/>
        <v>1</v>
      </c>
      <c r="AO18" s="4" t="s">
        <v>586</v>
      </c>
      <c r="AP18" s="4" t="s">
        <v>584</v>
      </c>
      <c r="AQ18" s="4" t="s">
        <v>575</v>
      </c>
      <c r="AR18" s="4" t="str">
        <f>".7500"</f>
        <v>.7500</v>
      </c>
      <c r="AS18" s="4" t="str">
        <f>"8.00"</f>
        <v>8.00</v>
      </c>
      <c r="AT18" s="4" t="s">
        <v>587</v>
      </c>
      <c r="AU18" s="4" t="str">
        <f>"8.00"</f>
        <v>8.00</v>
      </c>
      <c r="AV18" s="4">
        <v>58</v>
      </c>
      <c r="AW18" s="4">
        <v>0</v>
      </c>
      <c r="AX18" s="4">
        <v>0</v>
      </c>
      <c r="AY18" s="4">
        <v>58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</row>
    <row r="19" spans="1:56" x14ac:dyDescent="0.2">
      <c r="A19" s="4" t="s">
        <v>558</v>
      </c>
      <c r="B19" s="4" t="s">
        <v>559</v>
      </c>
      <c r="C19" s="4" t="s">
        <v>560</v>
      </c>
      <c r="D19" s="4" t="s">
        <v>445</v>
      </c>
      <c r="E19" s="4" t="s">
        <v>561</v>
      </c>
      <c r="F19" s="4" t="s">
        <v>559</v>
      </c>
      <c r="G19" s="4" t="s">
        <v>562</v>
      </c>
      <c r="H19" s="4" t="s">
        <v>445</v>
      </c>
      <c r="I19" s="4" t="str">
        <f t="shared" si="0"/>
        <v>1010</v>
      </c>
      <c r="J19" s="4" t="s">
        <v>444</v>
      </c>
      <c r="K19" s="4" t="s">
        <v>443</v>
      </c>
      <c r="L19" s="4" t="s">
        <v>444</v>
      </c>
      <c r="M19" s="4" t="s">
        <v>445</v>
      </c>
      <c r="N19" s="4" t="s">
        <v>451</v>
      </c>
      <c r="O19" s="4" t="s">
        <v>588</v>
      </c>
      <c r="P19" s="4" t="s">
        <v>563</v>
      </c>
      <c r="Q19" s="4" t="str">
        <f>"8088217992"</f>
        <v>8088217992</v>
      </c>
      <c r="S19" s="4" t="str">
        <f>"00880882179922"</f>
        <v>00880882179922</v>
      </c>
      <c r="T19" s="24">
        <v>41005</v>
      </c>
      <c r="U19" s="24">
        <v>41005</v>
      </c>
      <c r="V19" s="24">
        <v>1</v>
      </c>
      <c r="W19" s="4" t="str">
        <f>"8088217992"</f>
        <v>8088217992</v>
      </c>
      <c r="X19" s="4" t="s">
        <v>563</v>
      </c>
      <c r="Y19" s="4" t="str">
        <f t="shared" si="1"/>
        <v>1010</v>
      </c>
      <c r="Z19" s="4" t="str">
        <f t="shared" ref="Z19:Z28" si="3">"11"</f>
        <v>11</v>
      </c>
      <c r="AA19" s="4" t="s">
        <v>98</v>
      </c>
      <c r="AB19" s="4" t="s">
        <v>564</v>
      </c>
      <c r="AC19" s="4" t="s">
        <v>563</v>
      </c>
      <c r="AD19" s="4" t="s">
        <v>565</v>
      </c>
      <c r="AE19" s="4" t="s">
        <v>566</v>
      </c>
      <c r="AF19" s="4" t="s">
        <v>567</v>
      </c>
      <c r="AH19" s="4" t="s">
        <v>568</v>
      </c>
      <c r="AI19" s="4" t="s">
        <v>589</v>
      </c>
      <c r="AJ19" s="4" t="s">
        <v>590</v>
      </c>
      <c r="AK19" s="4" t="s">
        <v>577</v>
      </c>
      <c r="AL19" s="4" t="s">
        <v>578</v>
      </c>
      <c r="AN19" s="4" t="str">
        <f t="shared" si="2"/>
        <v>1</v>
      </c>
      <c r="AO19" s="4" t="s">
        <v>579</v>
      </c>
      <c r="AP19" s="4" t="s">
        <v>584</v>
      </c>
      <c r="AQ19" s="4" t="s">
        <v>580</v>
      </c>
      <c r="AR19" s="4" t="str">
        <f>".7500"</f>
        <v>.7500</v>
      </c>
      <c r="AS19" s="4" t="str">
        <f>"7.50"</f>
        <v>7.50</v>
      </c>
      <c r="AT19" s="4" t="s">
        <v>581</v>
      </c>
      <c r="AU19" s="4" t="str">
        <f>"7.50"</f>
        <v>7.50</v>
      </c>
      <c r="AV19" s="4">
        <v>0</v>
      </c>
      <c r="AW19" s="4">
        <v>-1</v>
      </c>
      <c r="AX19" s="4">
        <v>-7.15</v>
      </c>
      <c r="AY19" s="4">
        <v>-1</v>
      </c>
      <c r="AZ19" s="4">
        <v>0</v>
      </c>
      <c r="BA19" s="4">
        <v>0</v>
      </c>
      <c r="BB19" s="4">
        <v>-7.15</v>
      </c>
      <c r="BC19" s="4">
        <v>0</v>
      </c>
      <c r="BD19" s="4">
        <v>0</v>
      </c>
    </row>
    <row r="20" spans="1:56" x14ac:dyDescent="0.2">
      <c r="A20" s="4" t="s">
        <v>558</v>
      </c>
      <c r="B20" s="4" t="s">
        <v>559</v>
      </c>
      <c r="C20" s="4" t="s">
        <v>560</v>
      </c>
      <c r="D20" s="4" t="s">
        <v>445</v>
      </c>
      <c r="E20" s="4" t="s">
        <v>561</v>
      </c>
      <c r="F20" s="4" t="s">
        <v>559</v>
      </c>
      <c r="G20" s="4" t="s">
        <v>562</v>
      </c>
      <c r="H20" s="4" t="s">
        <v>445</v>
      </c>
      <c r="I20" s="4" t="str">
        <f t="shared" si="0"/>
        <v>1010</v>
      </c>
      <c r="J20" s="4" t="s">
        <v>444</v>
      </c>
      <c r="K20" s="4" t="s">
        <v>443</v>
      </c>
      <c r="L20" s="4" t="s">
        <v>444</v>
      </c>
      <c r="M20" s="4" t="s">
        <v>445</v>
      </c>
      <c r="N20" s="4" t="s">
        <v>473</v>
      </c>
      <c r="O20" s="4" t="s">
        <v>591</v>
      </c>
      <c r="P20" s="4" t="s">
        <v>563</v>
      </c>
      <c r="Q20" s="4" t="str">
        <f>"8088216722"</f>
        <v>8088216722</v>
      </c>
      <c r="S20" s="4" t="str">
        <f>"00880882167226"</f>
        <v>00880882167226</v>
      </c>
      <c r="T20" s="24">
        <v>40242</v>
      </c>
      <c r="U20" s="24">
        <v>40242</v>
      </c>
      <c r="V20" s="24">
        <v>1</v>
      </c>
      <c r="W20" s="4" t="str">
        <f>"8088216722"</f>
        <v>8088216722</v>
      </c>
      <c r="X20" s="4" t="s">
        <v>563</v>
      </c>
      <c r="Y20" s="4" t="str">
        <f t="shared" si="1"/>
        <v>1010</v>
      </c>
      <c r="Z20" s="4" t="str">
        <f t="shared" si="3"/>
        <v>11</v>
      </c>
      <c r="AA20" s="4" t="s">
        <v>93</v>
      </c>
      <c r="AB20" s="4" t="s">
        <v>564</v>
      </c>
      <c r="AC20" s="4" t="s">
        <v>563</v>
      </c>
      <c r="AD20" s="4" t="s">
        <v>565</v>
      </c>
      <c r="AE20" s="4" t="s">
        <v>566</v>
      </c>
      <c r="AF20" s="4" t="s">
        <v>567</v>
      </c>
      <c r="AH20" s="4" t="s">
        <v>568</v>
      </c>
      <c r="AI20" s="4" t="s">
        <v>569</v>
      </c>
      <c r="AJ20" s="4" t="s">
        <v>570</v>
      </c>
      <c r="AK20" s="4" t="s">
        <v>577</v>
      </c>
      <c r="AL20" s="4" t="s">
        <v>578</v>
      </c>
      <c r="AN20" s="4" t="str">
        <f t="shared" si="2"/>
        <v>1</v>
      </c>
      <c r="AO20" s="4" t="s">
        <v>579</v>
      </c>
      <c r="AP20" s="4" t="s">
        <v>574</v>
      </c>
      <c r="AQ20" s="4" t="s">
        <v>580</v>
      </c>
      <c r="AR20" s="4" t="str">
        <f>".7500"</f>
        <v>.7500</v>
      </c>
      <c r="AS20" s="4" t="str">
        <f>"7.50"</f>
        <v>7.50</v>
      </c>
      <c r="AT20" s="4" t="s">
        <v>581</v>
      </c>
      <c r="AU20" s="4" t="str">
        <f>"7.50"</f>
        <v>7.50</v>
      </c>
      <c r="AV20" s="4">
        <v>4</v>
      </c>
      <c r="AW20" s="4">
        <v>-4</v>
      </c>
      <c r="AX20" s="4">
        <v>-28.6</v>
      </c>
      <c r="AY20" s="4">
        <v>0</v>
      </c>
      <c r="AZ20" s="4">
        <v>0.86</v>
      </c>
      <c r="BA20" s="4">
        <v>30</v>
      </c>
      <c r="BB20" s="4">
        <v>0.53999999999999904</v>
      </c>
      <c r="BC20" s="4">
        <v>29.14</v>
      </c>
      <c r="BD20" s="4">
        <v>0</v>
      </c>
    </row>
    <row r="21" spans="1:56" x14ac:dyDescent="0.2">
      <c r="A21" s="4" t="s">
        <v>558</v>
      </c>
      <c r="B21" s="4" t="s">
        <v>559</v>
      </c>
      <c r="C21" s="4" t="s">
        <v>560</v>
      </c>
      <c r="D21" s="4" t="s">
        <v>445</v>
      </c>
      <c r="E21" s="4" t="s">
        <v>561</v>
      </c>
      <c r="F21" s="4" t="s">
        <v>559</v>
      </c>
      <c r="G21" s="4" t="s">
        <v>562</v>
      </c>
      <c r="H21" s="4" t="s">
        <v>445</v>
      </c>
      <c r="I21" s="4" t="str">
        <f t="shared" si="0"/>
        <v>1010</v>
      </c>
      <c r="J21" s="4" t="s">
        <v>444</v>
      </c>
      <c r="K21" s="4" t="s">
        <v>443</v>
      </c>
      <c r="L21" s="4" t="s">
        <v>444</v>
      </c>
      <c r="M21" s="4" t="s">
        <v>445</v>
      </c>
      <c r="N21" s="4" t="s">
        <v>473</v>
      </c>
      <c r="O21" s="4" t="s">
        <v>474</v>
      </c>
      <c r="P21" s="4" t="s">
        <v>563</v>
      </c>
      <c r="Q21" s="4" t="str">
        <f>"8088218112"</f>
        <v>8088218112</v>
      </c>
      <c r="S21" s="4" t="str">
        <f>"00880882181123"</f>
        <v>00880882181123</v>
      </c>
      <c r="T21" s="24">
        <v>41103</v>
      </c>
      <c r="U21" s="24">
        <v>41103</v>
      </c>
      <c r="V21" s="24">
        <v>1</v>
      </c>
      <c r="W21" s="4" t="str">
        <f>"8088218112"</f>
        <v>8088218112</v>
      </c>
      <c r="X21" s="4" t="s">
        <v>563</v>
      </c>
      <c r="Y21" s="4" t="str">
        <f t="shared" si="1"/>
        <v>1010</v>
      </c>
      <c r="Z21" s="4" t="str">
        <f t="shared" si="3"/>
        <v>11</v>
      </c>
      <c r="AA21" s="4" t="s">
        <v>93</v>
      </c>
      <c r="AB21" s="4" t="s">
        <v>564</v>
      </c>
      <c r="AC21" s="4" t="s">
        <v>563</v>
      </c>
      <c r="AD21" s="4" t="s">
        <v>565</v>
      </c>
      <c r="AE21" s="4" t="s">
        <v>566</v>
      </c>
      <c r="AF21" s="4" t="s">
        <v>567</v>
      </c>
      <c r="AH21" s="4" t="s">
        <v>568</v>
      </c>
      <c r="AI21" s="4" t="s">
        <v>569</v>
      </c>
      <c r="AJ21" s="4" t="s">
        <v>570</v>
      </c>
      <c r="AK21" s="4" t="s">
        <v>577</v>
      </c>
      <c r="AL21" s="4" t="s">
        <v>578</v>
      </c>
      <c r="AN21" s="4" t="str">
        <f t="shared" si="2"/>
        <v>1</v>
      </c>
      <c r="AO21" s="4" t="s">
        <v>579</v>
      </c>
      <c r="AP21" s="4" t="s">
        <v>584</v>
      </c>
      <c r="AQ21" s="4" t="s">
        <v>580</v>
      </c>
      <c r="AR21" s="4" t="str">
        <f>".7500"</f>
        <v>.7500</v>
      </c>
      <c r="AS21" s="4" t="str">
        <f>"7.50"</f>
        <v>7.50</v>
      </c>
      <c r="AT21" s="4" t="s">
        <v>581</v>
      </c>
      <c r="AU21" s="4" t="str">
        <f>"7.50"</f>
        <v>7.50</v>
      </c>
      <c r="AV21" s="4">
        <v>1</v>
      </c>
      <c r="AW21" s="4">
        <v>-25</v>
      </c>
      <c r="AX21" s="4">
        <v>-180.85</v>
      </c>
      <c r="AY21" s="4">
        <v>-24</v>
      </c>
      <c r="AZ21" s="4">
        <v>0</v>
      </c>
      <c r="BA21" s="4">
        <v>7.5</v>
      </c>
      <c r="BB21" s="4">
        <v>-173.35</v>
      </c>
      <c r="BC21" s="4">
        <v>7.5</v>
      </c>
      <c r="BD21" s="4">
        <v>0</v>
      </c>
    </row>
    <row r="22" spans="1:56" x14ac:dyDescent="0.2">
      <c r="A22" s="4" t="s">
        <v>558</v>
      </c>
      <c r="B22" s="4" t="s">
        <v>559</v>
      </c>
      <c r="C22" s="4" t="s">
        <v>560</v>
      </c>
      <c r="D22" s="4" t="s">
        <v>445</v>
      </c>
      <c r="E22" s="4" t="s">
        <v>561</v>
      </c>
      <c r="F22" s="4" t="s">
        <v>559</v>
      </c>
      <c r="G22" s="4" t="s">
        <v>562</v>
      </c>
      <c r="H22" s="4" t="s">
        <v>445</v>
      </c>
      <c r="I22" s="4" t="str">
        <f t="shared" si="0"/>
        <v>1010</v>
      </c>
      <c r="J22" s="4" t="s">
        <v>444</v>
      </c>
      <c r="K22" s="4" t="s">
        <v>443</v>
      </c>
      <c r="L22" s="4" t="s">
        <v>444</v>
      </c>
      <c r="M22" s="4" t="s">
        <v>445</v>
      </c>
      <c r="N22" s="4" t="s">
        <v>592</v>
      </c>
      <c r="O22" s="4" t="s">
        <v>494</v>
      </c>
      <c r="P22" s="4" t="s">
        <v>563</v>
      </c>
      <c r="Q22" s="4" t="str">
        <f>"8088218221"</f>
        <v>8088218221</v>
      </c>
      <c r="S22" s="4" t="str">
        <f>"00880882182212"</f>
        <v>00880882182212</v>
      </c>
      <c r="T22" s="24">
        <v>41194</v>
      </c>
      <c r="U22" s="24">
        <v>41194</v>
      </c>
      <c r="V22" s="24">
        <v>1</v>
      </c>
      <c r="W22" s="4" t="str">
        <f>"8088218221"</f>
        <v>8088218221</v>
      </c>
      <c r="X22" s="4" t="s">
        <v>563</v>
      </c>
      <c r="Y22" s="4" t="str">
        <f t="shared" si="1"/>
        <v>1010</v>
      </c>
      <c r="Z22" s="4" t="str">
        <f t="shared" si="3"/>
        <v>11</v>
      </c>
      <c r="AA22" s="4" t="s">
        <v>93</v>
      </c>
      <c r="AB22" s="4" t="s">
        <v>564</v>
      </c>
      <c r="AC22" s="4" t="s">
        <v>563</v>
      </c>
      <c r="AD22" s="4" t="s">
        <v>565</v>
      </c>
      <c r="AE22" s="4" t="s">
        <v>566</v>
      </c>
      <c r="AF22" s="4" t="s">
        <v>567</v>
      </c>
      <c r="AH22" s="4" t="s">
        <v>568</v>
      </c>
      <c r="AI22" s="4" t="s">
        <v>569</v>
      </c>
      <c r="AJ22" s="4" t="s">
        <v>570</v>
      </c>
      <c r="AK22" s="4" t="s">
        <v>571</v>
      </c>
      <c r="AL22" s="4" t="s">
        <v>572</v>
      </c>
      <c r="AN22" s="4" t="str">
        <f t="shared" si="2"/>
        <v>1</v>
      </c>
      <c r="AO22" s="4" t="s">
        <v>583</v>
      </c>
      <c r="AP22" s="4" t="s">
        <v>584</v>
      </c>
      <c r="AQ22" s="4" t="s">
        <v>575</v>
      </c>
      <c r="AR22" s="4" t="str">
        <f>"1.8000"</f>
        <v>1.8000</v>
      </c>
      <c r="AS22" s="4" t="str">
        <f>"11.59"</f>
        <v>11.59</v>
      </c>
      <c r="AT22" s="4" t="s">
        <v>585</v>
      </c>
      <c r="AU22" s="4" t="str">
        <f>"11.59"</f>
        <v>11.59</v>
      </c>
      <c r="AV22" s="4">
        <v>4</v>
      </c>
      <c r="AW22" s="4">
        <v>0</v>
      </c>
      <c r="AX22" s="4">
        <v>0</v>
      </c>
      <c r="AY22" s="4">
        <v>4</v>
      </c>
      <c r="AZ22" s="4">
        <v>0</v>
      </c>
      <c r="BA22" s="4">
        <v>44.62</v>
      </c>
      <c r="BB22" s="4">
        <v>44.62</v>
      </c>
      <c r="BC22" s="4">
        <v>44.62</v>
      </c>
      <c r="BD22" s="4">
        <v>0</v>
      </c>
    </row>
    <row r="23" spans="1:56" x14ac:dyDescent="0.2">
      <c r="A23" s="4" t="s">
        <v>558</v>
      </c>
      <c r="B23" s="4" t="s">
        <v>559</v>
      </c>
      <c r="C23" s="4" t="s">
        <v>560</v>
      </c>
      <c r="D23" s="4" t="s">
        <v>445</v>
      </c>
      <c r="E23" s="4" t="s">
        <v>561</v>
      </c>
      <c r="F23" s="4" t="s">
        <v>559</v>
      </c>
      <c r="G23" s="4" t="s">
        <v>562</v>
      </c>
      <c r="H23" s="4" t="s">
        <v>445</v>
      </c>
      <c r="I23" s="4" t="str">
        <f t="shared" si="0"/>
        <v>1010</v>
      </c>
      <c r="J23" s="4" t="s">
        <v>444</v>
      </c>
      <c r="K23" s="4" t="s">
        <v>443</v>
      </c>
      <c r="L23" s="4" t="s">
        <v>444</v>
      </c>
      <c r="M23" s="4" t="s">
        <v>445</v>
      </c>
      <c r="N23" s="4" t="s">
        <v>592</v>
      </c>
      <c r="O23" s="4" t="s">
        <v>494</v>
      </c>
      <c r="P23" s="4" t="s">
        <v>563</v>
      </c>
      <c r="Q23" s="4" t="str">
        <f>"8088218222"</f>
        <v>8088218222</v>
      </c>
      <c r="S23" s="4" t="str">
        <f>"00880882182229"</f>
        <v>00880882182229</v>
      </c>
      <c r="T23" s="24">
        <v>41194</v>
      </c>
      <c r="U23" s="24">
        <v>41194</v>
      </c>
      <c r="V23" s="24">
        <v>1</v>
      </c>
      <c r="W23" s="4" t="str">
        <f>"8088218222"</f>
        <v>8088218222</v>
      </c>
      <c r="X23" s="4" t="s">
        <v>563</v>
      </c>
      <c r="Y23" s="4" t="str">
        <f t="shared" si="1"/>
        <v>1010</v>
      </c>
      <c r="Z23" s="4" t="str">
        <f t="shared" si="3"/>
        <v>11</v>
      </c>
      <c r="AA23" s="4" t="s">
        <v>93</v>
      </c>
      <c r="AB23" s="4" t="s">
        <v>564</v>
      </c>
      <c r="AC23" s="4" t="s">
        <v>563</v>
      </c>
      <c r="AD23" s="4" t="s">
        <v>565</v>
      </c>
      <c r="AE23" s="4" t="s">
        <v>566</v>
      </c>
      <c r="AF23" s="4" t="s">
        <v>567</v>
      </c>
      <c r="AH23" s="4" t="s">
        <v>568</v>
      </c>
      <c r="AI23" s="4" t="s">
        <v>569</v>
      </c>
      <c r="AJ23" s="4" t="s">
        <v>570</v>
      </c>
      <c r="AK23" s="4" t="s">
        <v>577</v>
      </c>
      <c r="AL23" s="4" t="s">
        <v>578</v>
      </c>
      <c r="AN23" s="4" t="str">
        <f t="shared" si="2"/>
        <v>1</v>
      </c>
      <c r="AO23" s="4" t="s">
        <v>579</v>
      </c>
      <c r="AP23" s="4" t="s">
        <v>584</v>
      </c>
      <c r="AQ23" s="4" t="s">
        <v>580</v>
      </c>
      <c r="AR23" s="4" t="str">
        <f>".7500"</f>
        <v>.7500</v>
      </c>
      <c r="AS23" s="4" t="str">
        <f>"7.50"</f>
        <v>7.50</v>
      </c>
      <c r="AT23" s="4" t="s">
        <v>581</v>
      </c>
      <c r="AU23" s="4" t="str">
        <f>"7.50"</f>
        <v>7.50</v>
      </c>
      <c r="AV23" s="4">
        <v>8</v>
      </c>
      <c r="AW23" s="4">
        <v>-128</v>
      </c>
      <c r="AX23" s="4">
        <v>-943.2</v>
      </c>
      <c r="AY23" s="4">
        <v>-120</v>
      </c>
      <c r="AZ23" s="4">
        <v>0</v>
      </c>
      <c r="BA23" s="4">
        <v>60</v>
      </c>
      <c r="BB23" s="4">
        <v>-883.2</v>
      </c>
      <c r="BC23" s="4">
        <v>60</v>
      </c>
      <c r="BD23" s="4">
        <v>0</v>
      </c>
    </row>
    <row r="24" spans="1:56" x14ac:dyDescent="0.2">
      <c r="A24" s="4" t="s">
        <v>558</v>
      </c>
      <c r="B24" s="4" t="s">
        <v>559</v>
      </c>
      <c r="C24" s="4" t="s">
        <v>560</v>
      </c>
      <c r="D24" s="4" t="s">
        <v>445</v>
      </c>
      <c r="E24" s="4" t="s">
        <v>561</v>
      </c>
      <c r="F24" s="4" t="s">
        <v>559</v>
      </c>
      <c r="G24" s="4" t="s">
        <v>562</v>
      </c>
      <c r="H24" s="4" t="s">
        <v>445</v>
      </c>
      <c r="I24" s="4" t="str">
        <f t="shared" si="0"/>
        <v>1010</v>
      </c>
      <c r="J24" s="4" t="s">
        <v>444</v>
      </c>
      <c r="K24" s="4" t="s">
        <v>443</v>
      </c>
      <c r="L24" s="4" t="s">
        <v>444</v>
      </c>
      <c r="M24" s="4" t="s">
        <v>445</v>
      </c>
      <c r="N24" s="4" t="s">
        <v>593</v>
      </c>
      <c r="O24" s="4" t="s">
        <v>594</v>
      </c>
      <c r="P24" s="4" t="s">
        <v>563</v>
      </c>
      <c r="Q24" s="4" t="str">
        <f>"8088216872"</f>
        <v>8088216872</v>
      </c>
      <c r="S24" s="4" t="str">
        <f>"00880882168728"</f>
        <v>00880882168728</v>
      </c>
      <c r="T24" s="24">
        <v>40193</v>
      </c>
      <c r="U24" s="24">
        <v>40193</v>
      </c>
      <c r="V24" s="24">
        <v>1</v>
      </c>
      <c r="W24" s="4" t="str">
        <f>"8088216872"</f>
        <v>8088216872</v>
      </c>
      <c r="X24" s="4" t="s">
        <v>563</v>
      </c>
      <c r="Y24" s="4" t="str">
        <f t="shared" si="1"/>
        <v>1010</v>
      </c>
      <c r="Z24" s="4" t="str">
        <f t="shared" si="3"/>
        <v>11</v>
      </c>
      <c r="AA24" s="4" t="s">
        <v>93</v>
      </c>
      <c r="AB24" s="4" t="s">
        <v>564</v>
      </c>
      <c r="AC24" s="4" t="s">
        <v>563</v>
      </c>
      <c r="AD24" s="4" t="s">
        <v>565</v>
      </c>
      <c r="AE24" s="4" t="s">
        <v>566</v>
      </c>
      <c r="AF24" s="4" t="s">
        <v>567</v>
      </c>
      <c r="AH24" s="4" t="s">
        <v>568</v>
      </c>
      <c r="AI24" s="4" t="s">
        <v>569</v>
      </c>
      <c r="AJ24" s="4" t="s">
        <v>570</v>
      </c>
      <c r="AK24" s="4" t="s">
        <v>577</v>
      </c>
      <c r="AL24" s="4" t="s">
        <v>578</v>
      </c>
      <c r="AN24" s="4" t="str">
        <f t="shared" si="2"/>
        <v>1</v>
      </c>
      <c r="AO24" s="4" t="s">
        <v>579</v>
      </c>
      <c r="AP24" s="4" t="s">
        <v>574</v>
      </c>
      <c r="AQ24" s="4" t="s">
        <v>580</v>
      </c>
      <c r="AR24" s="4" t="str">
        <f>".7500"</f>
        <v>.7500</v>
      </c>
      <c r="AS24" s="4" t="str">
        <f>"7.50"</f>
        <v>7.50</v>
      </c>
      <c r="AT24" s="4" t="s">
        <v>581</v>
      </c>
      <c r="AU24" s="4" t="str">
        <f>"7.50"</f>
        <v>7.50</v>
      </c>
      <c r="AV24" s="4">
        <v>0</v>
      </c>
      <c r="AW24" s="4">
        <v>-2</v>
      </c>
      <c r="AX24" s="4">
        <v>-14.3</v>
      </c>
      <c r="AY24" s="4">
        <v>-2</v>
      </c>
      <c r="AZ24" s="4">
        <v>0</v>
      </c>
      <c r="BA24" s="4">
        <v>0</v>
      </c>
      <c r="BB24" s="4">
        <v>-14.3</v>
      </c>
      <c r="BC24" s="4">
        <v>0</v>
      </c>
      <c r="BD24" s="4">
        <v>0</v>
      </c>
    </row>
    <row r="25" spans="1:56" x14ac:dyDescent="0.2">
      <c r="A25" s="4" t="s">
        <v>558</v>
      </c>
      <c r="B25" s="4" t="s">
        <v>559</v>
      </c>
      <c r="C25" s="4" t="s">
        <v>560</v>
      </c>
      <c r="D25" s="4" t="s">
        <v>445</v>
      </c>
      <c r="E25" s="4" t="s">
        <v>561</v>
      </c>
      <c r="F25" s="4" t="s">
        <v>559</v>
      </c>
      <c r="G25" s="4" t="s">
        <v>562</v>
      </c>
      <c r="H25" s="4" t="s">
        <v>445</v>
      </c>
      <c r="I25" s="4" t="str">
        <f t="shared" si="0"/>
        <v>1010</v>
      </c>
      <c r="J25" s="4" t="s">
        <v>444</v>
      </c>
      <c r="K25" s="4" t="s">
        <v>443</v>
      </c>
      <c r="L25" s="4" t="s">
        <v>444</v>
      </c>
      <c r="M25" s="4" t="s">
        <v>445</v>
      </c>
      <c r="N25" s="4" t="s">
        <v>593</v>
      </c>
      <c r="O25" s="4" t="s">
        <v>463</v>
      </c>
      <c r="P25" s="4" t="s">
        <v>563</v>
      </c>
      <c r="Q25" s="4" t="str">
        <f>"8088217342"</f>
        <v>8088217342</v>
      </c>
      <c r="S25" s="4" t="str">
        <f>"00880882173425"</f>
        <v>00880882173425</v>
      </c>
      <c r="T25" s="24">
        <v>40851</v>
      </c>
      <c r="U25" s="24">
        <v>40851</v>
      </c>
      <c r="V25" s="24">
        <v>1</v>
      </c>
      <c r="W25" s="4" t="str">
        <f>"8088217342"</f>
        <v>8088217342</v>
      </c>
      <c r="X25" s="4" t="s">
        <v>563</v>
      </c>
      <c r="Y25" s="4" t="str">
        <f t="shared" si="1"/>
        <v>1010</v>
      </c>
      <c r="Z25" s="4" t="str">
        <f t="shared" si="3"/>
        <v>11</v>
      </c>
      <c r="AA25" s="4" t="s">
        <v>93</v>
      </c>
      <c r="AB25" s="4" t="s">
        <v>564</v>
      </c>
      <c r="AC25" s="4" t="s">
        <v>563</v>
      </c>
      <c r="AD25" s="4" t="s">
        <v>595</v>
      </c>
      <c r="AE25" s="4" t="s">
        <v>596</v>
      </c>
      <c r="AF25" s="4" t="s">
        <v>567</v>
      </c>
      <c r="AH25" s="4" t="s">
        <v>568</v>
      </c>
      <c r="AI25" s="4" t="s">
        <v>569</v>
      </c>
      <c r="AJ25" s="4" t="s">
        <v>570</v>
      </c>
      <c r="AK25" s="4" t="s">
        <v>577</v>
      </c>
      <c r="AL25" s="4" t="s">
        <v>578</v>
      </c>
      <c r="AN25" s="4" t="str">
        <f t="shared" si="2"/>
        <v>1</v>
      </c>
      <c r="AO25" s="4" t="s">
        <v>579</v>
      </c>
      <c r="AP25" s="4" t="s">
        <v>574</v>
      </c>
      <c r="AQ25" s="4" t="s">
        <v>580</v>
      </c>
      <c r="AR25" s="4" t="str">
        <f>".7500"</f>
        <v>.7500</v>
      </c>
      <c r="AS25" s="4" t="str">
        <f>"7.50"</f>
        <v>7.50</v>
      </c>
      <c r="AT25" s="4" t="s">
        <v>581</v>
      </c>
      <c r="AU25" s="4" t="str">
        <f>"7.50"</f>
        <v>7.50</v>
      </c>
      <c r="AV25" s="4">
        <v>0</v>
      </c>
      <c r="AW25" s="4">
        <v>-4</v>
      </c>
      <c r="AX25" s="4">
        <v>-28.6</v>
      </c>
      <c r="AY25" s="4">
        <v>-4</v>
      </c>
      <c r="AZ25" s="4">
        <v>0</v>
      </c>
      <c r="BA25" s="4">
        <v>0</v>
      </c>
      <c r="BB25" s="4">
        <v>-28.6</v>
      </c>
      <c r="BC25" s="4">
        <v>0</v>
      </c>
      <c r="BD25" s="4">
        <v>0</v>
      </c>
    </row>
    <row r="26" spans="1:56" x14ac:dyDescent="0.2">
      <c r="A26" s="4" t="s">
        <v>558</v>
      </c>
      <c r="B26" s="4" t="s">
        <v>559</v>
      </c>
      <c r="C26" s="4" t="s">
        <v>560</v>
      </c>
      <c r="D26" s="4" t="s">
        <v>445</v>
      </c>
      <c r="E26" s="4" t="s">
        <v>561</v>
      </c>
      <c r="F26" s="4" t="s">
        <v>559</v>
      </c>
      <c r="G26" s="4" t="s">
        <v>562</v>
      </c>
      <c r="H26" s="4" t="s">
        <v>445</v>
      </c>
      <c r="I26" s="4" t="str">
        <f t="shared" si="0"/>
        <v>1010</v>
      </c>
      <c r="J26" s="4" t="s">
        <v>444</v>
      </c>
      <c r="K26" s="4" t="s">
        <v>443</v>
      </c>
      <c r="L26" s="4" t="s">
        <v>444</v>
      </c>
      <c r="M26" s="4" t="s">
        <v>445</v>
      </c>
      <c r="N26" s="4" t="s">
        <v>597</v>
      </c>
      <c r="O26" s="4" t="s">
        <v>598</v>
      </c>
      <c r="P26" s="4" t="s">
        <v>563</v>
      </c>
      <c r="Q26" s="4" t="str">
        <f>"8088216762"</f>
        <v>8088216762</v>
      </c>
      <c r="S26" s="4" t="str">
        <f>"00880882167622"</f>
        <v>00880882167622</v>
      </c>
      <c r="T26" s="24">
        <v>40039</v>
      </c>
      <c r="U26" s="24">
        <v>40039</v>
      </c>
      <c r="V26" s="24">
        <v>1</v>
      </c>
      <c r="W26" s="4" t="str">
        <f>"8088216762"</f>
        <v>8088216762</v>
      </c>
      <c r="X26" s="4" t="s">
        <v>563</v>
      </c>
      <c r="Y26" s="4" t="str">
        <f t="shared" si="1"/>
        <v>1010</v>
      </c>
      <c r="Z26" s="4" t="str">
        <f t="shared" si="3"/>
        <v>11</v>
      </c>
      <c r="AA26" s="4" t="s">
        <v>93</v>
      </c>
      <c r="AB26" s="4" t="s">
        <v>564</v>
      </c>
      <c r="AC26" s="4" t="s">
        <v>563</v>
      </c>
      <c r="AD26" s="4" t="s">
        <v>565</v>
      </c>
      <c r="AE26" s="4" t="s">
        <v>566</v>
      </c>
      <c r="AF26" s="4" t="s">
        <v>567</v>
      </c>
      <c r="AH26" s="4" t="s">
        <v>568</v>
      </c>
      <c r="AI26" s="4" t="s">
        <v>569</v>
      </c>
      <c r="AJ26" s="4" t="s">
        <v>570</v>
      </c>
      <c r="AK26" s="4" t="s">
        <v>577</v>
      </c>
      <c r="AL26" s="4" t="s">
        <v>578</v>
      </c>
      <c r="AN26" s="4" t="str">
        <f t="shared" si="2"/>
        <v>1</v>
      </c>
      <c r="AO26" s="4" t="s">
        <v>579</v>
      </c>
      <c r="AP26" s="4" t="s">
        <v>574</v>
      </c>
      <c r="AQ26" s="4" t="s">
        <v>580</v>
      </c>
      <c r="AR26" s="4" t="str">
        <f>".7500"</f>
        <v>.7500</v>
      </c>
      <c r="AS26" s="4" t="str">
        <f>"7.50"</f>
        <v>7.50</v>
      </c>
      <c r="AT26" s="4" t="s">
        <v>581</v>
      </c>
      <c r="AU26" s="4" t="str">
        <f>"7.50"</f>
        <v>7.50</v>
      </c>
      <c r="AV26" s="4">
        <v>0</v>
      </c>
      <c r="AW26" s="4">
        <v>-3</v>
      </c>
      <c r="AX26" s="4">
        <v>-21.45</v>
      </c>
      <c r="AY26" s="4">
        <v>-3</v>
      </c>
      <c r="AZ26" s="4">
        <v>0</v>
      </c>
      <c r="BA26" s="4">
        <v>0</v>
      </c>
      <c r="BB26" s="4">
        <v>-21.45</v>
      </c>
      <c r="BC26" s="4">
        <v>0</v>
      </c>
      <c r="BD26" s="4">
        <v>0</v>
      </c>
    </row>
    <row r="27" spans="1:56" x14ac:dyDescent="0.2">
      <c r="A27" s="4" t="s">
        <v>558</v>
      </c>
      <c r="B27" s="4" t="s">
        <v>559</v>
      </c>
      <c r="C27" s="4" t="s">
        <v>560</v>
      </c>
      <c r="D27" s="4" t="s">
        <v>445</v>
      </c>
      <c r="E27" s="4" t="s">
        <v>561</v>
      </c>
      <c r="F27" s="4" t="s">
        <v>559</v>
      </c>
      <c r="G27" s="4" t="s">
        <v>562</v>
      </c>
      <c r="H27" s="4" t="s">
        <v>445</v>
      </c>
      <c r="I27" s="4" t="str">
        <f t="shared" si="0"/>
        <v>1010</v>
      </c>
      <c r="J27" s="4" t="s">
        <v>444</v>
      </c>
      <c r="K27" s="4" t="s">
        <v>443</v>
      </c>
      <c r="L27" s="4" t="s">
        <v>444</v>
      </c>
      <c r="M27" s="4" t="s">
        <v>445</v>
      </c>
      <c r="N27" s="4" t="s">
        <v>599</v>
      </c>
      <c r="O27" s="4" t="s">
        <v>448</v>
      </c>
      <c r="P27" s="4" t="s">
        <v>563</v>
      </c>
      <c r="Q27" s="4" t="str">
        <f>"8088217132"</f>
        <v>8088217132</v>
      </c>
      <c r="S27" s="4" t="str">
        <f>"00880882171322"</f>
        <v>00880882171322</v>
      </c>
      <c r="T27" s="24">
        <v>40417</v>
      </c>
      <c r="U27" s="24">
        <v>40417</v>
      </c>
      <c r="V27" s="24">
        <v>1</v>
      </c>
      <c r="W27" s="4" t="str">
        <f>"8088217132"</f>
        <v>8088217132</v>
      </c>
      <c r="X27" s="4" t="s">
        <v>563</v>
      </c>
      <c r="Y27" s="4" t="str">
        <f t="shared" si="1"/>
        <v>1010</v>
      </c>
      <c r="Z27" s="4" t="str">
        <f t="shared" si="3"/>
        <v>11</v>
      </c>
      <c r="AA27" s="4" t="s">
        <v>93</v>
      </c>
      <c r="AB27" s="4" t="s">
        <v>564</v>
      </c>
      <c r="AC27" s="4" t="s">
        <v>563</v>
      </c>
      <c r="AD27" s="4" t="s">
        <v>565</v>
      </c>
      <c r="AE27" s="4" t="s">
        <v>566</v>
      </c>
      <c r="AF27" s="4" t="s">
        <v>567</v>
      </c>
      <c r="AH27" s="4" t="s">
        <v>568</v>
      </c>
      <c r="AI27" s="4" t="s">
        <v>569</v>
      </c>
      <c r="AJ27" s="4" t="s">
        <v>570</v>
      </c>
      <c r="AK27" s="4" t="s">
        <v>577</v>
      </c>
      <c r="AL27" s="4" t="s">
        <v>578</v>
      </c>
      <c r="AN27" s="4" t="str">
        <f t="shared" si="2"/>
        <v>1</v>
      </c>
      <c r="AO27" s="4" t="s">
        <v>579</v>
      </c>
      <c r="AP27" s="4" t="s">
        <v>574</v>
      </c>
      <c r="AQ27" s="4" t="s">
        <v>580</v>
      </c>
      <c r="AR27" s="4" t="str">
        <f>".7500"</f>
        <v>.7500</v>
      </c>
      <c r="AS27" s="4" t="str">
        <f>"7.50"</f>
        <v>7.50</v>
      </c>
      <c r="AT27" s="4" t="s">
        <v>581</v>
      </c>
      <c r="AU27" s="4" t="str">
        <f>"7.50"</f>
        <v>7.50</v>
      </c>
      <c r="AV27" s="4">
        <v>4</v>
      </c>
      <c r="AW27" s="4">
        <v>-1</v>
      </c>
      <c r="AX27" s="4">
        <v>-7.15</v>
      </c>
      <c r="AY27" s="4">
        <v>3</v>
      </c>
      <c r="AZ27" s="4">
        <v>1.72</v>
      </c>
      <c r="BA27" s="4">
        <v>30</v>
      </c>
      <c r="BB27" s="4">
        <v>21.13</v>
      </c>
      <c r="BC27" s="4">
        <v>28.28</v>
      </c>
      <c r="BD27" s="4">
        <v>0</v>
      </c>
    </row>
    <row r="28" spans="1:56" x14ac:dyDescent="0.2">
      <c r="A28" s="4" t="s">
        <v>558</v>
      </c>
      <c r="B28" s="4" t="s">
        <v>559</v>
      </c>
      <c r="C28" s="4" t="s">
        <v>560</v>
      </c>
      <c r="D28" s="4" t="s">
        <v>445</v>
      </c>
      <c r="E28" s="4" t="s">
        <v>561</v>
      </c>
      <c r="F28" s="4" t="s">
        <v>559</v>
      </c>
      <c r="G28" s="4" t="s">
        <v>562</v>
      </c>
      <c r="H28" s="4" t="s">
        <v>445</v>
      </c>
      <c r="I28" s="4" t="str">
        <f t="shared" si="0"/>
        <v>1010</v>
      </c>
      <c r="J28" s="4" t="s">
        <v>444</v>
      </c>
      <c r="K28" s="4" t="s">
        <v>443</v>
      </c>
      <c r="L28" s="4" t="s">
        <v>444</v>
      </c>
      <c r="M28" s="4" t="s">
        <v>445</v>
      </c>
      <c r="N28" s="4" t="s">
        <v>600</v>
      </c>
      <c r="O28" s="4" t="s">
        <v>503</v>
      </c>
      <c r="P28" s="4" t="s">
        <v>563</v>
      </c>
      <c r="Q28" s="4" t="str">
        <f>"8088218201"</f>
        <v>8088218201</v>
      </c>
      <c r="S28" s="4" t="str">
        <f>"00880882182014"</f>
        <v>00880882182014</v>
      </c>
      <c r="T28" s="24">
        <v>41306</v>
      </c>
      <c r="U28" s="24">
        <v>41306</v>
      </c>
      <c r="V28" s="24">
        <v>1</v>
      </c>
      <c r="W28" s="4" t="str">
        <f>"8088218201"</f>
        <v>8088218201</v>
      </c>
      <c r="X28" s="4" t="s">
        <v>563</v>
      </c>
      <c r="Y28" s="4" t="str">
        <f t="shared" si="1"/>
        <v>1010</v>
      </c>
      <c r="Z28" s="4" t="str">
        <f t="shared" si="3"/>
        <v>11</v>
      </c>
      <c r="AA28" s="4" t="s">
        <v>93</v>
      </c>
      <c r="AB28" s="4" t="s">
        <v>564</v>
      </c>
      <c r="AC28" s="4" t="s">
        <v>563</v>
      </c>
      <c r="AD28" s="4" t="s">
        <v>565</v>
      </c>
      <c r="AE28" s="4" t="s">
        <v>566</v>
      </c>
      <c r="AF28" s="4" t="s">
        <v>567</v>
      </c>
      <c r="AH28" s="4" t="s">
        <v>568</v>
      </c>
      <c r="AI28" s="4" t="s">
        <v>569</v>
      </c>
      <c r="AJ28" s="4" t="s">
        <v>570</v>
      </c>
      <c r="AK28" s="4" t="s">
        <v>571</v>
      </c>
      <c r="AL28" s="4" t="s">
        <v>572</v>
      </c>
      <c r="AN28" s="4" t="str">
        <f t="shared" si="2"/>
        <v>1</v>
      </c>
      <c r="AO28" s="4" t="s">
        <v>573</v>
      </c>
      <c r="AP28" s="4" t="s">
        <v>584</v>
      </c>
      <c r="AQ28" s="4" t="s">
        <v>575</v>
      </c>
      <c r="AR28" s="4" t="str">
        <f>"1.8000"</f>
        <v>1.8000</v>
      </c>
      <c r="AS28" s="4" t="str">
        <f>"10.40"</f>
        <v>10.40</v>
      </c>
      <c r="AT28" s="4" t="s">
        <v>576</v>
      </c>
      <c r="AU28" s="4" t="str">
        <f>"10.40"</f>
        <v>10.40</v>
      </c>
      <c r="AV28" s="4">
        <v>52</v>
      </c>
      <c r="AW28" s="4">
        <v>0</v>
      </c>
      <c r="AX28" s="4">
        <v>0</v>
      </c>
      <c r="AY28" s="4">
        <v>52</v>
      </c>
      <c r="AZ28" s="4">
        <v>0</v>
      </c>
      <c r="BA28" s="4">
        <v>540.79999999999995</v>
      </c>
      <c r="BB28" s="4">
        <v>540.79999999999995</v>
      </c>
      <c r="BC28" s="4">
        <v>540.79999999999995</v>
      </c>
      <c r="BD28" s="4">
        <v>0</v>
      </c>
    </row>
    <row r="29" spans="1:56" x14ac:dyDescent="0.2">
      <c r="A29" s="4" t="s">
        <v>558</v>
      </c>
      <c r="B29" s="4" t="s">
        <v>559</v>
      </c>
      <c r="C29" s="4" t="s">
        <v>560</v>
      </c>
      <c r="D29" s="4" t="s">
        <v>445</v>
      </c>
      <c r="E29" s="4" t="s">
        <v>561</v>
      </c>
      <c r="F29" s="4" t="s">
        <v>559</v>
      </c>
      <c r="G29" s="4" t="s">
        <v>562</v>
      </c>
      <c r="H29" s="4" t="s">
        <v>445</v>
      </c>
      <c r="I29" s="4" t="str">
        <f t="shared" si="0"/>
        <v>1010</v>
      </c>
      <c r="J29" s="4" t="s">
        <v>444</v>
      </c>
      <c r="K29" s="4" t="s">
        <v>443</v>
      </c>
      <c r="L29" s="4" t="s">
        <v>444</v>
      </c>
      <c r="M29" s="4" t="s">
        <v>445</v>
      </c>
      <c r="N29" s="4" t="s">
        <v>600</v>
      </c>
      <c r="O29" s="4" t="s">
        <v>503</v>
      </c>
      <c r="P29" s="4" t="s">
        <v>563</v>
      </c>
      <c r="Q29" s="4" t="str">
        <f>"8088218201"</f>
        <v>8088218201</v>
      </c>
      <c r="S29" s="4" t="str">
        <f>"00880882182014"</f>
        <v>00880882182014</v>
      </c>
      <c r="T29" s="24">
        <v>41306</v>
      </c>
      <c r="U29" s="24">
        <v>41306</v>
      </c>
      <c r="V29" s="24">
        <v>1</v>
      </c>
      <c r="W29" s="4" t="str">
        <f>"8088218201"</f>
        <v>8088218201</v>
      </c>
      <c r="X29" s="4" t="s">
        <v>563</v>
      </c>
      <c r="Y29" s="4" t="str">
        <f t="shared" si="1"/>
        <v>1010</v>
      </c>
      <c r="Z29" s="4" t="str">
        <f>"54"</f>
        <v>54</v>
      </c>
      <c r="AA29" s="4" t="s">
        <v>93</v>
      </c>
      <c r="AB29" s="4" t="s">
        <v>564</v>
      </c>
      <c r="AC29" s="4" t="s">
        <v>563</v>
      </c>
      <c r="AD29" s="4" t="s">
        <v>565</v>
      </c>
      <c r="AE29" s="4" t="s">
        <v>566</v>
      </c>
      <c r="AF29" s="4" t="s">
        <v>568</v>
      </c>
      <c r="AH29" s="4" t="s">
        <v>568</v>
      </c>
      <c r="AI29" s="4" t="s">
        <v>569</v>
      </c>
      <c r="AJ29" s="4" t="s">
        <v>570</v>
      </c>
      <c r="AK29" s="4" t="s">
        <v>571</v>
      </c>
      <c r="AL29" s="4" t="s">
        <v>572</v>
      </c>
      <c r="AN29" s="4" t="str">
        <f t="shared" si="2"/>
        <v>1</v>
      </c>
      <c r="AO29" s="4" t="s">
        <v>573</v>
      </c>
      <c r="AP29" s="4" t="s">
        <v>584</v>
      </c>
      <c r="AQ29" s="4" t="s">
        <v>575</v>
      </c>
      <c r="AR29" s="4" t="str">
        <f>"1.8000"</f>
        <v>1.8000</v>
      </c>
      <c r="AS29" s="4" t="str">
        <f>"10.40"</f>
        <v>10.40</v>
      </c>
      <c r="AT29" s="4" t="s">
        <v>576</v>
      </c>
      <c r="AU29" s="4" t="str">
        <f>"10.40"</f>
        <v>10.40</v>
      </c>
      <c r="AV29" s="4">
        <v>1</v>
      </c>
      <c r="AW29" s="4">
        <v>0</v>
      </c>
      <c r="AX29" s="4">
        <v>0</v>
      </c>
      <c r="AY29" s="4">
        <v>1</v>
      </c>
      <c r="AZ29" s="4">
        <v>0</v>
      </c>
      <c r="BA29" s="4">
        <v>4</v>
      </c>
      <c r="BB29" s="4">
        <v>4</v>
      </c>
      <c r="BC29" s="4">
        <v>4</v>
      </c>
      <c r="BD29" s="4">
        <v>0</v>
      </c>
    </row>
    <row r="30" spans="1:56" x14ac:dyDescent="0.2">
      <c r="A30" s="4" t="s">
        <v>558</v>
      </c>
      <c r="B30" s="4" t="s">
        <v>559</v>
      </c>
      <c r="C30" s="4" t="s">
        <v>560</v>
      </c>
      <c r="D30" s="4" t="s">
        <v>445</v>
      </c>
      <c r="E30" s="4" t="s">
        <v>561</v>
      </c>
      <c r="F30" s="4" t="s">
        <v>559</v>
      </c>
      <c r="G30" s="4" t="s">
        <v>562</v>
      </c>
      <c r="H30" s="4" t="s">
        <v>445</v>
      </c>
      <c r="I30" s="4" t="str">
        <f t="shared" si="0"/>
        <v>1010</v>
      </c>
      <c r="J30" s="4" t="s">
        <v>444</v>
      </c>
      <c r="K30" s="4" t="s">
        <v>443</v>
      </c>
      <c r="L30" s="4" t="s">
        <v>444</v>
      </c>
      <c r="M30" s="4" t="s">
        <v>445</v>
      </c>
      <c r="N30" s="4" t="s">
        <v>600</v>
      </c>
      <c r="O30" s="4" t="s">
        <v>503</v>
      </c>
      <c r="P30" s="4" t="s">
        <v>563</v>
      </c>
      <c r="Q30" s="4" t="str">
        <f>"8088218202"</f>
        <v>8088218202</v>
      </c>
      <c r="S30" s="4" t="str">
        <f>"00880882182021"</f>
        <v>00880882182021</v>
      </c>
      <c r="T30" s="24">
        <v>41306</v>
      </c>
      <c r="U30" s="24">
        <v>41306</v>
      </c>
      <c r="V30" s="24">
        <v>1</v>
      </c>
      <c r="W30" s="4" t="str">
        <f>"8088218202"</f>
        <v>8088218202</v>
      </c>
      <c r="X30" s="4" t="s">
        <v>563</v>
      </c>
      <c r="Y30" s="4" t="str">
        <f t="shared" si="1"/>
        <v>1010</v>
      </c>
      <c r="Z30" s="4" t="str">
        <f>"11"</f>
        <v>11</v>
      </c>
      <c r="AA30" s="4" t="s">
        <v>93</v>
      </c>
      <c r="AB30" s="4" t="s">
        <v>564</v>
      </c>
      <c r="AC30" s="4" t="s">
        <v>563</v>
      </c>
      <c r="AD30" s="4" t="s">
        <v>565</v>
      </c>
      <c r="AE30" s="4" t="s">
        <v>566</v>
      </c>
      <c r="AF30" s="4" t="s">
        <v>567</v>
      </c>
      <c r="AH30" s="4" t="s">
        <v>568</v>
      </c>
      <c r="AI30" s="4" t="s">
        <v>569</v>
      </c>
      <c r="AJ30" s="4" t="s">
        <v>570</v>
      </c>
      <c r="AK30" s="4" t="s">
        <v>577</v>
      </c>
      <c r="AL30" s="4" t="s">
        <v>578</v>
      </c>
      <c r="AN30" s="4" t="str">
        <f t="shared" si="2"/>
        <v>1</v>
      </c>
      <c r="AO30" s="4" t="s">
        <v>579</v>
      </c>
      <c r="AP30" s="4" t="s">
        <v>584</v>
      </c>
      <c r="AQ30" s="4" t="s">
        <v>580</v>
      </c>
      <c r="AR30" s="4" t="str">
        <f>".7500"</f>
        <v>.7500</v>
      </c>
      <c r="AS30" s="4" t="str">
        <f>"7.50"</f>
        <v>7.50</v>
      </c>
      <c r="AT30" s="4" t="s">
        <v>581</v>
      </c>
      <c r="AU30" s="4" t="str">
        <f>"7.50"</f>
        <v>7.50</v>
      </c>
      <c r="AV30" s="4">
        <v>25</v>
      </c>
      <c r="AW30" s="4">
        <v>-232</v>
      </c>
      <c r="AX30" s="4">
        <v>-1685.05</v>
      </c>
      <c r="AY30" s="4">
        <v>-207</v>
      </c>
      <c r="AZ30" s="4">
        <v>9.5</v>
      </c>
      <c r="BA30" s="4">
        <v>187.54</v>
      </c>
      <c r="BB30" s="4">
        <v>-1507.01</v>
      </c>
      <c r="BC30" s="4">
        <v>178.04</v>
      </c>
      <c r="BD30" s="4">
        <v>0</v>
      </c>
    </row>
    <row r="31" spans="1:56" x14ac:dyDescent="0.2">
      <c r="A31" s="4" t="s">
        <v>558</v>
      </c>
      <c r="B31" s="4" t="s">
        <v>559</v>
      </c>
      <c r="C31" s="4" t="s">
        <v>560</v>
      </c>
      <c r="D31" s="4" t="s">
        <v>445</v>
      </c>
      <c r="E31" s="4" t="s">
        <v>561</v>
      </c>
      <c r="F31" s="4" t="s">
        <v>559</v>
      </c>
      <c r="G31" s="4" t="s">
        <v>562</v>
      </c>
      <c r="H31" s="4" t="s">
        <v>445</v>
      </c>
      <c r="I31" s="4" t="str">
        <f t="shared" si="0"/>
        <v>1010</v>
      </c>
      <c r="J31" s="4" t="s">
        <v>444</v>
      </c>
      <c r="K31" s="4" t="s">
        <v>443</v>
      </c>
      <c r="L31" s="4" t="s">
        <v>444</v>
      </c>
      <c r="M31" s="4" t="s">
        <v>445</v>
      </c>
      <c r="N31" s="4" t="s">
        <v>600</v>
      </c>
      <c r="O31" s="4" t="s">
        <v>503</v>
      </c>
      <c r="P31" s="4" t="s">
        <v>563</v>
      </c>
      <c r="Q31" s="4" t="str">
        <f>"8088218202"</f>
        <v>8088218202</v>
      </c>
      <c r="S31" s="4" t="str">
        <f>"00880882182021"</f>
        <v>00880882182021</v>
      </c>
      <c r="T31" s="24">
        <v>41306</v>
      </c>
      <c r="U31" s="24">
        <v>41306</v>
      </c>
      <c r="V31" s="24">
        <v>1</v>
      </c>
      <c r="W31" s="4" t="str">
        <f>"8088218202"</f>
        <v>8088218202</v>
      </c>
      <c r="X31" s="4" t="s">
        <v>563</v>
      </c>
      <c r="Y31" s="4" t="str">
        <f t="shared" si="1"/>
        <v>1010</v>
      </c>
      <c r="Z31" s="4" t="str">
        <f>"53"</f>
        <v>53</v>
      </c>
      <c r="AA31" s="4" t="s">
        <v>93</v>
      </c>
      <c r="AB31" s="4" t="s">
        <v>564</v>
      </c>
      <c r="AC31" s="4" t="s">
        <v>563</v>
      </c>
      <c r="AD31" s="4" t="s">
        <v>565</v>
      </c>
      <c r="AE31" s="4" t="s">
        <v>566</v>
      </c>
      <c r="AF31" s="4" t="s">
        <v>568</v>
      </c>
      <c r="AH31" s="4" t="s">
        <v>568</v>
      </c>
      <c r="AI31" s="4" t="s">
        <v>569</v>
      </c>
      <c r="AJ31" s="4" t="s">
        <v>570</v>
      </c>
      <c r="AK31" s="4" t="s">
        <v>577</v>
      </c>
      <c r="AL31" s="4" t="s">
        <v>578</v>
      </c>
      <c r="AN31" s="4" t="str">
        <f t="shared" si="2"/>
        <v>1</v>
      </c>
      <c r="AO31" s="4" t="s">
        <v>579</v>
      </c>
      <c r="AP31" s="4" t="s">
        <v>584</v>
      </c>
      <c r="AQ31" s="4" t="s">
        <v>580</v>
      </c>
      <c r="AR31" s="4" t="str">
        <f>".7500"</f>
        <v>.7500</v>
      </c>
      <c r="AS31" s="4" t="str">
        <f>"7.50"</f>
        <v>7.50</v>
      </c>
      <c r="AT31" s="4" t="s">
        <v>581</v>
      </c>
      <c r="AU31" s="4" t="str">
        <f>"7.50"</f>
        <v>7.50</v>
      </c>
      <c r="AV31" s="4">
        <v>10</v>
      </c>
      <c r="AW31" s="4">
        <v>0</v>
      </c>
      <c r="AX31" s="4">
        <v>0</v>
      </c>
      <c r="AY31" s="4">
        <v>10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</row>
    <row r="32" spans="1:56" x14ac:dyDescent="0.2">
      <c r="A32" s="4" t="s">
        <v>558</v>
      </c>
      <c r="B32" s="4" t="s">
        <v>559</v>
      </c>
      <c r="C32" s="4" t="s">
        <v>560</v>
      </c>
      <c r="D32" s="4" t="s">
        <v>445</v>
      </c>
      <c r="E32" s="4" t="s">
        <v>561</v>
      </c>
      <c r="F32" s="4" t="s">
        <v>559</v>
      </c>
      <c r="G32" s="4" t="s">
        <v>562</v>
      </c>
      <c r="H32" s="4" t="s">
        <v>445</v>
      </c>
      <c r="I32" s="4" t="str">
        <f t="shared" si="0"/>
        <v>1010</v>
      </c>
      <c r="J32" s="4" t="s">
        <v>444</v>
      </c>
      <c r="K32" s="4" t="s">
        <v>443</v>
      </c>
      <c r="L32" s="4" t="s">
        <v>444</v>
      </c>
      <c r="M32" s="4" t="s">
        <v>445</v>
      </c>
      <c r="N32" s="4" t="s">
        <v>601</v>
      </c>
      <c r="O32" s="4" t="s">
        <v>602</v>
      </c>
      <c r="P32" s="4" t="s">
        <v>563</v>
      </c>
      <c r="Q32" s="4" t="str">
        <f>"8088215802"</f>
        <v>8088215802</v>
      </c>
      <c r="S32" s="4" t="str">
        <f>"00880882158026"</f>
        <v>00880882158026</v>
      </c>
      <c r="T32" s="24">
        <v>39269</v>
      </c>
      <c r="U32" s="24">
        <v>39269</v>
      </c>
      <c r="V32" s="24">
        <v>1</v>
      </c>
      <c r="W32" s="4" t="str">
        <f>"8088215802"</f>
        <v>8088215802</v>
      </c>
      <c r="X32" s="4" t="s">
        <v>563</v>
      </c>
      <c r="Y32" s="4" t="str">
        <f t="shared" si="1"/>
        <v>1010</v>
      </c>
      <c r="Z32" s="4" t="str">
        <f>"11"</f>
        <v>11</v>
      </c>
      <c r="AA32" s="4" t="s">
        <v>93</v>
      </c>
      <c r="AB32" s="4" t="s">
        <v>564</v>
      </c>
      <c r="AC32" s="4" t="s">
        <v>563</v>
      </c>
      <c r="AD32" s="4" t="s">
        <v>565</v>
      </c>
      <c r="AE32" s="4" t="s">
        <v>566</v>
      </c>
      <c r="AF32" s="4" t="s">
        <v>567</v>
      </c>
      <c r="AH32" s="4" t="s">
        <v>568</v>
      </c>
      <c r="AI32" s="4" t="s">
        <v>569</v>
      </c>
      <c r="AJ32" s="4" t="s">
        <v>570</v>
      </c>
      <c r="AK32" s="4" t="s">
        <v>577</v>
      </c>
      <c r="AL32" s="4" t="s">
        <v>578</v>
      </c>
      <c r="AN32" s="4" t="str">
        <f t="shared" si="2"/>
        <v>1</v>
      </c>
      <c r="AO32" s="4" t="s">
        <v>579</v>
      </c>
      <c r="AP32" s="4" t="s">
        <v>574</v>
      </c>
      <c r="AQ32" s="4" t="s">
        <v>580</v>
      </c>
      <c r="AR32" s="4" t="str">
        <f>".7500"</f>
        <v>.7500</v>
      </c>
      <c r="AS32" s="4" t="str">
        <f>"7.50"</f>
        <v>7.50</v>
      </c>
      <c r="AT32" s="4" t="s">
        <v>581</v>
      </c>
      <c r="AU32" s="4" t="str">
        <f>"7.50"</f>
        <v>7.50</v>
      </c>
      <c r="AV32" s="4">
        <v>2</v>
      </c>
      <c r="AW32" s="4">
        <v>-1</v>
      </c>
      <c r="AX32" s="4">
        <v>-7.15</v>
      </c>
      <c r="AY32" s="4">
        <v>1</v>
      </c>
      <c r="AZ32" s="4">
        <v>1.73</v>
      </c>
      <c r="BA32" s="4">
        <v>15.01</v>
      </c>
      <c r="BB32" s="4">
        <v>6.13</v>
      </c>
      <c r="BC32" s="4">
        <v>13.28</v>
      </c>
      <c r="BD32" s="4">
        <v>0</v>
      </c>
    </row>
    <row r="33" spans="1:56" x14ac:dyDescent="0.2">
      <c r="A33" s="4" t="s">
        <v>558</v>
      </c>
      <c r="B33" s="4" t="s">
        <v>559</v>
      </c>
      <c r="C33" s="4" t="s">
        <v>560</v>
      </c>
      <c r="D33" s="4" t="s">
        <v>445</v>
      </c>
      <c r="E33" s="4" t="s">
        <v>561</v>
      </c>
      <c r="F33" s="4" t="s">
        <v>559</v>
      </c>
      <c r="G33" s="4" t="s">
        <v>562</v>
      </c>
      <c r="H33" s="4" t="s">
        <v>445</v>
      </c>
      <c r="I33" s="4" t="str">
        <f t="shared" si="0"/>
        <v>1010</v>
      </c>
      <c r="J33" s="4" t="s">
        <v>444</v>
      </c>
      <c r="K33" s="4" t="s">
        <v>443</v>
      </c>
      <c r="L33" s="4" t="s">
        <v>444</v>
      </c>
      <c r="M33" s="4" t="s">
        <v>445</v>
      </c>
      <c r="N33" s="4" t="s">
        <v>459</v>
      </c>
      <c r="O33" s="4" t="s">
        <v>603</v>
      </c>
      <c r="P33" s="4" t="s">
        <v>563</v>
      </c>
      <c r="Q33" s="4" t="str">
        <f>"8088216751"</f>
        <v>8088216751</v>
      </c>
      <c r="S33" s="4" t="str">
        <f>"00880882167516"</f>
        <v>00880882167516</v>
      </c>
      <c r="T33" s="24">
        <v>40081</v>
      </c>
      <c r="U33" s="24">
        <v>40081</v>
      </c>
      <c r="V33" s="24">
        <v>1</v>
      </c>
      <c r="W33" s="4" t="str">
        <f>"8088216751"</f>
        <v>8088216751</v>
      </c>
      <c r="X33" s="4" t="s">
        <v>563</v>
      </c>
      <c r="Y33" s="4" t="str">
        <f t="shared" si="1"/>
        <v>1010</v>
      </c>
      <c r="Z33" s="4" t="str">
        <f>"11"</f>
        <v>11</v>
      </c>
      <c r="AA33" s="4" t="s">
        <v>93</v>
      </c>
      <c r="AB33" s="4" t="s">
        <v>564</v>
      </c>
      <c r="AC33" s="4" t="s">
        <v>563</v>
      </c>
      <c r="AD33" s="4" t="s">
        <v>565</v>
      </c>
      <c r="AE33" s="4" t="s">
        <v>566</v>
      </c>
      <c r="AF33" s="4" t="s">
        <v>567</v>
      </c>
      <c r="AH33" s="4" t="s">
        <v>568</v>
      </c>
      <c r="AI33" s="4" t="s">
        <v>569</v>
      </c>
      <c r="AJ33" s="4" t="s">
        <v>570</v>
      </c>
      <c r="AK33" s="4" t="s">
        <v>571</v>
      </c>
      <c r="AL33" s="4" t="s">
        <v>572</v>
      </c>
      <c r="AN33" s="4" t="str">
        <f t="shared" si="2"/>
        <v>1</v>
      </c>
      <c r="AO33" s="4" t="s">
        <v>583</v>
      </c>
      <c r="AP33" s="4" t="s">
        <v>574</v>
      </c>
      <c r="AQ33" s="4" t="s">
        <v>575</v>
      </c>
      <c r="AR33" s="4" t="str">
        <f>"1.8000"</f>
        <v>1.8000</v>
      </c>
      <c r="AS33" s="4" t="str">
        <f>"11.59"</f>
        <v>11.59</v>
      </c>
      <c r="AT33" s="4" t="s">
        <v>585</v>
      </c>
      <c r="AU33" s="4" t="str">
        <f>"11.59"</f>
        <v>11.59</v>
      </c>
      <c r="AV33" s="4">
        <v>53</v>
      </c>
      <c r="AW33" s="4">
        <v>0</v>
      </c>
      <c r="AX33" s="4">
        <v>0</v>
      </c>
      <c r="AY33" s="4">
        <v>53</v>
      </c>
      <c r="AZ33" s="4">
        <v>0</v>
      </c>
      <c r="BA33" s="4">
        <v>614.27</v>
      </c>
      <c r="BB33" s="4">
        <v>614.27</v>
      </c>
      <c r="BC33" s="4">
        <v>614.27</v>
      </c>
      <c r="BD33" s="4">
        <v>0</v>
      </c>
    </row>
    <row r="34" spans="1:56" x14ac:dyDescent="0.2">
      <c r="A34" s="4" t="s">
        <v>558</v>
      </c>
      <c r="B34" s="4" t="s">
        <v>559</v>
      </c>
      <c r="C34" s="4" t="s">
        <v>560</v>
      </c>
      <c r="D34" s="4" t="s">
        <v>445</v>
      </c>
      <c r="E34" s="4" t="s">
        <v>561</v>
      </c>
      <c r="F34" s="4" t="s">
        <v>559</v>
      </c>
      <c r="G34" s="4" t="s">
        <v>562</v>
      </c>
      <c r="H34" s="4" t="s">
        <v>445</v>
      </c>
      <c r="I34" s="4" t="str">
        <f t="shared" si="0"/>
        <v>1010</v>
      </c>
      <c r="J34" s="4" t="s">
        <v>444</v>
      </c>
      <c r="K34" s="4" t="s">
        <v>443</v>
      </c>
      <c r="L34" s="4" t="s">
        <v>444</v>
      </c>
      <c r="M34" s="4" t="s">
        <v>445</v>
      </c>
      <c r="N34" s="4" t="s">
        <v>459</v>
      </c>
      <c r="O34" s="4" t="s">
        <v>603</v>
      </c>
      <c r="P34" s="4" t="s">
        <v>563</v>
      </c>
      <c r="Q34" s="4" t="str">
        <f>"8088216752"</f>
        <v>8088216752</v>
      </c>
      <c r="S34" s="4" t="str">
        <f>"00880882167523"</f>
        <v>00880882167523</v>
      </c>
      <c r="T34" s="24">
        <v>40081</v>
      </c>
      <c r="U34" s="24">
        <v>40081</v>
      </c>
      <c r="V34" s="24">
        <v>1</v>
      </c>
      <c r="W34" s="4" t="str">
        <f>"8088216752"</f>
        <v>8088216752</v>
      </c>
      <c r="X34" s="4" t="s">
        <v>563</v>
      </c>
      <c r="Y34" s="4" t="str">
        <f t="shared" si="1"/>
        <v>1010</v>
      </c>
      <c r="Z34" s="4" t="str">
        <f>"11"</f>
        <v>11</v>
      </c>
      <c r="AA34" s="4" t="s">
        <v>93</v>
      </c>
      <c r="AB34" s="4" t="s">
        <v>564</v>
      </c>
      <c r="AC34" s="4" t="s">
        <v>563</v>
      </c>
      <c r="AD34" s="4" t="s">
        <v>565</v>
      </c>
      <c r="AE34" s="4" t="s">
        <v>566</v>
      </c>
      <c r="AF34" s="4" t="s">
        <v>567</v>
      </c>
      <c r="AH34" s="4" t="s">
        <v>568</v>
      </c>
      <c r="AI34" s="4" t="s">
        <v>569</v>
      </c>
      <c r="AJ34" s="4" t="s">
        <v>570</v>
      </c>
      <c r="AK34" s="4" t="s">
        <v>577</v>
      </c>
      <c r="AL34" s="4" t="s">
        <v>578</v>
      </c>
      <c r="AN34" s="4" t="str">
        <f t="shared" si="2"/>
        <v>1</v>
      </c>
      <c r="AO34" s="4" t="s">
        <v>579</v>
      </c>
      <c r="AP34" s="4" t="s">
        <v>574</v>
      </c>
      <c r="AQ34" s="4" t="s">
        <v>580</v>
      </c>
      <c r="AR34" s="4" t="str">
        <f>".7500"</f>
        <v>.7500</v>
      </c>
      <c r="AS34" s="4" t="str">
        <f>"7.50"</f>
        <v>7.50</v>
      </c>
      <c r="AT34" s="4" t="s">
        <v>581</v>
      </c>
      <c r="AU34" s="4" t="str">
        <f>"7.50"</f>
        <v>7.50</v>
      </c>
      <c r="AV34" s="4">
        <v>315</v>
      </c>
      <c r="AW34" s="4">
        <v>-85</v>
      </c>
      <c r="AX34" s="4">
        <v>-609.85</v>
      </c>
      <c r="AY34" s="4">
        <v>230</v>
      </c>
      <c r="AZ34" s="4">
        <v>86.28</v>
      </c>
      <c r="BA34" s="4">
        <v>2361.7800000000002</v>
      </c>
      <c r="BB34" s="4">
        <v>1665.65</v>
      </c>
      <c r="BC34" s="4">
        <v>2275.5</v>
      </c>
      <c r="BD34" s="4">
        <v>0</v>
      </c>
    </row>
    <row r="35" spans="1:56" x14ac:dyDescent="0.2">
      <c r="A35" s="4" t="s">
        <v>558</v>
      </c>
      <c r="B35" s="4" t="s">
        <v>559</v>
      </c>
      <c r="C35" s="4" t="s">
        <v>560</v>
      </c>
      <c r="D35" s="4" t="s">
        <v>445</v>
      </c>
      <c r="E35" s="4" t="s">
        <v>561</v>
      </c>
      <c r="F35" s="4" t="s">
        <v>559</v>
      </c>
      <c r="G35" s="4" t="s">
        <v>562</v>
      </c>
      <c r="H35" s="4" t="s">
        <v>445</v>
      </c>
      <c r="I35" s="4" t="str">
        <f t="shared" si="0"/>
        <v>1010</v>
      </c>
      <c r="J35" s="4" t="s">
        <v>444</v>
      </c>
      <c r="K35" s="4" t="s">
        <v>443</v>
      </c>
      <c r="L35" s="4" t="s">
        <v>444</v>
      </c>
      <c r="M35" s="4" t="s">
        <v>445</v>
      </c>
      <c r="N35" s="4" t="s">
        <v>459</v>
      </c>
      <c r="O35" s="4" t="s">
        <v>603</v>
      </c>
      <c r="P35" s="4" t="s">
        <v>563</v>
      </c>
      <c r="Q35" s="4" t="str">
        <f>"8088216752"</f>
        <v>8088216752</v>
      </c>
      <c r="S35" s="4" t="str">
        <f>"00880882167523"</f>
        <v>00880882167523</v>
      </c>
      <c r="T35" s="24">
        <v>40081</v>
      </c>
      <c r="U35" s="24">
        <v>40081</v>
      </c>
      <c r="V35" s="24">
        <v>1</v>
      </c>
      <c r="W35" s="4" t="str">
        <f>"8088216752"</f>
        <v>8088216752</v>
      </c>
      <c r="X35" s="4" t="s">
        <v>563</v>
      </c>
      <c r="Y35" s="4" t="str">
        <f t="shared" si="1"/>
        <v>1010</v>
      </c>
      <c r="Z35" s="4" t="str">
        <f>"53"</f>
        <v>53</v>
      </c>
      <c r="AA35" s="4" t="s">
        <v>93</v>
      </c>
      <c r="AB35" s="4" t="s">
        <v>564</v>
      </c>
      <c r="AC35" s="4" t="s">
        <v>563</v>
      </c>
      <c r="AD35" s="4" t="s">
        <v>565</v>
      </c>
      <c r="AE35" s="4" t="s">
        <v>566</v>
      </c>
      <c r="AF35" s="4" t="s">
        <v>568</v>
      </c>
      <c r="AH35" s="4" t="s">
        <v>568</v>
      </c>
      <c r="AI35" s="4" t="s">
        <v>569</v>
      </c>
      <c r="AJ35" s="4" t="s">
        <v>570</v>
      </c>
      <c r="AK35" s="4" t="s">
        <v>577</v>
      </c>
      <c r="AL35" s="4" t="s">
        <v>578</v>
      </c>
      <c r="AN35" s="4" t="str">
        <f t="shared" si="2"/>
        <v>1</v>
      </c>
      <c r="AO35" s="4" t="s">
        <v>579</v>
      </c>
      <c r="AP35" s="4" t="s">
        <v>574</v>
      </c>
      <c r="AQ35" s="4" t="s">
        <v>580</v>
      </c>
      <c r="AR35" s="4" t="str">
        <f>".7500"</f>
        <v>.7500</v>
      </c>
      <c r="AS35" s="4" t="str">
        <f>"7.50"</f>
        <v>7.50</v>
      </c>
      <c r="AT35" s="4" t="s">
        <v>581</v>
      </c>
      <c r="AU35" s="4" t="str">
        <f>"7.50"</f>
        <v>7.50</v>
      </c>
      <c r="AV35" s="4">
        <v>2</v>
      </c>
      <c r="AW35" s="4">
        <v>0</v>
      </c>
      <c r="AX35" s="4">
        <v>0</v>
      </c>
      <c r="AY35" s="4">
        <v>2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</row>
    <row r="36" spans="1:56" x14ac:dyDescent="0.2">
      <c r="A36" s="4" t="s">
        <v>558</v>
      </c>
      <c r="B36" s="4" t="s">
        <v>559</v>
      </c>
      <c r="C36" s="4" t="s">
        <v>560</v>
      </c>
      <c r="D36" s="4" t="s">
        <v>445</v>
      </c>
      <c r="E36" s="4" t="s">
        <v>561</v>
      </c>
      <c r="F36" s="4" t="s">
        <v>559</v>
      </c>
      <c r="G36" s="4" t="s">
        <v>562</v>
      </c>
      <c r="H36" s="4" t="s">
        <v>445</v>
      </c>
      <c r="I36" s="4" t="str">
        <f t="shared" si="0"/>
        <v>1010</v>
      </c>
      <c r="J36" s="4" t="s">
        <v>444</v>
      </c>
      <c r="K36" s="4" t="s">
        <v>443</v>
      </c>
      <c r="L36" s="4" t="s">
        <v>444</v>
      </c>
      <c r="M36" s="4" t="s">
        <v>445</v>
      </c>
      <c r="N36" s="4" t="s">
        <v>459</v>
      </c>
      <c r="O36" s="4" t="s">
        <v>458</v>
      </c>
      <c r="P36" s="4" t="s">
        <v>563</v>
      </c>
      <c r="Q36" s="4" t="str">
        <f>"8088217301"</f>
        <v>8088217301</v>
      </c>
      <c r="S36" s="4" t="str">
        <f>"00880882173012"</f>
        <v>00880882173012</v>
      </c>
      <c r="T36" s="24">
        <v>40697</v>
      </c>
      <c r="U36" s="24">
        <v>40697</v>
      </c>
      <c r="V36" s="24">
        <v>1</v>
      </c>
      <c r="W36" s="4" t="str">
        <f>"8088217301"</f>
        <v>8088217301</v>
      </c>
      <c r="X36" s="4" t="s">
        <v>563</v>
      </c>
      <c r="Y36" s="4" t="str">
        <f t="shared" si="1"/>
        <v>1010</v>
      </c>
      <c r="Z36" s="4" t="str">
        <f>"11"</f>
        <v>11</v>
      </c>
      <c r="AA36" s="4" t="s">
        <v>93</v>
      </c>
      <c r="AB36" s="4" t="s">
        <v>564</v>
      </c>
      <c r="AC36" s="4" t="s">
        <v>563</v>
      </c>
      <c r="AD36" s="4" t="s">
        <v>565</v>
      </c>
      <c r="AE36" s="4" t="s">
        <v>566</v>
      </c>
      <c r="AF36" s="4" t="s">
        <v>567</v>
      </c>
      <c r="AH36" s="4" t="s">
        <v>568</v>
      </c>
      <c r="AI36" s="4" t="s">
        <v>569</v>
      </c>
      <c r="AJ36" s="4" t="s">
        <v>570</v>
      </c>
      <c r="AK36" s="4" t="s">
        <v>571</v>
      </c>
      <c r="AL36" s="4" t="s">
        <v>572</v>
      </c>
      <c r="AN36" s="4" t="str">
        <f>"2"</f>
        <v>2</v>
      </c>
      <c r="AO36" s="4" t="s">
        <v>573</v>
      </c>
      <c r="AP36" s="4" t="s">
        <v>574</v>
      </c>
      <c r="AQ36" s="4" t="s">
        <v>575</v>
      </c>
      <c r="AR36" s="4" t="str">
        <f>"1.8000"</f>
        <v>1.8000</v>
      </c>
      <c r="AS36" s="4" t="str">
        <f>"10.40"</f>
        <v>10.40</v>
      </c>
      <c r="AT36" s="4" t="s">
        <v>576</v>
      </c>
      <c r="AU36" s="4" t="str">
        <f>"10.40"</f>
        <v>10.40</v>
      </c>
      <c r="AV36" s="4">
        <v>66</v>
      </c>
      <c r="AW36" s="4">
        <v>0</v>
      </c>
      <c r="AX36" s="4">
        <v>0</v>
      </c>
      <c r="AY36" s="4">
        <v>66</v>
      </c>
      <c r="AZ36" s="4">
        <v>0</v>
      </c>
      <c r="BA36" s="4">
        <v>677.04</v>
      </c>
      <c r="BB36" s="4">
        <v>677.04</v>
      </c>
      <c r="BC36" s="4">
        <v>677.04</v>
      </c>
      <c r="BD36" s="4">
        <v>0</v>
      </c>
    </row>
    <row r="37" spans="1:56" x14ac:dyDescent="0.2">
      <c r="A37" s="4" t="s">
        <v>558</v>
      </c>
      <c r="B37" s="4" t="s">
        <v>559</v>
      </c>
      <c r="C37" s="4" t="s">
        <v>560</v>
      </c>
      <c r="D37" s="4" t="s">
        <v>445</v>
      </c>
      <c r="E37" s="4" t="s">
        <v>561</v>
      </c>
      <c r="F37" s="4" t="s">
        <v>559</v>
      </c>
      <c r="G37" s="4" t="s">
        <v>562</v>
      </c>
      <c r="H37" s="4" t="s">
        <v>445</v>
      </c>
      <c r="I37" s="4" t="str">
        <f t="shared" si="0"/>
        <v>1010</v>
      </c>
      <c r="J37" s="4" t="s">
        <v>444</v>
      </c>
      <c r="K37" s="4" t="s">
        <v>443</v>
      </c>
      <c r="L37" s="4" t="s">
        <v>444</v>
      </c>
      <c r="M37" s="4" t="s">
        <v>445</v>
      </c>
      <c r="N37" s="4" t="s">
        <v>459</v>
      </c>
      <c r="O37" s="4" t="s">
        <v>458</v>
      </c>
      <c r="P37" s="4" t="s">
        <v>563</v>
      </c>
      <c r="Q37" s="4" t="str">
        <f>"8088217302"</f>
        <v>8088217302</v>
      </c>
      <c r="S37" s="4" t="str">
        <f>"00880882173029"</f>
        <v>00880882173029</v>
      </c>
      <c r="T37" s="24">
        <v>40697</v>
      </c>
      <c r="U37" s="24">
        <v>40697</v>
      </c>
      <c r="V37" s="24">
        <v>1</v>
      </c>
      <c r="W37" s="4" t="str">
        <f>"8088217302"</f>
        <v>8088217302</v>
      </c>
      <c r="X37" s="4" t="s">
        <v>563</v>
      </c>
      <c r="Y37" s="4" t="str">
        <f t="shared" si="1"/>
        <v>1010</v>
      </c>
      <c r="Z37" s="4" t="str">
        <f>"11"</f>
        <v>11</v>
      </c>
      <c r="AA37" s="4" t="s">
        <v>93</v>
      </c>
      <c r="AB37" s="4" t="s">
        <v>564</v>
      </c>
      <c r="AC37" s="4" t="s">
        <v>563</v>
      </c>
      <c r="AD37" s="4" t="s">
        <v>565</v>
      </c>
      <c r="AE37" s="4" t="s">
        <v>566</v>
      </c>
      <c r="AF37" s="4" t="s">
        <v>567</v>
      </c>
      <c r="AH37" s="4" t="s">
        <v>568</v>
      </c>
      <c r="AI37" s="4" t="s">
        <v>569</v>
      </c>
      <c r="AJ37" s="4" t="s">
        <v>570</v>
      </c>
      <c r="AK37" s="4" t="s">
        <v>577</v>
      </c>
      <c r="AL37" s="4" t="s">
        <v>578</v>
      </c>
      <c r="AN37" s="4" t="str">
        <f t="shared" ref="AN37:AN42" si="4">"1"</f>
        <v>1</v>
      </c>
      <c r="AO37" s="4" t="s">
        <v>579</v>
      </c>
      <c r="AP37" s="4" t="s">
        <v>574</v>
      </c>
      <c r="AQ37" s="4" t="s">
        <v>580</v>
      </c>
      <c r="AR37" s="4" t="str">
        <f>".7500"</f>
        <v>.7500</v>
      </c>
      <c r="AS37" s="4" t="str">
        <f>"7.50"</f>
        <v>7.50</v>
      </c>
      <c r="AT37" s="4" t="s">
        <v>581</v>
      </c>
      <c r="AU37" s="4" t="str">
        <f>"7.50"</f>
        <v>7.50</v>
      </c>
      <c r="AV37" s="4">
        <v>330</v>
      </c>
      <c r="AW37" s="4">
        <v>-199</v>
      </c>
      <c r="AX37" s="4">
        <v>-1444.2</v>
      </c>
      <c r="AY37" s="4">
        <v>131</v>
      </c>
      <c r="AZ37" s="4">
        <v>0</v>
      </c>
      <c r="BA37" s="4">
        <v>2472</v>
      </c>
      <c r="BB37" s="4">
        <v>1027.8</v>
      </c>
      <c r="BC37" s="4">
        <v>2472</v>
      </c>
      <c r="BD37" s="4">
        <v>0</v>
      </c>
    </row>
    <row r="38" spans="1:56" x14ac:dyDescent="0.2">
      <c r="A38" s="4" t="s">
        <v>558</v>
      </c>
      <c r="B38" s="4" t="s">
        <v>559</v>
      </c>
      <c r="C38" s="4" t="s">
        <v>560</v>
      </c>
      <c r="D38" s="4" t="s">
        <v>445</v>
      </c>
      <c r="E38" s="4" t="s">
        <v>561</v>
      </c>
      <c r="F38" s="4" t="s">
        <v>559</v>
      </c>
      <c r="G38" s="4" t="s">
        <v>562</v>
      </c>
      <c r="H38" s="4" t="s">
        <v>445</v>
      </c>
      <c r="I38" s="4" t="str">
        <f t="shared" si="0"/>
        <v>1010</v>
      </c>
      <c r="J38" s="4" t="s">
        <v>444</v>
      </c>
      <c r="K38" s="4" t="s">
        <v>443</v>
      </c>
      <c r="L38" s="4" t="s">
        <v>444</v>
      </c>
      <c r="M38" s="4" t="s">
        <v>445</v>
      </c>
      <c r="N38" s="4" t="s">
        <v>459</v>
      </c>
      <c r="O38" s="4" t="s">
        <v>458</v>
      </c>
      <c r="P38" s="4" t="s">
        <v>563</v>
      </c>
      <c r="Q38" s="4" t="str">
        <f>"8088217302"</f>
        <v>8088217302</v>
      </c>
      <c r="S38" s="4" t="str">
        <f>"00880882173029"</f>
        <v>00880882173029</v>
      </c>
      <c r="T38" s="24">
        <v>40697</v>
      </c>
      <c r="U38" s="24">
        <v>40697</v>
      </c>
      <c r="V38" s="24">
        <v>1</v>
      </c>
      <c r="W38" s="4" t="str">
        <f>"8088217302"</f>
        <v>8088217302</v>
      </c>
      <c r="X38" s="4" t="s">
        <v>563</v>
      </c>
      <c r="Y38" s="4" t="str">
        <f t="shared" si="1"/>
        <v>1010</v>
      </c>
      <c r="Z38" s="4" t="str">
        <f>"53"</f>
        <v>53</v>
      </c>
      <c r="AA38" s="4" t="s">
        <v>93</v>
      </c>
      <c r="AB38" s="4" t="s">
        <v>564</v>
      </c>
      <c r="AC38" s="4" t="s">
        <v>563</v>
      </c>
      <c r="AD38" s="4" t="s">
        <v>565</v>
      </c>
      <c r="AE38" s="4" t="s">
        <v>566</v>
      </c>
      <c r="AF38" s="4" t="s">
        <v>568</v>
      </c>
      <c r="AH38" s="4" t="s">
        <v>568</v>
      </c>
      <c r="AI38" s="4" t="s">
        <v>569</v>
      </c>
      <c r="AJ38" s="4" t="s">
        <v>570</v>
      </c>
      <c r="AK38" s="4" t="s">
        <v>577</v>
      </c>
      <c r="AL38" s="4" t="s">
        <v>578</v>
      </c>
      <c r="AN38" s="4" t="str">
        <f t="shared" si="4"/>
        <v>1</v>
      </c>
      <c r="AO38" s="4" t="s">
        <v>579</v>
      </c>
      <c r="AP38" s="4" t="s">
        <v>574</v>
      </c>
      <c r="AQ38" s="4" t="s">
        <v>580</v>
      </c>
      <c r="AR38" s="4" t="str">
        <f>".7500"</f>
        <v>.7500</v>
      </c>
      <c r="AS38" s="4" t="str">
        <f>"7.50"</f>
        <v>7.50</v>
      </c>
      <c r="AT38" s="4" t="s">
        <v>581</v>
      </c>
      <c r="AU38" s="4" t="str">
        <f>"7.50"</f>
        <v>7.50</v>
      </c>
      <c r="AV38" s="4">
        <v>2</v>
      </c>
      <c r="AW38" s="4">
        <v>0</v>
      </c>
      <c r="AX38" s="4">
        <v>0</v>
      </c>
      <c r="AY38" s="4">
        <v>2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</row>
    <row r="39" spans="1:56" x14ac:dyDescent="0.2">
      <c r="A39" s="4" t="s">
        <v>558</v>
      </c>
      <c r="B39" s="4" t="s">
        <v>559</v>
      </c>
      <c r="C39" s="4" t="s">
        <v>560</v>
      </c>
      <c r="D39" s="4" t="s">
        <v>445</v>
      </c>
      <c r="E39" s="4" t="s">
        <v>561</v>
      </c>
      <c r="F39" s="4" t="s">
        <v>559</v>
      </c>
      <c r="G39" s="4" t="s">
        <v>562</v>
      </c>
      <c r="H39" s="4" t="s">
        <v>445</v>
      </c>
      <c r="I39" s="4" t="str">
        <f t="shared" si="0"/>
        <v>1010</v>
      </c>
      <c r="J39" s="4" t="s">
        <v>444</v>
      </c>
      <c r="K39" s="4" t="s">
        <v>443</v>
      </c>
      <c r="L39" s="4" t="s">
        <v>444</v>
      </c>
      <c r="M39" s="4" t="s">
        <v>445</v>
      </c>
      <c r="N39" s="4" t="s">
        <v>604</v>
      </c>
      <c r="O39" s="4" t="s">
        <v>605</v>
      </c>
      <c r="P39" s="4" t="s">
        <v>563</v>
      </c>
      <c r="Q39" s="4" t="str">
        <f>"8088216122"</f>
        <v>8088216122</v>
      </c>
      <c r="S39" s="4" t="str">
        <f>"00880882161224"</f>
        <v>00880882161224</v>
      </c>
      <c r="T39" s="24">
        <v>39493</v>
      </c>
      <c r="U39" s="24">
        <v>39493</v>
      </c>
      <c r="V39" s="24">
        <v>1</v>
      </c>
      <c r="W39" s="4" t="str">
        <f>"8088216122"</f>
        <v>8088216122</v>
      </c>
      <c r="X39" s="4" t="s">
        <v>563</v>
      </c>
      <c r="Y39" s="4" t="str">
        <f t="shared" si="1"/>
        <v>1010</v>
      </c>
      <c r="Z39" s="4" t="str">
        <f t="shared" ref="Z39:Z48" si="5">"11"</f>
        <v>11</v>
      </c>
      <c r="AA39" s="4" t="s">
        <v>93</v>
      </c>
      <c r="AB39" s="4" t="s">
        <v>564</v>
      </c>
      <c r="AC39" s="4" t="s">
        <v>563</v>
      </c>
      <c r="AD39" s="4" t="s">
        <v>565</v>
      </c>
      <c r="AE39" s="4" t="s">
        <v>566</v>
      </c>
      <c r="AF39" s="4" t="s">
        <v>567</v>
      </c>
      <c r="AH39" s="4" t="s">
        <v>568</v>
      </c>
      <c r="AI39" s="4" t="s">
        <v>589</v>
      </c>
      <c r="AJ39" s="4" t="s">
        <v>590</v>
      </c>
      <c r="AK39" s="4" t="s">
        <v>577</v>
      </c>
      <c r="AL39" s="4" t="s">
        <v>578</v>
      </c>
      <c r="AN39" s="4" t="str">
        <f t="shared" si="4"/>
        <v>1</v>
      </c>
      <c r="AO39" s="4" t="s">
        <v>606</v>
      </c>
      <c r="AP39" s="4" t="s">
        <v>574</v>
      </c>
      <c r="AQ39" s="4" t="s">
        <v>575</v>
      </c>
      <c r="AR39" s="4" t="str">
        <f>".7500"</f>
        <v>.7500</v>
      </c>
      <c r="AS39" s="4" t="str">
        <f>"9.07"</f>
        <v>9.07</v>
      </c>
      <c r="AT39" s="4" t="s">
        <v>607</v>
      </c>
      <c r="AU39" s="4" t="str">
        <f>"9.07"</f>
        <v>9.07</v>
      </c>
      <c r="AV39" s="4">
        <v>2</v>
      </c>
      <c r="AW39" s="4">
        <v>-7</v>
      </c>
      <c r="AX39" s="4">
        <v>-61.04</v>
      </c>
      <c r="AY39" s="4">
        <v>-5</v>
      </c>
      <c r="AZ39" s="4">
        <v>1.04</v>
      </c>
      <c r="BA39" s="4">
        <v>18.14</v>
      </c>
      <c r="BB39" s="4">
        <v>-43.94</v>
      </c>
      <c r="BC39" s="4">
        <v>17.100000000000001</v>
      </c>
      <c r="BD39" s="4">
        <v>0</v>
      </c>
    </row>
    <row r="40" spans="1:56" x14ac:dyDescent="0.2">
      <c r="A40" s="4" t="s">
        <v>558</v>
      </c>
      <c r="B40" s="4" t="s">
        <v>559</v>
      </c>
      <c r="C40" s="4" t="s">
        <v>560</v>
      </c>
      <c r="D40" s="4" t="s">
        <v>445</v>
      </c>
      <c r="E40" s="4" t="s">
        <v>561</v>
      </c>
      <c r="F40" s="4" t="s">
        <v>559</v>
      </c>
      <c r="G40" s="4" t="s">
        <v>562</v>
      </c>
      <c r="H40" s="4" t="s">
        <v>445</v>
      </c>
      <c r="I40" s="4" t="str">
        <f t="shared" si="0"/>
        <v>1010</v>
      </c>
      <c r="J40" s="4" t="s">
        <v>444</v>
      </c>
      <c r="K40" s="4" t="s">
        <v>443</v>
      </c>
      <c r="L40" s="4" t="s">
        <v>444</v>
      </c>
      <c r="M40" s="4" t="s">
        <v>445</v>
      </c>
      <c r="N40" s="4" t="s">
        <v>604</v>
      </c>
      <c r="O40" s="4" t="s">
        <v>608</v>
      </c>
      <c r="P40" s="4" t="s">
        <v>563</v>
      </c>
      <c r="Q40" s="4" t="str">
        <f>"8088215371"</f>
        <v>8088215371</v>
      </c>
      <c r="S40" s="4" t="str">
        <f>"00880882153717"</f>
        <v>00880882153717</v>
      </c>
      <c r="T40" s="24">
        <v>38471</v>
      </c>
      <c r="U40" s="24">
        <v>38471</v>
      </c>
      <c r="V40" s="24">
        <v>1</v>
      </c>
      <c r="W40" s="4" t="str">
        <f>"8088215371"</f>
        <v>8088215371</v>
      </c>
      <c r="X40" s="4" t="s">
        <v>563</v>
      </c>
      <c r="Y40" s="4" t="str">
        <f t="shared" si="1"/>
        <v>1010</v>
      </c>
      <c r="Z40" s="4" t="str">
        <f t="shared" si="5"/>
        <v>11</v>
      </c>
      <c r="AA40" s="4" t="s">
        <v>93</v>
      </c>
      <c r="AB40" s="4" t="s">
        <v>564</v>
      </c>
      <c r="AC40" s="4" t="s">
        <v>563</v>
      </c>
      <c r="AD40" s="4" t="s">
        <v>565</v>
      </c>
      <c r="AE40" s="4" t="s">
        <v>566</v>
      </c>
      <c r="AF40" s="4" t="s">
        <v>567</v>
      </c>
      <c r="AH40" s="4" t="s">
        <v>568</v>
      </c>
      <c r="AI40" s="4" t="s">
        <v>569</v>
      </c>
      <c r="AJ40" s="4" t="s">
        <v>570</v>
      </c>
      <c r="AK40" s="4" t="s">
        <v>571</v>
      </c>
      <c r="AL40" s="4" t="s">
        <v>572</v>
      </c>
      <c r="AN40" s="4" t="str">
        <f t="shared" si="4"/>
        <v>1</v>
      </c>
      <c r="AO40" s="4" t="s">
        <v>573</v>
      </c>
      <c r="AP40" s="4" t="s">
        <v>574</v>
      </c>
      <c r="AQ40" s="4" t="s">
        <v>575</v>
      </c>
      <c r="AR40" s="4" t="str">
        <f>"1.8000"</f>
        <v>1.8000</v>
      </c>
      <c r="AS40" s="4" t="str">
        <f>"10.40"</f>
        <v>10.40</v>
      </c>
      <c r="AT40" s="4" t="s">
        <v>576</v>
      </c>
      <c r="AU40" s="4" t="str">
        <f>"10.40"</f>
        <v>10.40</v>
      </c>
      <c r="AV40" s="4">
        <v>4</v>
      </c>
      <c r="AW40" s="4">
        <v>0</v>
      </c>
      <c r="AX40" s="4">
        <v>0</v>
      </c>
      <c r="AY40" s="4">
        <v>4</v>
      </c>
      <c r="AZ40" s="4">
        <v>0</v>
      </c>
      <c r="BA40" s="4">
        <v>41.6</v>
      </c>
      <c r="BB40" s="4">
        <v>41.6</v>
      </c>
      <c r="BC40" s="4">
        <v>41.6</v>
      </c>
      <c r="BD40" s="4">
        <v>0</v>
      </c>
    </row>
    <row r="41" spans="1:56" x14ac:dyDescent="0.2">
      <c r="A41" s="4" t="s">
        <v>558</v>
      </c>
      <c r="B41" s="4" t="s">
        <v>559</v>
      </c>
      <c r="C41" s="4" t="s">
        <v>560</v>
      </c>
      <c r="D41" s="4" t="s">
        <v>445</v>
      </c>
      <c r="E41" s="4" t="s">
        <v>561</v>
      </c>
      <c r="F41" s="4" t="s">
        <v>559</v>
      </c>
      <c r="G41" s="4" t="s">
        <v>562</v>
      </c>
      <c r="H41" s="4" t="s">
        <v>445</v>
      </c>
      <c r="I41" s="4" t="str">
        <f t="shared" si="0"/>
        <v>1010</v>
      </c>
      <c r="J41" s="4" t="s">
        <v>444</v>
      </c>
      <c r="K41" s="4" t="s">
        <v>443</v>
      </c>
      <c r="L41" s="4" t="s">
        <v>444</v>
      </c>
      <c r="M41" s="4" t="s">
        <v>445</v>
      </c>
      <c r="N41" s="4" t="s">
        <v>604</v>
      </c>
      <c r="O41" s="4" t="s">
        <v>608</v>
      </c>
      <c r="P41" s="4" t="s">
        <v>563</v>
      </c>
      <c r="Q41" s="4" t="str">
        <f>"8088215372"</f>
        <v>8088215372</v>
      </c>
      <c r="S41" s="4" t="str">
        <f>"00880882153724"</f>
        <v>00880882153724</v>
      </c>
      <c r="T41" s="24">
        <v>38471</v>
      </c>
      <c r="U41" s="24">
        <v>38471</v>
      </c>
      <c r="V41" s="24">
        <v>1</v>
      </c>
      <c r="W41" s="4" t="str">
        <f>"8088215372"</f>
        <v>8088215372</v>
      </c>
      <c r="X41" s="4" t="s">
        <v>563</v>
      </c>
      <c r="Y41" s="4" t="str">
        <f t="shared" si="1"/>
        <v>1010</v>
      </c>
      <c r="Z41" s="4" t="str">
        <f t="shared" si="5"/>
        <v>11</v>
      </c>
      <c r="AA41" s="4" t="s">
        <v>93</v>
      </c>
      <c r="AB41" s="4" t="s">
        <v>564</v>
      </c>
      <c r="AC41" s="4" t="s">
        <v>563</v>
      </c>
      <c r="AD41" s="4" t="s">
        <v>565</v>
      </c>
      <c r="AE41" s="4" t="s">
        <v>566</v>
      </c>
      <c r="AF41" s="4" t="s">
        <v>567</v>
      </c>
      <c r="AH41" s="4" t="s">
        <v>568</v>
      </c>
      <c r="AI41" s="4" t="s">
        <v>589</v>
      </c>
      <c r="AJ41" s="4" t="s">
        <v>590</v>
      </c>
      <c r="AK41" s="4" t="s">
        <v>577</v>
      </c>
      <c r="AL41" s="4" t="s">
        <v>578</v>
      </c>
      <c r="AN41" s="4" t="str">
        <f t="shared" si="4"/>
        <v>1</v>
      </c>
      <c r="AO41" s="4" t="s">
        <v>579</v>
      </c>
      <c r="AP41" s="4" t="s">
        <v>574</v>
      </c>
      <c r="AQ41" s="4" t="s">
        <v>580</v>
      </c>
      <c r="AR41" s="4" t="str">
        <f>".7500"</f>
        <v>.7500</v>
      </c>
      <c r="AS41" s="4" t="str">
        <f>"7.50"</f>
        <v>7.50</v>
      </c>
      <c r="AT41" s="4" t="s">
        <v>581</v>
      </c>
      <c r="AU41" s="4" t="str">
        <f>"7.50"</f>
        <v>7.50</v>
      </c>
      <c r="AV41" s="4">
        <v>13</v>
      </c>
      <c r="AW41" s="4">
        <v>-6</v>
      </c>
      <c r="AX41" s="4">
        <v>-8.85</v>
      </c>
      <c r="AY41" s="4">
        <v>7</v>
      </c>
      <c r="AZ41" s="4">
        <v>6.9</v>
      </c>
      <c r="BA41" s="4">
        <v>97.52</v>
      </c>
      <c r="BB41" s="4">
        <v>81.77</v>
      </c>
      <c r="BC41" s="4">
        <v>90.62</v>
      </c>
      <c r="BD41" s="4">
        <v>0</v>
      </c>
    </row>
    <row r="42" spans="1:56" x14ac:dyDescent="0.2">
      <c r="A42" s="4" t="s">
        <v>558</v>
      </c>
      <c r="B42" s="4" t="s">
        <v>559</v>
      </c>
      <c r="C42" s="4" t="s">
        <v>560</v>
      </c>
      <c r="D42" s="4" t="s">
        <v>445</v>
      </c>
      <c r="E42" s="4" t="s">
        <v>561</v>
      </c>
      <c r="F42" s="4" t="s">
        <v>559</v>
      </c>
      <c r="G42" s="4" t="s">
        <v>562</v>
      </c>
      <c r="H42" s="4" t="s">
        <v>445</v>
      </c>
      <c r="I42" s="4" t="str">
        <f t="shared" si="0"/>
        <v>1010</v>
      </c>
      <c r="J42" s="4" t="s">
        <v>444</v>
      </c>
      <c r="K42" s="4" t="s">
        <v>443</v>
      </c>
      <c r="L42" s="4" t="s">
        <v>444</v>
      </c>
      <c r="M42" s="4" t="s">
        <v>445</v>
      </c>
      <c r="N42" s="4" t="s">
        <v>604</v>
      </c>
      <c r="O42" s="4" t="s">
        <v>609</v>
      </c>
      <c r="P42" s="4" t="s">
        <v>563</v>
      </c>
      <c r="Q42" s="4" t="str">
        <f>"8088216822"</f>
        <v>8088216822</v>
      </c>
      <c r="S42" s="4" t="str">
        <f>"00880882168223"</f>
        <v>00880882168223</v>
      </c>
      <c r="T42" s="24">
        <v>40088</v>
      </c>
      <c r="U42" s="24">
        <v>40088</v>
      </c>
      <c r="V42" s="24">
        <v>1</v>
      </c>
      <c r="W42" s="4" t="str">
        <f>"8088216822"</f>
        <v>8088216822</v>
      </c>
      <c r="X42" s="4" t="s">
        <v>563</v>
      </c>
      <c r="Y42" s="4" t="str">
        <f t="shared" si="1"/>
        <v>1010</v>
      </c>
      <c r="Z42" s="4" t="str">
        <f t="shared" si="5"/>
        <v>11</v>
      </c>
      <c r="AA42" s="4" t="s">
        <v>93</v>
      </c>
      <c r="AB42" s="4" t="s">
        <v>564</v>
      </c>
      <c r="AC42" s="4" t="s">
        <v>563</v>
      </c>
      <c r="AD42" s="4" t="s">
        <v>565</v>
      </c>
      <c r="AE42" s="4" t="s">
        <v>566</v>
      </c>
      <c r="AF42" s="4" t="s">
        <v>567</v>
      </c>
      <c r="AH42" s="4" t="s">
        <v>568</v>
      </c>
      <c r="AI42" s="4" t="s">
        <v>589</v>
      </c>
      <c r="AJ42" s="4" t="s">
        <v>590</v>
      </c>
      <c r="AK42" s="4" t="s">
        <v>577</v>
      </c>
      <c r="AL42" s="4" t="s">
        <v>578</v>
      </c>
      <c r="AN42" s="4" t="str">
        <f t="shared" si="4"/>
        <v>1</v>
      </c>
      <c r="AO42" s="4" t="s">
        <v>606</v>
      </c>
      <c r="AP42" s="4" t="s">
        <v>574</v>
      </c>
      <c r="AQ42" s="4" t="s">
        <v>575</v>
      </c>
      <c r="AR42" s="4" t="str">
        <f>".7500"</f>
        <v>.7500</v>
      </c>
      <c r="AS42" s="4" t="str">
        <f>"9.07"</f>
        <v>9.07</v>
      </c>
      <c r="AT42" s="4" t="s">
        <v>607</v>
      </c>
      <c r="AU42" s="4" t="str">
        <f>"9.07"</f>
        <v>9.07</v>
      </c>
      <c r="AV42" s="4">
        <v>2</v>
      </c>
      <c r="AW42" s="4">
        <v>-1</v>
      </c>
      <c r="AX42" s="4">
        <v>-8.7200000000000006</v>
      </c>
      <c r="AY42" s="4">
        <v>1</v>
      </c>
      <c r="AZ42" s="4">
        <v>2.08</v>
      </c>
      <c r="BA42" s="4">
        <v>18.14</v>
      </c>
      <c r="BB42" s="4">
        <v>7.34</v>
      </c>
      <c r="BC42" s="4">
        <v>16.059999999999999</v>
      </c>
      <c r="BD42" s="4">
        <v>0</v>
      </c>
    </row>
    <row r="43" spans="1:56" x14ac:dyDescent="0.2">
      <c r="A43" s="4" t="s">
        <v>558</v>
      </c>
      <c r="B43" s="4" t="s">
        <v>559</v>
      </c>
      <c r="C43" s="4" t="s">
        <v>560</v>
      </c>
      <c r="D43" s="4" t="s">
        <v>445</v>
      </c>
      <c r="E43" s="4" t="s">
        <v>561</v>
      </c>
      <c r="F43" s="4" t="s">
        <v>559</v>
      </c>
      <c r="G43" s="4" t="s">
        <v>562</v>
      </c>
      <c r="H43" s="4" t="s">
        <v>445</v>
      </c>
      <c r="I43" s="4" t="str">
        <f t="shared" si="0"/>
        <v>1010</v>
      </c>
      <c r="J43" s="4" t="s">
        <v>444</v>
      </c>
      <c r="K43" s="4" t="s">
        <v>443</v>
      </c>
      <c r="L43" s="4" t="s">
        <v>444</v>
      </c>
      <c r="M43" s="4" t="s">
        <v>445</v>
      </c>
      <c r="N43" s="4" t="s">
        <v>610</v>
      </c>
      <c r="O43" s="4" t="s">
        <v>477</v>
      </c>
      <c r="P43" s="4" t="s">
        <v>563</v>
      </c>
      <c r="Q43" s="4" t="str">
        <f>"8088217211"</f>
        <v>8088217211</v>
      </c>
      <c r="S43" s="4" t="str">
        <f>"00880882172114"</f>
        <v>00880882172114</v>
      </c>
      <c r="T43" s="24">
        <v>40585</v>
      </c>
      <c r="U43" s="24">
        <v>40585</v>
      </c>
      <c r="V43" s="24">
        <v>1</v>
      </c>
      <c r="W43" s="4" t="str">
        <f>"8088217211"</f>
        <v>8088217211</v>
      </c>
      <c r="X43" s="4" t="s">
        <v>563</v>
      </c>
      <c r="Y43" s="4" t="str">
        <f t="shared" si="1"/>
        <v>1010</v>
      </c>
      <c r="Z43" s="4" t="str">
        <f t="shared" si="5"/>
        <v>11</v>
      </c>
      <c r="AA43" s="4" t="s">
        <v>93</v>
      </c>
      <c r="AB43" s="4" t="s">
        <v>564</v>
      </c>
      <c r="AC43" s="4" t="s">
        <v>563</v>
      </c>
      <c r="AD43" s="4" t="s">
        <v>565</v>
      </c>
      <c r="AE43" s="4" t="s">
        <v>566</v>
      </c>
      <c r="AF43" s="4" t="s">
        <v>567</v>
      </c>
      <c r="AH43" s="4" t="s">
        <v>568</v>
      </c>
      <c r="AI43" s="4" t="s">
        <v>569</v>
      </c>
      <c r="AJ43" s="4" t="s">
        <v>570</v>
      </c>
      <c r="AK43" s="4" t="s">
        <v>571</v>
      </c>
      <c r="AL43" s="4" t="s">
        <v>572</v>
      </c>
      <c r="AN43" s="4" t="str">
        <f>"2"</f>
        <v>2</v>
      </c>
      <c r="AO43" s="4" t="s">
        <v>611</v>
      </c>
      <c r="AP43" s="4" t="s">
        <v>574</v>
      </c>
      <c r="AQ43" s="4" t="s">
        <v>575</v>
      </c>
      <c r="AR43" s="4" t="str">
        <f>"1.8000"</f>
        <v>1.8000</v>
      </c>
      <c r="AS43" s="4" t="str">
        <f>".00"</f>
        <v>.00</v>
      </c>
      <c r="AT43" s="4" t="s">
        <v>611</v>
      </c>
      <c r="AV43" s="4">
        <v>5</v>
      </c>
      <c r="AW43" s="4">
        <v>0</v>
      </c>
      <c r="AX43" s="4">
        <v>0</v>
      </c>
      <c r="AY43" s="4">
        <v>5</v>
      </c>
      <c r="AZ43" s="4">
        <v>0</v>
      </c>
      <c r="BA43" s="4">
        <v>71.83</v>
      </c>
      <c r="BB43" s="4">
        <v>71.83</v>
      </c>
      <c r="BC43" s="4">
        <v>71.83</v>
      </c>
      <c r="BD43" s="4">
        <v>0</v>
      </c>
    </row>
    <row r="44" spans="1:56" x14ac:dyDescent="0.2">
      <c r="A44" s="4" t="s">
        <v>558</v>
      </c>
      <c r="B44" s="4" t="s">
        <v>559</v>
      </c>
      <c r="C44" s="4" t="s">
        <v>560</v>
      </c>
      <c r="D44" s="4" t="s">
        <v>445</v>
      </c>
      <c r="E44" s="4" t="s">
        <v>561</v>
      </c>
      <c r="F44" s="4" t="s">
        <v>559</v>
      </c>
      <c r="G44" s="4" t="s">
        <v>562</v>
      </c>
      <c r="H44" s="4" t="s">
        <v>445</v>
      </c>
      <c r="I44" s="4" t="str">
        <f t="shared" si="0"/>
        <v>1010</v>
      </c>
      <c r="J44" s="4" t="s">
        <v>444</v>
      </c>
      <c r="K44" s="4" t="s">
        <v>443</v>
      </c>
      <c r="L44" s="4" t="s">
        <v>444</v>
      </c>
      <c r="M44" s="4" t="s">
        <v>445</v>
      </c>
      <c r="N44" s="4" t="s">
        <v>610</v>
      </c>
      <c r="O44" s="4" t="s">
        <v>477</v>
      </c>
      <c r="P44" s="4" t="s">
        <v>563</v>
      </c>
      <c r="Q44" s="4" t="str">
        <f>"8088217212"</f>
        <v>8088217212</v>
      </c>
      <c r="S44" s="4" t="str">
        <f>"00880882172121"</f>
        <v>00880882172121</v>
      </c>
      <c r="T44" s="24">
        <v>40585</v>
      </c>
      <c r="U44" s="24">
        <v>40585</v>
      </c>
      <c r="V44" s="24">
        <v>1</v>
      </c>
      <c r="W44" s="4" t="str">
        <f>"8088217212"</f>
        <v>8088217212</v>
      </c>
      <c r="X44" s="4" t="s">
        <v>563</v>
      </c>
      <c r="Y44" s="4" t="str">
        <f t="shared" si="1"/>
        <v>1010</v>
      </c>
      <c r="Z44" s="4" t="str">
        <f t="shared" si="5"/>
        <v>11</v>
      </c>
      <c r="AA44" s="4" t="s">
        <v>93</v>
      </c>
      <c r="AB44" s="4" t="s">
        <v>564</v>
      </c>
      <c r="AC44" s="4" t="s">
        <v>563</v>
      </c>
      <c r="AD44" s="4" t="s">
        <v>565</v>
      </c>
      <c r="AE44" s="4" t="s">
        <v>566</v>
      </c>
      <c r="AF44" s="4" t="s">
        <v>567</v>
      </c>
      <c r="AH44" s="4" t="s">
        <v>568</v>
      </c>
      <c r="AI44" s="4" t="s">
        <v>569</v>
      </c>
      <c r="AJ44" s="4" t="s">
        <v>570</v>
      </c>
      <c r="AK44" s="4" t="s">
        <v>577</v>
      </c>
      <c r="AL44" s="4" t="s">
        <v>578</v>
      </c>
      <c r="AN44" s="4" t="str">
        <f>"1"</f>
        <v>1</v>
      </c>
      <c r="AO44" s="4" t="s">
        <v>606</v>
      </c>
      <c r="AP44" s="4" t="s">
        <v>574</v>
      </c>
      <c r="AQ44" s="4" t="s">
        <v>575</v>
      </c>
      <c r="AR44" s="4" t="str">
        <f>".7500"</f>
        <v>.7500</v>
      </c>
      <c r="AS44" s="4" t="str">
        <f>"9.07"</f>
        <v>9.07</v>
      </c>
      <c r="AT44" s="4" t="s">
        <v>607</v>
      </c>
      <c r="AU44" s="4" t="str">
        <f>"9.07"</f>
        <v>9.07</v>
      </c>
      <c r="AV44" s="4">
        <v>22</v>
      </c>
      <c r="AW44" s="4">
        <v>-50</v>
      </c>
      <c r="AX44" s="4">
        <v>-437.4</v>
      </c>
      <c r="AY44" s="4">
        <v>-28</v>
      </c>
      <c r="AZ44" s="4">
        <v>15.64</v>
      </c>
      <c r="BA44" s="4">
        <v>199.58</v>
      </c>
      <c r="BB44" s="4">
        <v>-253.46</v>
      </c>
      <c r="BC44" s="4">
        <v>183.94</v>
      </c>
      <c r="BD44" s="4">
        <v>0</v>
      </c>
    </row>
    <row r="45" spans="1:56" x14ac:dyDescent="0.2">
      <c r="A45" s="4" t="s">
        <v>558</v>
      </c>
      <c r="B45" s="4" t="s">
        <v>559</v>
      </c>
      <c r="C45" s="4" t="s">
        <v>560</v>
      </c>
      <c r="D45" s="4" t="s">
        <v>445</v>
      </c>
      <c r="E45" s="4" t="s">
        <v>561</v>
      </c>
      <c r="F45" s="4" t="s">
        <v>559</v>
      </c>
      <c r="G45" s="4" t="s">
        <v>562</v>
      </c>
      <c r="H45" s="4" t="s">
        <v>445</v>
      </c>
      <c r="I45" s="4" t="str">
        <f t="shared" si="0"/>
        <v>1010</v>
      </c>
      <c r="J45" s="4" t="s">
        <v>444</v>
      </c>
      <c r="K45" s="4" t="s">
        <v>443</v>
      </c>
      <c r="L45" s="4" t="s">
        <v>444</v>
      </c>
      <c r="M45" s="4" t="s">
        <v>445</v>
      </c>
      <c r="N45" s="4" t="s">
        <v>610</v>
      </c>
      <c r="O45" s="4" t="s">
        <v>478</v>
      </c>
      <c r="P45" s="4" t="s">
        <v>563</v>
      </c>
      <c r="Q45" s="4" t="str">
        <f>"8088217011"</f>
        <v>8088217011</v>
      </c>
      <c r="S45" s="4" t="str">
        <f>"00880882170110"</f>
        <v>00880882170110</v>
      </c>
      <c r="T45" s="24">
        <v>40886</v>
      </c>
      <c r="U45" s="24">
        <v>40886</v>
      </c>
      <c r="V45" s="24">
        <v>1</v>
      </c>
      <c r="W45" s="4" t="str">
        <f>"8088217011"</f>
        <v>8088217011</v>
      </c>
      <c r="X45" s="4" t="s">
        <v>563</v>
      </c>
      <c r="Y45" s="4" t="str">
        <f t="shared" si="1"/>
        <v>1010</v>
      </c>
      <c r="Z45" s="4" t="str">
        <f t="shared" si="5"/>
        <v>11</v>
      </c>
      <c r="AA45" s="4" t="s">
        <v>93</v>
      </c>
      <c r="AB45" s="4" t="s">
        <v>564</v>
      </c>
      <c r="AC45" s="4" t="s">
        <v>563</v>
      </c>
      <c r="AD45" s="4" t="s">
        <v>565</v>
      </c>
      <c r="AE45" s="4" t="s">
        <v>566</v>
      </c>
      <c r="AF45" s="4" t="s">
        <v>567</v>
      </c>
      <c r="AH45" s="4" t="s">
        <v>568</v>
      </c>
      <c r="AI45" s="4" t="s">
        <v>569</v>
      </c>
      <c r="AJ45" s="4" t="s">
        <v>570</v>
      </c>
      <c r="AK45" s="4" t="s">
        <v>571</v>
      </c>
      <c r="AL45" s="4" t="s">
        <v>572</v>
      </c>
      <c r="AN45" s="4" t="str">
        <f>"2"</f>
        <v>2</v>
      </c>
      <c r="AO45" s="4" t="s">
        <v>612</v>
      </c>
      <c r="AP45" s="4" t="s">
        <v>574</v>
      </c>
      <c r="AQ45" s="4" t="s">
        <v>575</v>
      </c>
      <c r="AR45" s="4" t="str">
        <f>"1.8000"</f>
        <v>1.8000</v>
      </c>
      <c r="AS45" s="4" t="str">
        <f>".00"</f>
        <v>.00</v>
      </c>
      <c r="AT45" s="4" t="s">
        <v>612</v>
      </c>
      <c r="AV45" s="4">
        <v>29</v>
      </c>
      <c r="AW45" s="4">
        <v>0</v>
      </c>
      <c r="AX45" s="4">
        <v>0</v>
      </c>
      <c r="AY45" s="4">
        <v>29</v>
      </c>
      <c r="AZ45" s="4">
        <v>0</v>
      </c>
      <c r="BA45" s="4">
        <v>375.05</v>
      </c>
      <c r="BB45" s="4">
        <v>375.05</v>
      </c>
      <c r="BC45" s="4">
        <v>375.05</v>
      </c>
      <c r="BD45" s="4">
        <v>0</v>
      </c>
    </row>
    <row r="46" spans="1:56" x14ac:dyDescent="0.2">
      <c r="A46" s="4" t="s">
        <v>558</v>
      </c>
      <c r="B46" s="4" t="s">
        <v>559</v>
      </c>
      <c r="C46" s="4" t="s">
        <v>560</v>
      </c>
      <c r="D46" s="4" t="s">
        <v>445</v>
      </c>
      <c r="E46" s="4" t="s">
        <v>561</v>
      </c>
      <c r="F46" s="4" t="s">
        <v>559</v>
      </c>
      <c r="G46" s="4" t="s">
        <v>562</v>
      </c>
      <c r="H46" s="4" t="s">
        <v>445</v>
      </c>
      <c r="I46" s="4" t="str">
        <f t="shared" si="0"/>
        <v>1010</v>
      </c>
      <c r="J46" s="4" t="s">
        <v>444</v>
      </c>
      <c r="K46" s="4" t="s">
        <v>443</v>
      </c>
      <c r="L46" s="4" t="s">
        <v>444</v>
      </c>
      <c r="M46" s="4" t="s">
        <v>445</v>
      </c>
      <c r="N46" s="4" t="s">
        <v>610</v>
      </c>
      <c r="O46" s="4" t="s">
        <v>478</v>
      </c>
      <c r="P46" s="4" t="s">
        <v>563</v>
      </c>
      <c r="Q46" s="4" t="str">
        <f>"8088217012"</f>
        <v>8088217012</v>
      </c>
      <c r="S46" s="4" t="str">
        <f>"00880882170127"</f>
        <v>00880882170127</v>
      </c>
      <c r="T46" s="24">
        <v>40249</v>
      </c>
      <c r="U46" s="24">
        <v>40249</v>
      </c>
      <c r="V46" s="24">
        <v>1</v>
      </c>
      <c r="W46" s="4" t="str">
        <f>"8088217012"</f>
        <v>8088217012</v>
      </c>
      <c r="X46" s="4" t="s">
        <v>563</v>
      </c>
      <c r="Y46" s="4" t="str">
        <f t="shared" si="1"/>
        <v>1010</v>
      </c>
      <c r="Z46" s="4" t="str">
        <f t="shared" si="5"/>
        <v>11</v>
      </c>
      <c r="AA46" s="4" t="s">
        <v>93</v>
      </c>
      <c r="AB46" s="4" t="s">
        <v>564</v>
      </c>
      <c r="AC46" s="4" t="s">
        <v>563</v>
      </c>
      <c r="AD46" s="4" t="s">
        <v>565</v>
      </c>
      <c r="AE46" s="4" t="s">
        <v>566</v>
      </c>
      <c r="AF46" s="4" t="s">
        <v>567</v>
      </c>
      <c r="AH46" s="4" t="s">
        <v>568</v>
      </c>
      <c r="AI46" s="4" t="s">
        <v>569</v>
      </c>
      <c r="AJ46" s="4" t="s">
        <v>570</v>
      </c>
      <c r="AK46" s="4" t="s">
        <v>577</v>
      </c>
      <c r="AL46" s="4" t="s">
        <v>578</v>
      </c>
      <c r="AN46" s="4" t="str">
        <f>"1"</f>
        <v>1</v>
      </c>
      <c r="AO46" s="4" t="s">
        <v>606</v>
      </c>
      <c r="AP46" s="4" t="s">
        <v>574</v>
      </c>
      <c r="AQ46" s="4" t="s">
        <v>575</v>
      </c>
      <c r="AR46" s="4" t="str">
        <f>".7500"</f>
        <v>.7500</v>
      </c>
      <c r="AS46" s="4" t="str">
        <f>"9.07"</f>
        <v>9.07</v>
      </c>
      <c r="AT46" s="4" t="s">
        <v>607</v>
      </c>
      <c r="AU46" s="4" t="str">
        <f>"9.07"</f>
        <v>9.07</v>
      </c>
      <c r="AV46" s="4">
        <v>25</v>
      </c>
      <c r="AW46" s="4">
        <v>-21</v>
      </c>
      <c r="AX46" s="4">
        <v>-183.47</v>
      </c>
      <c r="AY46" s="4">
        <v>4</v>
      </c>
      <c r="AZ46" s="4">
        <v>10.43</v>
      </c>
      <c r="BA46" s="4">
        <v>226.78</v>
      </c>
      <c r="BB46" s="4">
        <v>32.880000000000003</v>
      </c>
      <c r="BC46" s="4">
        <v>216.35</v>
      </c>
      <c r="BD46" s="4">
        <v>0</v>
      </c>
    </row>
    <row r="47" spans="1:56" x14ac:dyDescent="0.2">
      <c r="A47" s="4" t="s">
        <v>558</v>
      </c>
      <c r="B47" s="4" t="s">
        <v>559</v>
      </c>
      <c r="C47" s="4" t="s">
        <v>560</v>
      </c>
      <c r="D47" s="4" t="s">
        <v>445</v>
      </c>
      <c r="E47" s="4" t="s">
        <v>561</v>
      </c>
      <c r="F47" s="4" t="s">
        <v>559</v>
      </c>
      <c r="G47" s="4" t="s">
        <v>562</v>
      </c>
      <c r="H47" s="4" t="s">
        <v>445</v>
      </c>
      <c r="I47" s="4" t="str">
        <f t="shared" si="0"/>
        <v>1010</v>
      </c>
      <c r="J47" s="4" t="s">
        <v>444</v>
      </c>
      <c r="K47" s="4" t="s">
        <v>443</v>
      </c>
      <c r="L47" s="4" t="s">
        <v>444</v>
      </c>
      <c r="M47" s="4" t="s">
        <v>445</v>
      </c>
      <c r="N47" s="4" t="s">
        <v>610</v>
      </c>
      <c r="O47" s="4" t="s">
        <v>613</v>
      </c>
      <c r="P47" s="4" t="s">
        <v>563</v>
      </c>
      <c r="Q47" s="4" t="str">
        <f>"8088217289"</f>
        <v>8088217289</v>
      </c>
      <c r="S47" s="4" t="str">
        <f>"00880882172893"</f>
        <v>00880882172893</v>
      </c>
      <c r="T47" s="24">
        <v>40585</v>
      </c>
      <c r="U47" s="24">
        <v>40585</v>
      </c>
      <c r="V47" s="24">
        <v>1</v>
      </c>
      <c r="W47" s="4" t="str">
        <f>"8088217289"</f>
        <v>8088217289</v>
      </c>
      <c r="X47" s="4" t="s">
        <v>563</v>
      </c>
      <c r="Y47" s="4" t="str">
        <f t="shared" si="1"/>
        <v>1010</v>
      </c>
      <c r="Z47" s="4" t="str">
        <f t="shared" si="5"/>
        <v>11</v>
      </c>
      <c r="AA47" s="4" t="s">
        <v>93</v>
      </c>
      <c r="AB47" s="4" t="s">
        <v>564</v>
      </c>
      <c r="AC47" s="4" t="s">
        <v>563</v>
      </c>
      <c r="AD47" s="4" t="s">
        <v>565</v>
      </c>
      <c r="AE47" s="4" t="s">
        <v>566</v>
      </c>
      <c r="AF47" s="4" t="s">
        <v>567</v>
      </c>
      <c r="AH47" s="4" t="s">
        <v>568</v>
      </c>
      <c r="AI47" s="4" t="s">
        <v>569</v>
      </c>
      <c r="AJ47" s="4" t="s">
        <v>570</v>
      </c>
      <c r="AK47" s="4" t="s">
        <v>614</v>
      </c>
      <c r="AL47" s="4" t="s">
        <v>615</v>
      </c>
      <c r="AN47" s="4" t="str">
        <f>"1"</f>
        <v>1</v>
      </c>
      <c r="AO47" s="4" t="s">
        <v>616</v>
      </c>
      <c r="AP47" s="4" t="s">
        <v>574</v>
      </c>
      <c r="AQ47" s="4" t="s">
        <v>575</v>
      </c>
      <c r="AR47" s="4" t="str">
        <f>".7500"</f>
        <v>.7500</v>
      </c>
      <c r="AS47" s="4" t="str">
        <f>"12.87"</f>
        <v>12.87</v>
      </c>
      <c r="AT47" s="4" t="s">
        <v>617</v>
      </c>
      <c r="AU47" s="4" t="str">
        <f>"12.87"</f>
        <v>12.87</v>
      </c>
      <c r="AV47" s="4">
        <v>30</v>
      </c>
      <c r="AW47" s="4">
        <v>-10</v>
      </c>
      <c r="AX47" s="4">
        <v>-127.95</v>
      </c>
      <c r="AY47" s="4">
        <v>20</v>
      </c>
      <c r="AZ47" s="4">
        <v>32.56</v>
      </c>
      <c r="BA47" s="4">
        <v>380.36</v>
      </c>
      <c r="BB47" s="4">
        <v>219.85</v>
      </c>
      <c r="BC47" s="4">
        <v>347.8</v>
      </c>
      <c r="BD47" s="4">
        <v>0</v>
      </c>
    </row>
    <row r="48" spans="1:56" x14ac:dyDescent="0.2">
      <c r="A48" s="4" t="s">
        <v>558</v>
      </c>
      <c r="B48" s="4" t="s">
        <v>559</v>
      </c>
      <c r="C48" s="4" t="s">
        <v>560</v>
      </c>
      <c r="D48" s="4" t="s">
        <v>445</v>
      </c>
      <c r="E48" s="4" t="s">
        <v>561</v>
      </c>
      <c r="F48" s="4" t="s">
        <v>559</v>
      </c>
      <c r="G48" s="4" t="s">
        <v>562</v>
      </c>
      <c r="H48" s="4" t="s">
        <v>445</v>
      </c>
      <c r="I48" s="4" t="str">
        <f t="shared" si="0"/>
        <v>1010</v>
      </c>
      <c r="J48" s="4" t="s">
        <v>444</v>
      </c>
      <c r="K48" s="4" t="s">
        <v>443</v>
      </c>
      <c r="L48" s="4" t="s">
        <v>444</v>
      </c>
      <c r="M48" s="4" t="s">
        <v>445</v>
      </c>
      <c r="N48" s="4" t="s">
        <v>476</v>
      </c>
      <c r="O48" s="4" t="s">
        <v>618</v>
      </c>
      <c r="P48" s="4" t="s">
        <v>563</v>
      </c>
      <c r="Q48" s="4" t="str">
        <f>"0882187811"</f>
        <v>0882187811</v>
      </c>
      <c r="S48" s="4" t="str">
        <f>"00880882187811"</f>
        <v>00880882187811</v>
      </c>
      <c r="T48" s="24">
        <v>41527</v>
      </c>
      <c r="U48" s="24">
        <v>41520</v>
      </c>
      <c r="V48" s="24">
        <v>1</v>
      </c>
      <c r="W48" s="4" t="str">
        <f>"0882187811"</f>
        <v>0882187811</v>
      </c>
      <c r="X48" s="4" t="s">
        <v>563</v>
      </c>
      <c r="Y48" s="4" t="str">
        <f>"9000"</f>
        <v>9000</v>
      </c>
      <c r="Z48" s="4" t="str">
        <f t="shared" si="5"/>
        <v>11</v>
      </c>
      <c r="AA48" s="4" t="s">
        <v>568</v>
      </c>
      <c r="AB48" s="4" t="s">
        <v>619</v>
      </c>
      <c r="AC48" s="4" t="s">
        <v>563</v>
      </c>
      <c r="AD48" s="4" t="s">
        <v>565</v>
      </c>
      <c r="AE48" s="4" t="s">
        <v>566</v>
      </c>
      <c r="AF48" s="4" t="s">
        <v>567</v>
      </c>
      <c r="AH48" s="4" t="s">
        <v>568</v>
      </c>
      <c r="AI48" s="4" t="s">
        <v>589</v>
      </c>
      <c r="AJ48" s="4" t="s">
        <v>590</v>
      </c>
      <c r="AK48" s="4" t="s">
        <v>571</v>
      </c>
      <c r="AL48" s="4" t="s">
        <v>572</v>
      </c>
      <c r="AN48" s="4" t="str">
        <f>"2"</f>
        <v>2</v>
      </c>
      <c r="AO48" s="4" t="s">
        <v>611</v>
      </c>
      <c r="AP48" s="4" t="s">
        <v>584</v>
      </c>
      <c r="AQ48" s="4" t="s">
        <v>575</v>
      </c>
      <c r="AR48" s="4" t="str">
        <f>"6.8100"</f>
        <v>6.8100</v>
      </c>
      <c r="AS48" s="4" t="str">
        <f>".00"</f>
        <v>.00</v>
      </c>
      <c r="AT48" s="4" t="s">
        <v>611</v>
      </c>
      <c r="AV48" s="4">
        <v>160</v>
      </c>
      <c r="AW48" s="4">
        <v>0</v>
      </c>
      <c r="AX48" s="4">
        <v>0</v>
      </c>
      <c r="AY48" s="4">
        <v>160</v>
      </c>
      <c r="AZ48" s="4">
        <v>229.33</v>
      </c>
      <c r="BA48" s="4">
        <v>2528.5300000000002</v>
      </c>
      <c r="BB48" s="4">
        <v>2299.1999999999998</v>
      </c>
      <c r="BC48" s="4">
        <v>2299.1999999999998</v>
      </c>
      <c r="BD48" s="4">
        <v>0</v>
      </c>
    </row>
    <row r="49" spans="1:56" x14ac:dyDescent="0.2">
      <c r="A49" s="4" t="s">
        <v>558</v>
      </c>
      <c r="B49" s="4" t="s">
        <v>559</v>
      </c>
      <c r="C49" s="4" t="s">
        <v>560</v>
      </c>
      <c r="D49" s="4" t="s">
        <v>445</v>
      </c>
      <c r="E49" s="4" t="s">
        <v>561</v>
      </c>
      <c r="F49" s="4" t="s">
        <v>559</v>
      </c>
      <c r="G49" s="4" t="s">
        <v>562</v>
      </c>
      <c r="H49" s="4" t="s">
        <v>445</v>
      </c>
      <c r="I49" s="4" t="str">
        <f t="shared" si="0"/>
        <v>1010</v>
      </c>
      <c r="J49" s="4" t="s">
        <v>444</v>
      </c>
      <c r="K49" s="4" t="s">
        <v>443</v>
      </c>
      <c r="L49" s="4" t="s">
        <v>444</v>
      </c>
      <c r="M49" s="4" t="s">
        <v>445</v>
      </c>
      <c r="N49" s="4" t="s">
        <v>476</v>
      </c>
      <c r="O49" s="4" t="s">
        <v>618</v>
      </c>
      <c r="P49" s="4" t="s">
        <v>563</v>
      </c>
      <c r="Q49" s="4" t="str">
        <f>"0882187811"</f>
        <v>0882187811</v>
      </c>
      <c r="S49" s="4" t="str">
        <f>"00880882187811"</f>
        <v>00880882187811</v>
      </c>
      <c r="T49" s="24">
        <v>41527</v>
      </c>
      <c r="U49" s="24">
        <v>41520</v>
      </c>
      <c r="V49" s="24">
        <v>1</v>
      </c>
      <c r="W49" s="4" t="str">
        <f>"0882187811"</f>
        <v>0882187811</v>
      </c>
      <c r="X49" s="4" t="s">
        <v>563</v>
      </c>
      <c r="Y49" s="4" t="str">
        <f>"9000"</f>
        <v>9000</v>
      </c>
      <c r="Z49" s="4" t="str">
        <f>"53"</f>
        <v>53</v>
      </c>
      <c r="AA49" s="4" t="s">
        <v>568</v>
      </c>
      <c r="AB49" s="4" t="s">
        <v>619</v>
      </c>
      <c r="AC49" s="4" t="s">
        <v>563</v>
      </c>
      <c r="AD49" s="4" t="s">
        <v>565</v>
      </c>
      <c r="AE49" s="4" t="s">
        <v>566</v>
      </c>
      <c r="AF49" s="4" t="s">
        <v>568</v>
      </c>
      <c r="AH49" s="4" t="s">
        <v>568</v>
      </c>
      <c r="AI49" s="4" t="s">
        <v>589</v>
      </c>
      <c r="AJ49" s="4" t="s">
        <v>590</v>
      </c>
      <c r="AK49" s="4" t="s">
        <v>571</v>
      </c>
      <c r="AL49" s="4" t="s">
        <v>572</v>
      </c>
      <c r="AN49" s="4" t="str">
        <f>"2"</f>
        <v>2</v>
      </c>
      <c r="AO49" s="4" t="s">
        <v>611</v>
      </c>
      <c r="AP49" s="4" t="s">
        <v>584</v>
      </c>
      <c r="AQ49" s="4" t="s">
        <v>575</v>
      </c>
      <c r="AR49" s="4" t="str">
        <f>"6.8100"</f>
        <v>6.8100</v>
      </c>
      <c r="AS49" s="4" t="str">
        <f>".00"</f>
        <v>.00</v>
      </c>
      <c r="AT49" s="4" t="s">
        <v>611</v>
      </c>
      <c r="AV49" s="4">
        <v>2</v>
      </c>
      <c r="AW49" s="4">
        <v>0</v>
      </c>
      <c r="AX49" s="4">
        <v>0</v>
      </c>
      <c r="AY49" s="4">
        <v>2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</row>
    <row r="50" spans="1:56" x14ac:dyDescent="0.2">
      <c r="A50" s="4" t="s">
        <v>558</v>
      </c>
      <c r="B50" s="4" t="s">
        <v>559</v>
      </c>
      <c r="C50" s="4" t="s">
        <v>560</v>
      </c>
      <c r="D50" s="4" t="s">
        <v>445</v>
      </c>
      <c r="E50" s="4" t="s">
        <v>561</v>
      </c>
      <c r="F50" s="4" t="s">
        <v>559</v>
      </c>
      <c r="G50" s="4" t="s">
        <v>562</v>
      </c>
      <c r="H50" s="4" t="s">
        <v>445</v>
      </c>
      <c r="I50" s="4" t="str">
        <f t="shared" si="0"/>
        <v>1010</v>
      </c>
      <c r="J50" s="4" t="s">
        <v>444</v>
      </c>
      <c r="K50" s="4" t="s">
        <v>443</v>
      </c>
      <c r="L50" s="4" t="s">
        <v>444</v>
      </c>
      <c r="M50" s="4" t="s">
        <v>445</v>
      </c>
      <c r="N50" s="4" t="s">
        <v>476</v>
      </c>
      <c r="O50" s="4" t="s">
        <v>618</v>
      </c>
      <c r="P50" s="4" t="s">
        <v>563</v>
      </c>
      <c r="Q50" s="4" t="str">
        <f>"0882187828"</f>
        <v>0882187828</v>
      </c>
      <c r="S50" s="4" t="str">
        <f>"00880882187828"</f>
        <v>00880882187828</v>
      </c>
      <c r="T50" s="24">
        <v>41527</v>
      </c>
      <c r="U50" s="24">
        <v>41520</v>
      </c>
      <c r="V50" s="24">
        <v>1</v>
      </c>
      <c r="W50" s="4" t="str">
        <f>"0882187828"</f>
        <v>0882187828</v>
      </c>
      <c r="X50" s="4" t="s">
        <v>563</v>
      </c>
      <c r="Y50" s="4" t="str">
        <f>"9000"</f>
        <v>9000</v>
      </c>
      <c r="Z50" s="4" t="str">
        <f>"11"</f>
        <v>11</v>
      </c>
      <c r="AA50" s="4" t="s">
        <v>568</v>
      </c>
      <c r="AB50" s="4" t="s">
        <v>619</v>
      </c>
      <c r="AC50" s="4" t="s">
        <v>563</v>
      </c>
      <c r="AD50" s="4" t="s">
        <v>565</v>
      </c>
      <c r="AE50" s="4" t="s">
        <v>566</v>
      </c>
      <c r="AF50" s="4" t="s">
        <v>567</v>
      </c>
      <c r="AH50" s="4" t="s">
        <v>568</v>
      </c>
      <c r="AI50" s="4" t="s">
        <v>589</v>
      </c>
      <c r="AJ50" s="4" t="s">
        <v>590</v>
      </c>
      <c r="AK50" s="4" t="s">
        <v>577</v>
      </c>
      <c r="AL50" s="4" t="s">
        <v>578</v>
      </c>
      <c r="AN50" s="4" t="str">
        <f t="shared" ref="AN50:AN61" si="6">"1"</f>
        <v>1</v>
      </c>
      <c r="AO50" s="4" t="s">
        <v>579</v>
      </c>
      <c r="AP50" s="4" t="s">
        <v>584</v>
      </c>
      <c r="AQ50" s="4" t="s">
        <v>580</v>
      </c>
      <c r="AR50" s="4" t="str">
        <f>"1.1400"</f>
        <v>1.1400</v>
      </c>
      <c r="AS50" s="4" t="str">
        <f>"7.50"</f>
        <v>7.50</v>
      </c>
      <c r="AT50" s="4" t="s">
        <v>581</v>
      </c>
      <c r="AU50" s="4" t="str">
        <f>"7.50"</f>
        <v>7.50</v>
      </c>
      <c r="AV50" s="4">
        <v>1410</v>
      </c>
      <c r="AW50" s="4">
        <v>0</v>
      </c>
      <c r="AX50" s="4">
        <v>0</v>
      </c>
      <c r="AY50" s="4">
        <v>1410</v>
      </c>
      <c r="AZ50" s="4">
        <v>837.16</v>
      </c>
      <c r="BA50" s="4">
        <v>11090.26</v>
      </c>
      <c r="BB50" s="4">
        <v>10253.1</v>
      </c>
      <c r="BC50" s="4">
        <v>10253.1</v>
      </c>
      <c r="BD50" s="4">
        <v>0</v>
      </c>
    </row>
    <row r="51" spans="1:56" x14ac:dyDescent="0.2">
      <c r="A51" s="4" t="s">
        <v>558</v>
      </c>
      <c r="B51" s="4" t="s">
        <v>559</v>
      </c>
      <c r="C51" s="4" t="s">
        <v>560</v>
      </c>
      <c r="D51" s="4" t="s">
        <v>445</v>
      </c>
      <c r="E51" s="4" t="s">
        <v>561</v>
      </c>
      <c r="F51" s="4" t="s">
        <v>559</v>
      </c>
      <c r="G51" s="4" t="s">
        <v>562</v>
      </c>
      <c r="H51" s="4" t="s">
        <v>445</v>
      </c>
      <c r="I51" s="4" t="str">
        <f t="shared" si="0"/>
        <v>1010</v>
      </c>
      <c r="J51" s="4" t="s">
        <v>444</v>
      </c>
      <c r="K51" s="4" t="s">
        <v>443</v>
      </c>
      <c r="L51" s="4" t="s">
        <v>444</v>
      </c>
      <c r="M51" s="4" t="s">
        <v>445</v>
      </c>
      <c r="N51" s="4" t="s">
        <v>476</v>
      </c>
      <c r="O51" s="4" t="s">
        <v>618</v>
      </c>
      <c r="P51" s="4" t="s">
        <v>563</v>
      </c>
      <c r="Q51" s="4" t="str">
        <f>"0882187828"</f>
        <v>0882187828</v>
      </c>
      <c r="S51" s="4" t="str">
        <f>"00880882187828"</f>
        <v>00880882187828</v>
      </c>
      <c r="T51" s="24">
        <v>41527</v>
      </c>
      <c r="U51" s="24">
        <v>41520</v>
      </c>
      <c r="V51" s="24">
        <v>1</v>
      </c>
      <c r="W51" s="4" t="str">
        <f>"0882187828"</f>
        <v>0882187828</v>
      </c>
      <c r="X51" s="4" t="s">
        <v>563</v>
      </c>
      <c r="Y51" s="4" t="str">
        <f>"9000"</f>
        <v>9000</v>
      </c>
      <c r="Z51" s="4" t="str">
        <f>"53"</f>
        <v>53</v>
      </c>
      <c r="AA51" s="4" t="s">
        <v>568</v>
      </c>
      <c r="AB51" s="4" t="s">
        <v>619</v>
      </c>
      <c r="AC51" s="4" t="s">
        <v>563</v>
      </c>
      <c r="AD51" s="4" t="s">
        <v>565</v>
      </c>
      <c r="AE51" s="4" t="s">
        <v>566</v>
      </c>
      <c r="AF51" s="4" t="s">
        <v>568</v>
      </c>
      <c r="AH51" s="4" t="s">
        <v>568</v>
      </c>
      <c r="AI51" s="4" t="s">
        <v>589</v>
      </c>
      <c r="AJ51" s="4" t="s">
        <v>590</v>
      </c>
      <c r="AK51" s="4" t="s">
        <v>577</v>
      </c>
      <c r="AL51" s="4" t="s">
        <v>578</v>
      </c>
      <c r="AN51" s="4" t="str">
        <f t="shared" si="6"/>
        <v>1</v>
      </c>
      <c r="AO51" s="4" t="s">
        <v>579</v>
      </c>
      <c r="AP51" s="4" t="s">
        <v>584</v>
      </c>
      <c r="AQ51" s="4" t="s">
        <v>580</v>
      </c>
      <c r="AR51" s="4" t="str">
        <f>"1.1400"</f>
        <v>1.1400</v>
      </c>
      <c r="AS51" s="4" t="str">
        <f>"7.50"</f>
        <v>7.50</v>
      </c>
      <c r="AT51" s="4" t="s">
        <v>581</v>
      </c>
      <c r="AU51" s="4" t="str">
        <f>"7.50"</f>
        <v>7.50</v>
      </c>
      <c r="AV51" s="4">
        <v>240</v>
      </c>
      <c r="AW51" s="4">
        <v>0</v>
      </c>
      <c r="AX51" s="4">
        <v>0</v>
      </c>
      <c r="AY51" s="4">
        <v>240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</row>
    <row r="52" spans="1:56" x14ac:dyDescent="0.2">
      <c r="A52" s="4" t="s">
        <v>558</v>
      </c>
      <c r="B52" s="4" t="s">
        <v>559</v>
      </c>
      <c r="C52" s="4" t="s">
        <v>560</v>
      </c>
      <c r="D52" s="4" t="s">
        <v>445</v>
      </c>
      <c r="E52" s="4" t="s">
        <v>561</v>
      </c>
      <c r="F52" s="4" t="s">
        <v>559</v>
      </c>
      <c r="G52" s="4" t="s">
        <v>562</v>
      </c>
      <c r="H52" s="4" t="s">
        <v>445</v>
      </c>
      <c r="I52" s="4" t="str">
        <f t="shared" si="0"/>
        <v>1010</v>
      </c>
      <c r="J52" s="4" t="s">
        <v>444</v>
      </c>
      <c r="K52" s="4" t="s">
        <v>443</v>
      </c>
      <c r="L52" s="4" t="s">
        <v>444</v>
      </c>
      <c r="M52" s="4" t="s">
        <v>445</v>
      </c>
      <c r="N52" s="4" t="s">
        <v>462</v>
      </c>
      <c r="O52" s="4" t="s">
        <v>461</v>
      </c>
      <c r="P52" s="4" t="s">
        <v>563</v>
      </c>
      <c r="Q52" s="4" t="str">
        <f>"8088218042"</f>
        <v>8088218042</v>
      </c>
      <c r="S52" s="4" t="str">
        <f>"00880882180423"</f>
        <v>00880882180423</v>
      </c>
      <c r="T52" s="24">
        <v>41082</v>
      </c>
      <c r="U52" s="24">
        <v>41082</v>
      </c>
      <c r="V52" s="24">
        <v>1</v>
      </c>
      <c r="W52" s="4" t="str">
        <f>"8088218042"</f>
        <v>8088218042</v>
      </c>
      <c r="X52" s="4" t="s">
        <v>563</v>
      </c>
      <c r="Y52" s="4" t="str">
        <f>"1010"</f>
        <v>1010</v>
      </c>
      <c r="Z52" s="4" t="str">
        <f t="shared" ref="Z52:Z57" si="7">"11"</f>
        <v>11</v>
      </c>
      <c r="AA52" s="4" t="s">
        <v>93</v>
      </c>
      <c r="AB52" s="4" t="s">
        <v>564</v>
      </c>
      <c r="AC52" s="4" t="s">
        <v>563</v>
      </c>
      <c r="AD52" s="4" t="s">
        <v>565</v>
      </c>
      <c r="AE52" s="4" t="s">
        <v>566</v>
      </c>
      <c r="AF52" s="4" t="s">
        <v>567</v>
      </c>
      <c r="AH52" s="4" t="s">
        <v>568</v>
      </c>
      <c r="AI52" s="4" t="s">
        <v>569</v>
      </c>
      <c r="AJ52" s="4" t="s">
        <v>570</v>
      </c>
      <c r="AK52" s="4" t="s">
        <v>577</v>
      </c>
      <c r="AL52" s="4" t="s">
        <v>578</v>
      </c>
      <c r="AN52" s="4" t="str">
        <f t="shared" si="6"/>
        <v>1</v>
      </c>
      <c r="AO52" s="4" t="s">
        <v>579</v>
      </c>
      <c r="AP52" s="4" t="s">
        <v>584</v>
      </c>
      <c r="AQ52" s="4" t="s">
        <v>580</v>
      </c>
      <c r="AR52" s="4" t="str">
        <f>".7500"</f>
        <v>.7500</v>
      </c>
      <c r="AS52" s="4" t="str">
        <f>"7.50"</f>
        <v>7.50</v>
      </c>
      <c r="AT52" s="4" t="s">
        <v>581</v>
      </c>
      <c r="AU52" s="4" t="str">
        <f>"7.50"</f>
        <v>7.50</v>
      </c>
      <c r="AV52" s="4">
        <v>1</v>
      </c>
      <c r="AW52" s="4">
        <v>-10</v>
      </c>
      <c r="AX52" s="4">
        <v>-71.849999999999994</v>
      </c>
      <c r="AY52" s="4">
        <v>-9</v>
      </c>
      <c r="AZ52" s="4">
        <v>0</v>
      </c>
      <c r="BA52" s="4">
        <v>7.5</v>
      </c>
      <c r="BB52" s="4">
        <v>-64.349999999999994</v>
      </c>
      <c r="BC52" s="4">
        <v>7.5</v>
      </c>
      <c r="BD52" s="4">
        <v>0</v>
      </c>
    </row>
    <row r="53" spans="1:56" x14ac:dyDescent="0.2">
      <c r="A53" s="4" t="s">
        <v>558</v>
      </c>
      <c r="B53" s="4" t="s">
        <v>559</v>
      </c>
      <c r="C53" s="4" t="s">
        <v>560</v>
      </c>
      <c r="D53" s="4" t="s">
        <v>445</v>
      </c>
      <c r="E53" s="4" t="s">
        <v>561</v>
      </c>
      <c r="F53" s="4" t="s">
        <v>559</v>
      </c>
      <c r="G53" s="4" t="s">
        <v>562</v>
      </c>
      <c r="H53" s="4" t="s">
        <v>445</v>
      </c>
      <c r="I53" s="4" t="str">
        <f t="shared" si="0"/>
        <v>1010</v>
      </c>
      <c r="J53" s="4" t="s">
        <v>444</v>
      </c>
      <c r="K53" s="4" t="s">
        <v>443</v>
      </c>
      <c r="L53" s="4" t="s">
        <v>444</v>
      </c>
      <c r="M53" s="4" t="s">
        <v>445</v>
      </c>
      <c r="N53" s="4" t="s">
        <v>620</v>
      </c>
      <c r="O53" s="4" t="s">
        <v>620</v>
      </c>
      <c r="P53" s="4" t="s">
        <v>563</v>
      </c>
      <c r="Q53" s="4" t="str">
        <f>"8088216411"</f>
        <v>8088216411</v>
      </c>
      <c r="S53" s="4" t="str">
        <f>"00880882164119"</f>
        <v>00880882164119</v>
      </c>
      <c r="T53" s="24">
        <v>39843</v>
      </c>
      <c r="U53" s="24">
        <v>39843</v>
      </c>
      <c r="V53" s="24">
        <v>1</v>
      </c>
      <c r="W53" s="4" t="str">
        <f>"8088216411"</f>
        <v>8088216411</v>
      </c>
      <c r="X53" s="4" t="s">
        <v>563</v>
      </c>
      <c r="Y53" s="4" t="str">
        <f>"1010"</f>
        <v>1010</v>
      </c>
      <c r="Z53" s="4" t="str">
        <f t="shared" si="7"/>
        <v>11</v>
      </c>
      <c r="AA53" s="4" t="s">
        <v>93</v>
      </c>
      <c r="AB53" s="4" t="s">
        <v>564</v>
      </c>
      <c r="AC53" s="4" t="s">
        <v>563</v>
      </c>
      <c r="AD53" s="4" t="s">
        <v>565</v>
      </c>
      <c r="AE53" s="4" t="s">
        <v>566</v>
      </c>
      <c r="AF53" s="4" t="s">
        <v>567</v>
      </c>
      <c r="AH53" s="4" t="s">
        <v>568</v>
      </c>
      <c r="AI53" s="4" t="s">
        <v>589</v>
      </c>
      <c r="AJ53" s="4" t="s">
        <v>590</v>
      </c>
      <c r="AK53" s="4" t="s">
        <v>571</v>
      </c>
      <c r="AL53" s="4" t="s">
        <v>572</v>
      </c>
      <c r="AN53" s="4" t="str">
        <f t="shared" si="6"/>
        <v>1</v>
      </c>
      <c r="AO53" s="4" t="s">
        <v>573</v>
      </c>
      <c r="AP53" s="4" t="s">
        <v>574</v>
      </c>
      <c r="AQ53" s="4" t="s">
        <v>575</v>
      </c>
      <c r="AR53" s="4" t="str">
        <f>"1.8000"</f>
        <v>1.8000</v>
      </c>
      <c r="AS53" s="4" t="str">
        <f>"10.40"</f>
        <v>10.40</v>
      </c>
      <c r="AT53" s="4" t="s">
        <v>576</v>
      </c>
      <c r="AU53" s="4" t="str">
        <f>"10.40"</f>
        <v>10.40</v>
      </c>
      <c r="AV53" s="4">
        <v>1</v>
      </c>
      <c r="AW53" s="4">
        <v>0</v>
      </c>
      <c r="AX53" s="4">
        <v>0</v>
      </c>
      <c r="AY53" s="4">
        <v>1</v>
      </c>
      <c r="AZ53" s="4">
        <v>0</v>
      </c>
      <c r="BA53" s="4">
        <v>10.4</v>
      </c>
      <c r="BB53" s="4">
        <v>10.4</v>
      </c>
      <c r="BC53" s="4">
        <v>10.4</v>
      </c>
      <c r="BD53" s="4">
        <v>0</v>
      </c>
    </row>
    <row r="54" spans="1:56" x14ac:dyDescent="0.2">
      <c r="A54" s="4" t="s">
        <v>558</v>
      </c>
      <c r="B54" s="4" t="s">
        <v>559</v>
      </c>
      <c r="C54" s="4" t="s">
        <v>560</v>
      </c>
      <c r="D54" s="4" t="s">
        <v>445</v>
      </c>
      <c r="E54" s="4" t="s">
        <v>561</v>
      </c>
      <c r="F54" s="4" t="s">
        <v>559</v>
      </c>
      <c r="G54" s="4" t="s">
        <v>562</v>
      </c>
      <c r="H54" s="4" t="s">
        <v>445</v>
      </c>
      <c r="I54" s="4" t="str">
        <f t="shared" si="0"/>
        <v>1010</v>
      </c>
      <c r="J54" s="4" t="s">
        <v>444</v>
      </c>
      <c r="K54" s="4" t="s">
        <v>443</v>
      </c>
      <c r="L54" s="4" t="s">
        <v>444</v>
      </c>
      <c r="M54" s="4" t="s">
        <v>445</v>
      </c>
      <c r="N54" s="4" t="s">
        <v>620</v>
      </c>
      <c r="O54" s="4" t="s">
        <v>620</v>
      </c>
      <c r="P54" s="4" t="s">
        <v>563</v>
      </c>
      <c r="Q54" s="4" t="str">
        <f>"8088216412"</f>
        <v>8088216412</v>
      </c>
      <c r="S54" s="4" t="str">
        <f>"00880882164126"</f>
        <v>00880882164126</v>
      </c>
      <c r="T54" s="24">
        <v>39829</v>
      </c>
      <c r="U54" s="24">
        <v>39829</v>
      </c>
      <c r="V54" s="24">
        <v>1</v>
      </c>
      <c r="W54" s="4" t="str">
        <f>"8088216412"</f>
        <v>8088216412</v>
      </c>
      <c r="X54" s="4" t="s">
        <v>563</v>
      </c>
      <c r="Y54" s="4" t="str">
        <f>"1010"</f>
        <v>1010</v>
      </c>
      <c r="Z54" s="4" t="str">
        <f t="shared" si="7"/>
        <v>11</v>
      </c>
      <c r="AA54" s="4" t="s">
        <v>93</v>
      </c>
      <c r="AB54" s="4" t="s">
        <v>564</v>
      </c>
      <c r="AC54" s="4" t="s">
        <v>563</v>
      </c>
      <c r="AD54" s="4" t="s">
        <v>565</v>
      </c>
      <c r="AE54" s="4" t="s">
        <v>566</v>
      </c>
      <c r="AF54" s="4" t="s">
        <v>567</v>
      </c>
      <c r="AH54" s="4" t="s">
        <v>568</v>
      </c>
      <c r="AI54" s="4" t="s">
        <v>589</v>
      </c>
      <c r="AJ54" s="4" t="s">
        <v>590</v>
      </c>
      <c r="AK54" s="4" t="s">
        <v>577</v>
      </c>
      <c r="AL54" s="4" t="s">
        <v>578</v>
      </c>
      <c r="AN54" s="4" t="str">
        <f t="shared" si="6"/>
        <v>1</v>
      </c>
      <c r="AO54" s="4" t="s">
        <v>606</v>
      </c>
      <c r="AP54" s="4" t="s">
        <v>574</v>
      </c>
      <c r="AQ54" s="4" t="s">
        <v>575</v>
      </c>
      <c r="AR54" s="4" t="str">
        <f>".7500"</f>
        <v>.7500</v>
      </c>
      <c r="AS54" s="4" t="str">
        <f>"9.07"</f>
        <v>9.07</v>
      </c>
      <c r="AT54" s="4" t="s">
        <v>607</v>
      </c>
      <c r="AU54" s="4" t="str">
        <f>"9.07"</f>
        <v>9.07</v>
      </c>
      <c r="AV54" s="4">
        <v>0</v>
      </c>
      <c r="AW54" s="4">
        <v>-4</v>
      </c>
      <c r="AX54" s="4">
        <v>-34.880000000000003</v>
      </c>
      <c r="AY54" s="4">
        <v>-4</v>
      </c>
      <c r="AZ54" s="4">
        <v>0</v>
      </c>
      <c r="BA54" s="4">
        <v>0</v>
      </c>
      <c r="BB54" s="4">
        <v>-34.880000000000003</v>
      </c>
      <c r="BC54" s="4">
        <v>0</v>
      </c>
      <c r="BD54" s="4">
        <v>0</v>
      </c>
    </row>
    <row r="55" spans="1:56" x14ac:dyDescent="0.2">
      <c r="A55" s="4" t="s">
        <v>558</v>
      </c>
      <c r="B55" s="4" t="s">
        <v>559</v>
      </c>
      <c r="C55" s="4" t="s">
        <v>560</v>
      </c>
      <c r="D55" s="4" t="s">
        <v>445</v>
      </c>
      <c r="E55" s="4" t="s">
        <v>561</v>
      </c>
      <c r="F55" s="4" t="s">
        <v>559</v>
      </c>
      <c r="G55" s="4" t="s">
        <v>562</v>
      </c>
      <c r="H55" s="4" t="s">
        <v>445</v>
      </c>
      <c r="I55" s="4" t="str">
        <f t="shared" si="0"/>
        <v>1010</v>
      </c>
      <c r="J55" s="4" t="s">
        <v>444</v>
      </c>
      <c r="K55" s="4" t="s">
        <v>443</v>
      </c>
      <c r="L55" s="4" t="s">
        <v>444</v>
      </c>
      <c r="M55" s="4" t="s">
        <v>445</v>
      </c>
      <c r="N55" s="4" t="s">
        <v>621</v>
      </c>
      <c r="O55" s="4" t="s">
        <v>471</v>
      </c>
      <c r="P55" s="4" t="s">
        <v>563</v>
      </c>
      <c r="Q55" s="4" t="str">
        <f>"8088217792"</f>
        <v>8088217792</v>
      </c>
      <c r="S55" s="4" t="str">
        <f>"00880882177928"</f>
        <v>00880882177928</v>
      </c>
      <c r="T55" s="24">
        <v>40990</v>
      </c>
      <c r="U55" s="24">
        <v>40990</v>
      </c>
      <c r="V55" s="24">
        <v>1</v>
      </c>
      <c r="W55" s="4" t="str">
        <f>"8088217792"</f>
        <v>8088217792</v>
      </c>
      <c r="X55" s="4" t="s">
        <v>563</v>
      </c>
      <c r="Y55" s="4" t="str">
        <f>"1010"</f>
        <v>1010</v>
      </c>
      <c r="Z55" s="4" t="str">
        <f t="shared" si="7"/>
        <v>11</v>
      </c>
      <c r="AA55" s="4" t="s">
        <v>93</v>
      </c>
      <c r="AB55" s="4" t="s">
        <v>564</v>
      </c>
      <c r="AC55" s="4" t="s">
        <v>563</v>
      </c>
      <c r="AD55" s="4" t="s">
        <v>565</v>
      </c>
      <c r="AE55" s="4" t="s">
        <v>566</v>
      </c>
      <c r="AF55" s="4" t="s">
        <v>567</v>
      </c>
      <c r="AH55" s="4" t="s">
        <v>568</v>
      </c>
      <c r="AI55" s="4" t="s">
        <v>569</v>
      </c>
      <c r="AJ55" s="4" t="s">
        <v>570</v>
      </c>
      <c r="AK55" s="4" t="s">
        <v>577</v>
      </c>
      <c r="AL55" s="4" t="s">
        <v>578</v>
      </c>
      <c r="AN55" s="4" t="str">
        <f t="shared" si="6"/>
        <v>1</v>
      </c>
      <c r="AO55" s="4" t="s">
        <v>579</v>
      </c>
      <c r="AP55" s="4" t="s">
        <v>574</v>
      </c>
      <c r="AQ55" s="4" t="s">
        <v>580</v>
      </c>
      <c r="AR55" s="4" t="str">
        <f>".7500"</f>
        <v>.7500</v>
      </c>
      <c r="AS55" s="4" t="str">
        <f>"7.50"</f>
        <v>7.50</v>
      </c>
      <c r="AT55" s="4" t="s">
        <v>581</v>
      </c>
      <c r="AU55" s="4" t="str">
        <f>"7.50"</f>
        <v>7.50</v>
      </c>
      <c r="AV55" s="4">
        <v>0</v>
      </c>
      <c r="AW55" s="4">
        <v>-1</v>
      </c>
      <c r="AX55" s="4">
        <v>-7.15</v>
      </c>
      <c r="AY55" s="4">
        <v>-1</v>
      </c>
      <c r="AZ55" s="4">
        <v>0</v>
      </c>
      <c r="BA55" s="4">
        <v>0</v>
      </c>
      <c r="BB55" s="4">
        <v>-7.15</v>
      </c>
      <c r="BC55" s="4">
        <v>0</v>
      </c>
      <c r="BD55" s="4">
        <v>0</v>
      </c>
    </row>
    <row r="56" spans="1:56" x14ac:dyDescent="0.2">
      <c r="A56" s="4" t="s">
        <v>558</v>
      </c>
      <c r="B56" s="4" t="s">
        <v>559</v>
      </c>
      <c r="C56" s="4" t="s">
        <v>560</v>
      </c>
      <c r="D56" s="4" t="s">
        <v>445</v>
      </c>
      <c r="E56" s="4" t="s">
        <v>561</v>
      </c>
      <c r="F56" s="4" t="s">
        <v>559</v>
      </c>
      <c r="G56" s="4" t="s">
        <v>562</v>
      </c>
      <c r="H56" s="4" t="s">
        <v>445</v>
      </c>
      <c r="I56" s="4" t="str">
        <f t="shared" si="0"/>
        <v>1010</v>
      </c>
      <c r="J56" s="4" t="s">
        <v>444</v>
      </c>
      <c r="K56" s="4" t="s">
        <v>443</v>
      </c>
      <c r="L56" s="4" t="s">
        <v>444</v>
      </c>
      <c r="M56" s="4" t="s">
        <v>445</v>
      </c>
      <c r="N56" s="4" t="s">
        <v>479</v>
      </c>
      <c r="O56" s="4" t="s">
        <v>480</v>
      </c>
      <c r="P56" s="4" t="s">
        <v>563</v>
      </c>
      <c r="Q56" s="4" t="str">
        <f>"0882188016"</f>
        <v>0882188016</v>
      </c>
      <c r="S56" s="4" t="str">
        <f>"00880882188016"</f>
        <v>00880882188016</v>
      </c>
      <c r="T56" s="24">
        <v>41478</v>
      </c>
      <c r="U56" s="24">
        <v>41478</v>
      </c>
      <c r="V56" s="24">
        <v>1</v>
      </c>
      <c r="W56" s="4" t="str">
        <f>"0882188016"</f>
        <v>0882188016</v>
      </c>
      <c r="X56" s="4" t="s">
        <v>563</v>
      </c>
      <c r="Y56" s="4" t="str">
        <f>"9000"</f>
        <v>9000</v>
      </c>
      <c r="Z56" s="4" t="str">
        <f t="shared" si="7"/>
        <v>11</v>
      </c>
      <c r="AA56" s="4" t="s">
        <v>93</v>
      </c>
      <c r="AB56" s="4" t="s">
        <v>619</v>
      </c>
      <c r="AC56" s="4" t="s">
        <v>563</v>
      </c>
      <c r="AD56" s="4" t="s">
        <v>595</v>
      </c>
      <c r="AE56" s="4" t="s">
        <v>596</v>
      </c>
      <c r="AF56" s="4" t="s">
        <v>567</v>
      </c>
      <c r="AH56" s="4" t="s">
        <v>568</v>
      </c>
      <c r="AI56" s="4" t="s">
        <v>589</v>
      </c>
      <c r="AJ56" s="4" t="s">
        <v>590</v>
      </c>
      <c r="AK56" s="4" t="s">
        <v>571</v>
      </c>
      <c r="AL56" s="4" t="s">
        <v>572</v>
      </c>
      <c r="AN56" s="4" t="str">
        <f t="shared" si="6"/>
        <v>1</v>
      </c>
      <c r="AO56" s="4" t="s">
        <v>583</v>
      </c>
      <c r="AP56" s="4" t="s">
        <v>584</v>
      </c>
      <c r="AQ56" s="4" t="s">
        <v>575</v>
      </c>
      <c r="AR56" s="4" t="str">
        <f>"5.2500"</f>
        <v>5.2500</v>
      </c>
      <c r="AS56" s="4" t="str">
        <f>"11.59"</f>
        <v>11.59</v>
      </c>
      <c r="AT56" s="4" t="s">
        <v>585</v>
      </c>
      <c r="AU56" s="4" t="str">
        <f>"11.59"</f>
        <v>11.59</v>
      </c>
      <c r="AV56" s="4">
        <v>587</v>
      </c>
      <c r="AW56" s="4">
        <v>0</v>
      </c>
      <c r="AX56" s="4">
        <v>0</v>
      </c>
      <c r="AY56" s="4">
        <v>587</v>
      </c>
      <c r="AZ56" s="4">
        <v>491.07</v>
      </c>
      <c r="BA56" s="4">
        <v>6839.81</v>
      </c>
      <c r="BB56" s="4">
        <v>6348.74</v>
      </c>
      <c r="BC56" s="4">
        <v>6348.74</v>
      </c>
      <c r="BD56" s="4">
        <v>0</v>
      </c>
    </row>
    <row r="57" spans="1:56" x14ac:dyDescent="0.2">
      <c r="A57" s="4" t="s">
        <v>558</v>
      </c>
      <c r="B57" s="4" t="s">
        <v>559</v>
      </c>
      <c r="C57" s="4" t="s">
        <v>560</v>
      </c>
      <c r="D57" s="4" t="s">
        <v>445</v>
      </c>
      <c r="E57" s="4" t="s">
        <v>561</v>
      </c>
      <c r="F57" s="4" t="s">
        <v>559</v>
      </c>
      <c r="G57" s="4" t="s">
        <v>562</v>
      </c>
      <c r="H57" s="4" t="s">
        <v>445</v>
      </c>
      <c r="I57" s="4" t="str">
        <f t="shared" si="0"/>
        <v>1010</v>
      </c>
      <c r="J57" s="4" t="s">
        <v>444</v>
      </c>
      <c r="K57" s="4" t="s">
        <v>443</v>
      </c>
      <c r="L57" s="4" t="s">
        <v>444</v>
      </c>
      <c r="M57" s="4" t="s">
        <v>445</v>
      </c>
      <c r="N57" s="4" t="s">
        <v>479</v>
      </c>
      <c r="O57" s="4" t="s">
        <v>480</v>
      </c>
      <c r="P57" s="4" t="s">
        <v>563</v>
      </c>
      <c r="Q57" s="4" t="str">
        <f>"0882188023"</f>
        <v>0882188023</v>
      </c>
      <c r="S57" s="4" t="str">
        <f>"00880882188023"</f>
        <v>00880882188023</v>
      </c>
      <c r="T57" s="24">
        <v>41478</v>
      </c>
      <c r="U57" s="24">
        <v>41478</v>
      </c>
      <c r="V57" s="24">
        <v>1</v>
      </c>
      <c r="W57" s="4" t="str">
        <f>"0882188023"</f>
        <v>0882188023</v>
      </c>
      <c r="X57" s="4" t="s">
        <v>563</v>
      </c>
      <c r="Y57" s="4" t="str">
        <f>"9000"</f>
        <v>9000</v>
      </c>
      <c r="Z57" s="4" t="str">
        <f t="shared" si="7"/>
        <v>11</v>
      </c>
      <c r="AA57" s="4" t="s">
        <v>93</v>
      </c>
      <c r="AB57" s="4" t="s">
        <v>619</v>
      </c>
      <c r="AC57" s="4" t="s">
        <v>563</v>
      </c>
      <c r="AD57" s="4" t="s">
        <v>595</v>
      </c>
      <c r="AE57" s="4" t="s">
        <v>596</v>
      </c>
      <c r="AF57" s="4" t="s">
        <v>567</v>
      </c>
      <c r="AH57" s="4" t="s">
        <v>568</v>
      </c>
      <c r="AI57" s="4" t="s">
        <v>589</v>
      </c>
      <c r="AJ57" s="4" t="s">
        <v>590</v>
      </c>
      <c r="AK57" s="4" t="s">
        <v>577</v>
      </c>
      <c r="AL57" s="4" t="s">
        <v>578</v>
      </c>
      <c r="AN57" s="4" t="str">
        <f t="shared" si="6"/>
        <v>1</v>
      </c>
      <c r="AO57" s="4" t="s">
        <v>579</v>
      </c>
      <c r="AP57" s="4" t="s">
        <v>584</v>
      </c>
      <c r="AQ57" s="4" t="s">
        <v>580</v>
      </c>
      <c r="AR57" s="4" t="str">
        <f>"1.2250"</f>
        <v>1.2250</v>
      </c>
      <c r="AS57" s="4" t="str">
        <f>"7.50"</f>
        <v>7.50</v>
      </c>
      <c r="AT57" s="4" t="s">
        <v>581</v>
      </c>
      <c r="AU57" s="4" t="str">
        <f>"7.50"</f>
        <v>7.50</v>
      </c>
      <c r="AV57" s="4">
        <v>2184</v>
      </c>
      <c r="AW57" s="4">
        <v>-5</v>
      </c>
      <c r="AX57" s="4">
        <v>-36.1</v>
      </c>
      <c r="AY57" s="4">
        <v>2179</v>
      </c>
      <c r="AZ57" s="4">
        <v>1327.11</v>
      </c>
      <c r="BA57" s="4">
        <v>16625.169999999998</v>
      </c>
      <c r="BB57" s="4">
        <v>15261.96</v>
      </c>
      <c r="BC57" s="4">
        <v>15298.06</v>
      </c>
      <c r="BD57" s="4">
        <v>0</v>
      </c>
    </row>
    <row r="58" spans="1:56" x14ac:dyDescent="0.2">
      <c r="A58" s="4" t="s">
        <v>558</v>
      </c>
      <c r="B58" s="4" t="s">
        <v>559</v>
      </c>
      <c r="C58" s="4" t="s">
        <v>560</v>
      </c>
      <c r="D58" s="4" t="s">
        <v>445</v>
      </c>
      <c r="E58" s="4" t="s">
        <v>561</v>
      </c>
      <c r="F58" s="4" t="s">
        <v>559</v>
      </c>
      <c r="G58" s="4" t="s">
        <v>562</v>
      </c>
      <c r="H58" s="4" t="s">
        <v>445</v>
      </c>
      <c r="I58" s="4" t="str">
        <f t="shared" si="0"/>
        <v>1010</v>
      </c>
      <c r="J58" s="4" t="s">
        <v>444</v>
      </c>
      <c r="K58" s="4" t="s">
        <v>443</v>
      </c>
      <c r="L58" s="4" t="s">
        <v>444</v>
      </c>
      <c r="M58" s="4" t="s">
        <v>445</v>
      </c>
      <c r="N58" s="4" t="s">
        <v>479</v>
      </c>
      <c r="O58" s="4" t="s">
        <v>480</v>
      </c>
      <c r="P58" s="4" t="s">
        <v>563</v>
      </c>
      <c r="Q58" s="4" t="str">
        <f>"0882188023"</f>
        <v>0882188023</v>
      </c>
      <c r="S58" s="4" t="str">
        <f>"00880882188023"</f>
        <v>00880882188023</v>
      </c>
      <c r="T58" s="24">
        <v>41478</v>
      </c>
      <c r="U58" s="24">
        <v>41478</v>
      </c>
      <c r="V58" s="24">
        <v>1</v>
      </c>
      <c r="W58" s="4" t="str">
        <f>"0882188023"</f>
        <v>0882188023</v>
      </c>
      <c r="X58" s="4" t="s">
        <v>563</v>
      </c>
      <c r="Y58" s="4" t="str">
        <f>"9000"</f>
        <v>9000</v>
      </c>
      <c r="Z58" s="4" t="str">
        <f>"53"</f>
        <v>53</v>
      </c>
      <c r="AA58" s="4" t="s">
        <v>93</v>
      </c>
      <c r="AB58" s="4" t="s">
        <v>619</v>
      </c>
      <c r="AC58" s="4" t="s">
        <v>563</v>
      </c>
      <c r="AD58" s="4" t="s">
        <v>595</v>
      </c>
      <c r="AE58" s="4" t="s">
        <v>596</v>
      </c>
      <c r="AF58" s="4" t="s">
        <v>568</v>
      </c>
      <c r="AH58" s="4" t="s">
        <v>568</v>
      </c>
      <c r="AI58" s="4" t="s">
        <v>589</v>
      </c>
      <c r="AJ58" s="4" t="s">
        <v>590</v>
      </c>
      <c r="AK58" s="4" t="s">
        <v>577</v>
      </c>
      <c r="AL58" s="4" t="s">
        <v>578</v>
      </c>
      <c r="AN58" s="4" t="str">
        <f t="shared" si="6"/>
        <v>1</v>
      </c>
      <c r="AO58" s="4" t="s">
        <v>579</v>
      </c>
      <c r="AP58" s="4" t="s">
        <v>584</v>
      </c>
      <c r="AQ58" s="4" t="s">
        <v>580</v>
      </c>
      <c r="AR58" s="4" t="str">
        <f>"1.2250"</f>
        <v>1.2250</v>
      </c>
      <c r="AS58" s="4" t="str">
        <f>"7.50"</f>
        <v>7.50</v>
      </c>
      <c r="AT58" s="4" t="s">
        <v>581</v>
      </c>
      <c r="AU58" s="4" t="str">
        <f>"7.50"</f>
        <v>7.50</v>
      </c>
      <c r="AV58" s="4">
        <v>112</v>
      </c>
      <c r="AW58" s="4">
        <v>0</v>
      </c>
      <c r="AX58" s="4">
        <v>0</v>
      </c>
      <c r="AY58" s="4">
        <v>112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</row>
    <row r="59" spans="1:56" x14ac:dyDescent="0.2">
      <c r="A59" s="4" t="s">
        <v>558</v>
      </c>
      <c r="B59" s="4" t="s">
        <v>559</v>
      </c>
      <c r="C59" s="4" t="s">
        <v>560</v>
      </c>
      <c r="D59" s="4" t="s">
        <v>445</v>
      </c>
      <c r="E59" s="4" t="s">
        <v>561</v>
      </c>
      <c r="F59" s="4" t="s">
        <v>559</v>
      </c>
      <c r="G59" s="4" t="s">
        <v>562</v>
      </c>
      <c r="H59" s="4" t="s">
        <v>445</v>
      </c>
      <c r="I59" s="4" t="str">
        <f t="shared" si="0"/>
        <v>1010</v>
      </c>
      <c r="J59" s="4" t="s">
        <v>444</v>
      </c>
      <c r="K59" s="4" t="s">
        <v>443</v>
      </c>
      <c r="L59" s="4" t="s">
        <v>444</v>
      </c>
      <c r="M59" s="4" t="s">
        <v>445</v>
      </c>
      <c r="N59" s="4" t="s">
        <v>479</v>
      </c>
      <c r="O59" s="4" t="s">
        <v>480</v>
      </c>
      <c r="P59" s="4" t="s">
        <v>563</v>
      </c>
      <c r="Q59" s="4" t="str">
        <f>"0882189112"</f>
        <v>0882189112</v>
      </c>
      <c r="S59" s="4" t="str">
        <f>"00880882189112"</f>
        <v>00880882189112</v>
      </c>
      <c r="T59" s="24">
        <v>41471</v>
      </c>
      <c r="U59" s="24">
        <v>41471</v>
      </c>
      <c r="V59" s="24">
        <v>1</v>
      </c>
      <c r="W59" s="4" t="str">
        <f>"0882189112"</f>
        <v>0882189112</v>
      </c>
      <c r="X59" s="4" t="s">
        <v>563</v>
      </c>
      <c r="Y59" s="4" t="str">
        <f>"9000"</f>
        <v>9000</v>
      </c>
      <c r="Z59" s="4" t="str">
        <f t="shared" ref="Z59:Z85" si="8">"11"</f>
        <v>11</v>
      </c>
      <c r="AA59" s="4" t="s">
        <v>98</v>
      </c>
      <c r="AB59" s="4" t="s">
        <v>619</v>
      </c>
      <c r="AC59" s="4" t="s">
        <v>563</v>
      </c>
      <c r="AD59" s="4" t="s">
        <v>565</v>
      </c>
      <c r="AE59" s="4" t="s">
        <v>566</v>
      </c>
      <c r="AF59" s="4" t="s">
        <v>567</v>
      </c>
      <c r="AH59" s="4" t="s">
        <v>568</v>
      </c>
      <c r="AI59" s="4" t="s">
        <v>589</v>
      </c>
      <c r="AJ59" s="4" t="s">
        <v>590</v>
      </c>
      <c r="AK59" s="4" t="s">
        <v>571</v>
      </c>
      <c r="AL59" s="4" t="s">
        <v>572</v>
      </c>
      <c r="AN59" s="4" t="str">
        <f t="shared" si="6"/>
        <v>1</v>
      </c>
      <c r="AO59" s="4" t="s">
        <v>583</v>
      </c>
      <c r="AP59" s="4" t="s">
        <v>584</v>
      </c>
      <c r="AQ59" s="4" t="s">
        <v>575</v>
      </c>
      <c r="AR59" s="4" t="str">
        <f>"1.8000"</f>
        <v>1.8000</v>
      </c>
      <c r="AS59" s="4" t="str">
        <f>"11.59"</f>
        <v>11.59</v>
      </c>
      <c r="AT59" s="4" t="s">
        <v>585</v>
      </c>
      <c r="AU59" s="4" t="str">
        <f>"11.59"</f>
        <v>11.59</v>
      </c>
      <c r="AV59" s="4">
        <v>-2</v>
      </c>
      <c r="AW59" s="4">
        <v>0</v>
      </c>
      <c r="AX59" s="4">
        <v>0</v>
      </c>
      <c r="AY59" s="4">
        <v>-2</v>
      </c>
      <c r="AZ59" s="4">
        <v>0</v>
      </c>
      <c r="BA59" s="4">
        <v>-23.18</v>
      </c>
      <c r="BB59" s="4">
        <v>-23.18</v>
      </c>
      <c r="BC59" s="4">
        <v>-23.18</v>
      </c>
      <c r="BD59" s="4">
        <v>0</v>
      </c>
    </row>
    <row r="60" spans="1:56" x14ac:dyDescent="0.2">
      <c r="A60" s="4" t="s">
        <v>558</v>
      </c>
      <c r="B60" s="4" t="s">
        <v>559</v>
      </c>
      <c r="C60" s="4" t="s">
        <v>560</v>
      </c>
      <c r="D60" s="4" t="s">
        <v>445</v>
      </c>
      <c r="E60" s="4" t="s">
        <v>561</v>
      </c>
      <c r="F60" s="4" t="s">
        <v>559</v>
      </c>
      <c r="G60" s="4" t="s">
        <v>562</v>
      </c>
      <c r="H60" s="4" t="s">
        <v>445</v>
      </c>
      <c r="I60" s="4" t="str">
        <f t="shared" si="0"/>
        <v>1010</v>
      </c>
      <c r="J60" s="4" t="s">
        <v>444</v>
      </c>
      <c r="K60" s="4" t="s">
        <v>443</v>
      </c>
      <c r="L60" s="4" t="s">
        <v>444</v>
      </c>
      <c r="M60" s="4" t="s">
        <v>445</v>
      </c>
      <c r="N60" s="4" t="s">
        <v>481</v>
      </c>
      <c r="O60" s="4" t="s">
        <v>622</v>
      </c>
      <c r="P60" s="4" t="s">
        <v>563</v>
      </c>
      <c r="Q60" s="4" t="str">
        <f>"8088216531"</f>
        <v>8088216531</v>
      </c>
      <c r="S60" s="4" t="str">
        <f>"00880882165314"</f>
        <v>00880882165314</v>
      </c>
      <c r="T60" s="24">
        <v>39927</v>
      </c>
      <c r="U60" s="24">
        <v>39927</v>
      </c>
      <c r="V60" s="24">
        <v>1</v>
      </c>
      <c r="W60" s="4" t="str">
        <f>"8088216531"</f>
        <v>8088216531</v>
      </c>
      <c r="X60" s="4" t="s">
        <v>563</v>
      </c>
      <c r="Y60" s="4" t="str">
        <f t="shared" ref="Y60:Y84" si="9">"1010"</f>
        <v>1010</v>
      </c>
      <c r="Z60" s="4" t="str">
        <f t="shared" si="8"/>
        <v>11</v>
      </c>
      <c r="AA60" s="4" t="s">
        <v>93</v>
      </c>
      <c r="AB60" s="4" t="s">
        <v>564</v>
      </c>
      <c r="AC60" s="4" t="s">
        <v>563</v>
      </c>
      <c r="AD60" s="4" t="s">
        <v>565</v>
      </c>
      <c r="AE60" s="4" t="s">
        <v>566</v>
      </c>
      <c r="AF60" s="4" t="s">
        <v>567</v>
      </c>
      <c r="AH60" s="4" t="s">
        <v>568</v>
      </c>
      <c r="AI60" s="4" t="s">
        <v>569</v>
      </c>
      <c r="AJ60" s="4" t="s">
        <v>570</v>
      </c>
      <c r="AK60" s="4" t="s">
        <v>571</v>
      </c>
      <c r="AL60" s="4" t="s">
        <v>572</v>
      </c>
      <c r="AN60" s="4" t="str">
        <f t="shared" si="6"/>
        <v>1</v>
      </c>
      <c r="AO60" s="4" t="s">
        <v>573</v>
      </c>
      <c r="AP60" s="4" t="s">
        <v>574</v>
      </c>
      <c r="AQ60" s="4" t="s">
        <v>575</v>
      </c>
      <c r="AR60" s="4" t="str">
        <f>"1.8000"</f>
        <v>1.8000</v>
      </c>
      <c r="AS60" s="4" t="str">
        <f>"10.40"</f>
        <v>10.40</v>
      </c>
      <c r="AT60" s="4" t="s">
        <v>576</v>
      </c>
      <c r="AU60" s="4" t="str">
        <f>"10.40"</f>
        <v>10.40</v>
      </c>
      <c r="AV60" s="4">
        <v>6</v>
      </c>
      <c r="AW60" s="4">
        <v>0</v>
      </c>
      <c r="AX60" s="4">
        <v>0</v>
      </c>
      <c r="AY60" s="4">
        <v>6</v>
      </c>
      <c r="AZ60" s="4">
        <v>0</v>
      </c>
      <c r="BA60" s="4">
        <v>60.84</v>
      </c>
      <c r="BB60" s="4">
        <v>60.84</v>
      </c>
      <c r="BC60" s="4">
        <v>60.84</v>
      </c>
      <c r="BD60" s="4">
        <v>0</v>
      </c>
    </row>
    <row r="61" spans="1:56" x14ac:dyDescent="0.2">
      <c r="A61" s="4" t="s">
        <v>558</v>
      </c>
      <c r="B61" s="4" t="s">
        <v>559</v>
      </c>
      <c r="C61" s="4" t="s">
        <v>560</v>
      </c>
      <c r="D61" s="4" t="s">
        <v>445</v>
      </c>
      <c r="E61" s="4" t="s">
        <v>561</v>
      </c>
      <c r="F61" s="4" t="s">
        <v>559</v>
      </c>
      <c r="G61" s="4" t="s">
        <v>562</v>
      </c>
      <c r="H61" s="4" t="s">
        <v>445</v>
      </c>
      <c r="I61" s="4" t="str">
        <f t="shared" si="0"/>
        <v>1010</v>
      </c>
      <c r="J61" s="4" t="s">
        <v>444</v>
      </c>
      <c r="K61" s="4" t="s">
        <v>443</v>
      </c>
      <c r="L61" s="4" t="s">
        <v>444</v>
      </c>
      <c r="M61" s="4" t="s">
        <v>445</v>
      </c>
      <c r="N61" s="4" t="s">
        <v>481</v>
      </c>
      <c r="O61" s="4" t="s">
        <v>622</v>
      </c>
      <c r="P61" s="4" t="s">
        <v>563</v>
      </c>
      <c r="Q61" s="4" t="str">
        <f>"8088216532"</f>
        <v>8088216532</v>
      </c>
      <c r="S61" s="4" t="str">
        <f>"00880882165321"</f>
        <v>00880882165321</v>
      </c>
      <c r="T61" s="24">
        <v>39899</v>
      </c>
      <c r="U61" s="24">
        <v>39899</v>
      </c>
      <c r="V61" s="24">
        <v>1</v>
      </c>
      <c r="W61" s="4" t="str">
        <f>"8088216532"</f>
        <v>8088216532</v>
      </c>
      <c r="X61" s="4" t="s">
        <v>563</v>
      </c>
      <c r="Y61" s="4" t="str">
        <f t="shared" si="9"/>
        <v>1010</v>
      </c>
      <c r="Z61" s="4" t="str">
        <f t="shared" si="8"/>
        <v>11</v>
      </c>
      <c r="AA61" s="4" t="s">
        <v>93</v>
      </c>
      <c r="AB61" s="4" t="s">
        <v>564</v>
      </c>
      <c r="AC61" s="4" t="s">
        <v>563</v>
      </c>
      <c r="AD61" s="4" t="s">
        <v>565</v>
      </c>
      <c r="AE61" s="4" t="s">
        <v>566</v>
      </c>
      <c r="AF61" s="4" t="s">
        <v>567</v>
      </c>
      <c r="AH61" s="4" t="s">
        <v>568</v>
      </c>
      <c r="AI61" s="4" t="s">
        <v>569</v>
      </c>
      <c r="AJ61" s="4" t="s">
        <v>570</v>
      </c>
      <c r="AK61" s="4" t="s">
        <v>577</v>
      </c>
      <c r="AL61" s="4" t="s">
        <v>578</v>
      </c>
      <c r="AN61" s="4" t="str">
        <f t="shared" si="6"/>
        <v>1</v>
      </c>
      <c r="AO61" s="4" t="s">
        <v>579</v>
      </c>
      <c r="AP61" s="4" t="s">
        <v>574</v>
      </c>
      <c r="AQ61" s="4" t="s">
        <v>580</v>
      </c>
      <c r="AR61" s="4" t="str">
        <f>".7500"</f>
        <v>.7500</v>
      </c>
      <c r="AS61" s="4" t="str">
        <f>"7.50"</f>
        <v>7.50</v>
      </c>
      <c r="AT61" s="4" t="s">
        <v>581</v>
      </c>
      <c r="AU61" s="4" t="str">
        <f>"7.50"</f>
        <v>7.50</v>
      </c>
      <c r="AV61" s="4">
        <v>7</v>
      </c>
      <c r="AW61" s="4">
        <v>-3</v>
      </c>
      <c r="AX61" s="4">
        <v>-21.45</v>
      </c>
      <c r="AY61" s="4">
        <v>4</v>
      </c>
      <c r="AZ61" s="4">
        <v>2.58</v>
      </c>
      <c r="BA61" s="4">
        <v>52.5</v>
      </c>
      <c r="BB61" s="4">
        <v>28.47</v>
      </c>
      <c r="BC61" s="4">
        <v>49.92</v>
      </c>
      <c r="BD61" s="4">
        <v>0</v>
      </c>
    </row>
    <row r="62" spans="1:56" x14ac:dyDescent="0.2">
      <c r="A62" s="4" t="s">
        <v>558</v>
      </c>
      <c r="B62" s="4" t="s">
        <v>559</v>
      </c>
      <c r="C62" s="4" t="s">
        <v>560</v>
      </c>
      <c r="D62" s="4" t="s">
        <v>445</v>
      </c>
      <c r="E62" s="4" t="s">
        <v>561</v>
      </c>
      <c r="F62" s="4" t="s">
        <v>559</v>
      </c>
      <c r="G62" s="4" t="s">
        <v>562</v>
      </c>
      <c r="H62" s="4" t="s">
        <v>445</v>
      </c>
      <c r="I62" s="4" t="str">
        <f t="shared" si="0"/>
        <v>1010</v>
      </c>
      <c r="J62" s="4" t="s">
        <v>444</v>
      </c>
      <c r="K62" s="4" t="s">
        <v>443</v>
      </c>
      <c r="L62" s="4" t="s">
        <v>444</v>
      </c>
      <c r="M62" s="4" t="s">
        <v>445</v>
      </c>
      <c r="N62" s="4" t="s">
        <v>481</v>
      </c>
      <c r="O62" s="4" t="s">
        <v>623</v>
      </c>
      <c r="P62" s="4" t="s">
        <v>563</v>
      </c>
      <c r="Q62" s="4" t="str">
        <f>"8088216161"</f>
        <v>8088216161</v>
      </c>
      <c r="S62" s="4" t="str">
        <f>"00880882161613"</f>
        <v>00880882161613</v>
      </c>
      <c r="T62" s="24">
        <v>39535</v>
      </c>
      <c r="U62" s="24">
        <v>39535</v>
      </c>
      <c r="V62" s="24">
        <v>1</v>
      </c>
      <c r="W62" s="4" t="str">
        <f>"8088216161"</f>
        <v>8088216161</v>
      </c>
      <c r="X62" s="4" t="s">
        <v>563</v>
      </c>
      <c r="Y62" s="4" t="str">
        <f t="shared" si="9"/>
        <v>1010</v>
      </c>
      <c r="Z62" s="4" t="str">
        <f t="shared" si="8"/>
        <v>11</v>
      </c>
      <c r="AA62" s="4" t="s">
        <v>93</v>
      </c>
      <c r="AB62" s="4" t="s">
        <v>564</v>
      </c>
      <c r="AC62" s="4" t="s">
        <v>563</v>
      </c>
      <c r="AD62" s="4" t="s">
        <v>565</v>
      </c>
      <c r="AE62" s="4" t="s">
        <v>566</v>
      </c>
      <c r="AF62" s="4" t="s">
        <v>567</v>
      </c>
      <c r="AH62" s="4" t="s">
        <v>568</v>
      </c>
      <c r="AI62" s="4" t="s">
        <v>569</v>
      </c>
      <c r="AJ62" s="4" t="s">
        <v>570</v>
      </c>
      <c r="AK62" s="4" t="s">
        <v>571</v>
      </c>
      <c r="AL62" s="4" t="s">
        <v>572</v>
      </c>
      <c r="AN62" s="4" t="str">
        <f>"2"</f>
        <v>2</v>
      </c>
      <c r="AO62" s="4" t="s">
        <v>583</v>
      </c>
      <c r="AP62" s="4" t="s">
        <v>574</v>
      </c>
      <c r="AQ62" s="4" t="s">
        <v>575</v>
      </c>
      <c r="AR62" s="4" t="str">
        <f>"1.8000"</f>
        <v>1.8000</v>
      </c>
      <c r="AS62" s="4" t="str">
        <f>"11.59"</f>
        <v>11.59</v>
      </c>
      <c r="AT62" s="4" t="s">
        <v>585</v>
      </c>
      <c r="AU62" s="4" t="str">
        <f>"11.59"</f>
        <v>11.59</v>
      </c>
      <c r="AV62" s="4">
        <v>6</v>
      </c>
      <c r="AW62" s="4">
        <v>0</v>
      </c>
      <c r="AX62" s="4">
        <v>0</v>
      </c>
      <c r="AY62" s="4">
        <v>6</v>
      </c>
      <c r="AZ62" s="4">
        <v>0</v>
      </c>
      <c r="BA62" s="4">
        <v>69.540000000000006</v>
      </c>
      <c r="BB62" s="4">
        <v>69.540000000000006</v>
      </c>
      <c r="BC62" s="4">
        <v>69.540000000000006</v>
      </c>
      <c r="BD62" s="4">
        <v>0</v>
      </c>
    </row>
    <row r="63" spans="1:56" x14ac:dyDescent="0.2">
      <c r="A63" s="4" t="s">
        <v>558</v>
      </c>
      <c r="B63" s="4" t="s">
        <v>559</v>
      </c>
      <c r="C63" s="4" t="s">
        <v>560</v>
      </c>
      <c r="D63" s="4" t="s">
        <v>445</v>
      </c>
      <c r="E63" s="4" t="s">
        <v>561</v>
      </c>
      <c r="F63" s="4" t="s">
        <v>559</v>
      </c>
      <c r="G63" s="4" t="s">
        <v>562</v>
      </c>
      <c r="H63" s="4" t="s">
        <v>445</v>
      </c>
      <c r="I63" s="4" t="str">
        <f t="shared" si="0"/>
        <v>1010</v>
      </c>
      <c r="J63" s="4" t="s">
        <v>444</v>
      </c>
      <c r="K63" s="4" t="s">
        <v>443</v>
      </c>
      <c r="L63" s="4" t="s">
        <v>444</v>
      </c>
      <c r="M63" s="4" t="s">
        <v>445</v>
      </c>
      <c r="N63" s="4" t="s">
        <v>481</v>
      </c>
      <c r="O63" s="4" t="s">
        <v>623</v>
      </c>
      <c r="P63" s="4" t="s">
        <v>563</v>
      </c>
      <c r="Q63" s="4" t="s">
        <v>624</v>
      </c>
      <c r="S63" s="4" t="str">
        <f>"00880882154721"</f>
        <v>00880882154721</v>
      </c>
      <c r="T63" s="24">
        <v>38835</v>
      </c>
      <c r="U63" s="24">
        <v>38835</v>
      </c>
      <c r="V63" s="24">
        <v>1</v>
      </c>
      <c r="W63" s="4" t="s">
        <v>624</v>
      </c>
      <c r="X63" s="4" t="s">
        <v>563</v>
      </c>
      <c r="Y63" s="4" t="str">
        <f t="shared" si="9"/>
        <v>1010</v>
      </c>
      <c r="Z63" s="4" t="str">
        <f t="shared" si="8"/>
        <v>11</v>
      </c>
      <c r="AA63" s="4" t="s">
        <v>93</v>
      </c>
      <c r="AB63" s="4" t="s">
        <v>564</v>
      </c>
      <c r="AC63" s="4" t="s">
        <v>563</v>
      </c>
      <c r="AD63" s="4" t="s">
        <v>565</v>
      </c>
      <c r="AE63" s="4" t="s">
        <v>566</v>
      </c>
      <c r="AF63" s="4" t="s">
        <v>567</v>
      </c>
      <c r="AH63" s="4" t="s">
        <v>568</v>
      </c>
      <c r="AI63" s="4" t="s">
        <v>569</v>
      </c>
      <c r="AJ63" s="4" t="s">
        <v>570</v>
      </c>
      <c r="AK63" s="4" t="s">
        <v>577</v>
      </c>
      <c r="AL63" s="4" t="s">
        <v>578</v>
      </c>
      <c r="AN63" s="4" t="str">
        <f t="shared" ref="AN63:AN72" si="10">"1"</f>
        <v>1</v>
      </c>
      <c r="AO63" s="4" t="s">
        <v>579</v>
      </c>
      <c r="AP63" s="4" t="s">
        <v>574</v>
      </c>
      <c r="AQ63" s="4" t="s">
        <v>580</v>
      </c>
      <c r="AR63" s="4" t="str">
        <f>".7500"</f>
        <v>.7500</v>
      </c>
      <c r="AS63" s="4" t="str">
        <f>"7.50"</f>
        <v>7.50</v>
      </c>
      <c r="AT63" s="4" t="s">
        <v>581</v>
      </c>
      <c r="AU63" s="4" t="str">
        <f>"7.50"</f>
        <v>7.50</v>
      </c>
      <c r="AV63" s="4">
        <v>45</v>
      </c>
      <c r="AW63" s="4">
        <v>-4</v>
      </c>
      <c r="AX63" s="4">
        <v>-28.6</v>
      </c>
      <c r="AY63" s="4">
        <v>41</v>
      </c>
      <c r="AZ63" s="4">
        <v>9.48</v>
      </c>
      <c r="BA63" s="4">
        <v>337.52</v>
      </c>
      <c r="BB63" s="4">
        <v>299.44</v>
      </c>
      <c r="BC63" s="4">
        <v>328.04</v>
      </c>
      <c r="BD63" s="4">
        <v>0</v>
      </c>
    </row>
    <row r="64" spans="1:56" x14ac:dyDescent="0.2">
      <c r="A64" s="4" t="s">
        <v>558</v>
      </c>
      <c r="B64" s="4" t="s">
        <v>559</v>
      </c>
      <c r="C64" s="4" t="s">
        <v>560</v>
      </c>
      <c r="D64" s="4" t="s">
        <v>445</v>
      </c>
      <c r="E64" s="4" t="s">
        <v>561</v>
      </c>
      <c r="F64" s="4" t="s">
        <v>559</v>
      </c>
      <c r="G64" s="4" t="s">
        <v>562</v>
      </c>
      <c r="H64" s="4" t="s">
        <v>445</v>
      </c>
      <c r="I64" s="4" t="str">
        <f t="shared" si="0"/>
        <v>1010</v>
      </c>
      <c r="J64" s="4" t="s">
        <v>444</v>
      </c>
      <c r="K64" s="4" t="s">
        <v>443</v>
      </c>
      <c r="L64" s="4" t="s">
        <v>444</v>
      </c>
      <c r="M64" s="4" t="s">
        <v>445</v>
      </c>
      <c r="N64" s="4" t="s">
        <v>481</v>
      </c>
      <c r="O64" s="4" t="s">
        <v>625</v>
      </c>
      <c r="P64" s="4" t="s">
        <v>563</v>
      </c>
      <c r="Q64" s="4" t="str">
        <f>"8088215382"</f>
        <v>8088215382</v>
      </c>
      <c r="S64" s="4" t="str">
        <f>"00880882153823"</f>
        <v>00880882153823</v>
      </c>
      <c r="T64" s="24">
        <v>38506</v>
      </c>
      <c r="U64" s="24">
        <v>38506</v>
      </c>
      <c r="V64" s="24">
        <v>1</v>
      </c>
      <c r="W64" s="4" t="str">
        <f>"8088215382"</f>
        <v>8088215382</v>
      </c>
      <c r="X64" s="4" t="s">
        <v>563</v>
      </c>
      <c r="Y64" s="4" t="str">
        <f t="shared" si="9"/>
        <v>1010</v>
      </c>
      <c r="Z64" s="4" t="str">
        <f t="shared" si="8"/>
        <v>11</v>
      </c>
      <c r="AA64" s="4" t="s">
        <v>93</v>
      </c>
      <c r="AB64" s="4" t="s">
        <v>564</v>
      </c>
      <c r="AC64" s="4" t="s">
        <v>563</v>
      </c>
      <c r="AD64" s="4" t="s">
        <v>565</v>
      </c>
      <c r="AE64" s="4" t="s">
        <v>566</v>
      </c>
      <c r="AF64" s="4" t="s">
        <v>567</v>
      </c>
      <c r="AH64" s="4" t="s">
        <v>568</v>
      </c>
      <c r="AI64" s="4" t="s">
        <v>569</v>
      </c>
      <c r="AJ64" s="4" t="s">
        <v>570</v>
      </c>
      <c r="AK64" s="4" t="s">
        <v>577</v>
      </c>
      <c r="AL64" s="4" t="s">
        <v>578</v>
      </c>
      <c r="AN64" s="4" t="str">
        <f t="shared" si="10"/>
        <v>1</v>
      </c>
      <c r="AO64" s="4" t="s">
        <v>579</v>
      </c>
      <c r="AP64" s="4" t="s">
        <v>574</v>
      </c>
      <c r="AQ64" s="4" t="s">
        <v>580</v>
      </c>
      <c r="AR64" s="4" t="str">
        <f>".7500"</f>
        <v>.7500</v>
      </c>
      <c r="AS64" s="4" t="str">
        <f>"7.50"</f>
        <v>7.50</v>
      </c>
      <c r="AT64" s="4" t="s">
        <v>581</v>
      </c>
      <c r="AU64" s="4" t="str">
        <f>"7.50"</f>
        <v>7.50</v>
      </c>
      <c r="AV64" s="4">
        <v>4</v>
      </c>
      <c r="AW64" s="4">
        <v>-1</v>
      </c>
      <c r="AX64" s="4">
        <v>-7.15</v>
      </c>
      <c r="AY64" s="4">
        <v>3</v>
      </c>
      <c r="AZ64" s="4">
        <v>0</v>
      </c>
      <c r="BA64" s="4">
        <v>30</v>
      </c>
      <c r="BB64" s="4">
        <v>22.85</v>
      </c>
      <c r="BC64" s="4">
        <v>30</v>
      </c>
      <c r="BD64" s="4">
        <v>0</v>
      </c>
    </row>
    <row r="65" spans="1:56" x14ac:dyDescent="0.2">
      <c r="A65" s="4" t="s">
        <v>558</v>
      </c>
      <c r="B65" s="4" t="s">
        <v>559</v>
      </c>
      <c r="C65" s="4" t="s">
        <v>560</v>
      </c>
      <c r="D65" s="4" t="s">
        <v>445</v>
      </c>
      <c r="E65" s="4" t="s">
        <v>561</v>
      </c>
      <c r="F65" s="4" t="s">
        <v>559</v>
      </c>
      <c r="G65" s="4" t="s">
        <v>562</v>
      </c>
      <c r="H65" s="4" t="s">
        <v>445</v>
      </c>
      <c r="I65" s="4" t="str">
        <f t="shared" si="0"/>
        <v>1010</v>
      </c>
      <c r="J65" s="4" t="s">
        <v>444</v>
      </c>
      <c r="K65" s="4" t="s">
        <v>443</v>
      </c>
      <c r="L65" s="4" t="s">
        <v>444</v>
      </c>
      <c r="M65" s="4" t="s">
        <v>445</v>
      </c>
      <c r="N65" s="4" t="s">
        <v>481</v>
      </c>
      <c r="O65" s="4" t="s">
        <v>626</v>
      </c>
      <c r="P65" s="4" t="s">
        <v>563</v>
      </c>
      <c r="Q65" s="4" t="str">
        <f>"8088217331"</f>
        <v>8088217331</v>
      </c>
      <c r="S65" s="4" t="str">
        <f>"00880882173319"</f>
        <v>00880882173319</v>
      </c>
      <c r="T65" s="24">
        <v>40711</v>
      </c>
      <c r="U65" s="24">
        <v>40711</v>
      </c>
      <c r="V65" s="24">
        <v>1</v>
      </c>
      <c r="W65" s="4" t="str">
        <f>"8088217331"</f>
        <v>8088217331</v>
      </c>
      <c r="X65" s="4" t="s">
        <v>563</v>
      </c>
      <c r="Y65" s="4" t="str">
        <f t="shared" si="9"/>
        <v>1010</v>
      </c>
      <c r="Z65" s="4" t="str">
        <f t="shared" si="8"/>
        <v>11</v>
      </c>
      <c r="AA65" s="4" t="s">
        <v>93</v>
      </c>
      <c r="AB65" s="4" t="s">
        <v>564</v>
      </c>
      <c r="AC65" s="4" t="s">
        <v>563</v>
      </c>
      <c r="AD65" s="4" t="s">
        <v>565</v>
      </c>
      <c r="AE65" s="4" t="s">
        <v>566</v>
      </c>
      <c r="AF65" s="4" t="s">
        <v>567</v>
      </c>
      <c r="AH65" s="4" t="s">
        <v>568</v>
      </c>
      <c r="AI65" s="4" t="s">
        <v>569</v>
      </c>
      <c r="AJ65" s="4" t="s">
        <v>570</v>
      </c>
      <c r="AK65" s="4" t="s">
        <v>571</v>
      </c>
      <c r="AL65" s="4" t="s">
        <v>572</v>
      </c>
      <c r="AN65" s="4" t="str">
        <f t="shared" si="10"/>
        <v>1</v>
      </c>
      <c r="AO65" s="4" t="s">
        <v>573</v>
      </c>
      <c r="AP65" s="4" t="s">
        <v>574</v>
      </c>
      <c r="AQ65" s="4" t="s">
        <v>575</v>
      </c>
      <c r="AR65" s="4" t="str">
        <f>"1.8000"</f>
        <v>1.8000</v>
      </c>
      <c r="AS65" s="4" t="str">
        <f>"10.40"</f>
        <v>10.40</v>
      </c>
      <c r="AT65" s="4" t="s">
        <v>576</v>
      </c>
      <c r="AU65" s="4" t="str">
        <f>"10.40"</f>
        <v>10.40</v>
      </c>
      <c r="AV65" s="4">
        <v>2</v>
      </c>
      <c r="AW65" s="4">
        <v>0</v>
      </c>
      <c r="AX65" s="4">
        <v>0</v>
      </c>
      <c r="AY65" s="4">
        <v>2</v>
      </c>
      <c r="AZ65" s="4">
        <v>0</v>
      </c>
      <c r="BA65" s="4">
        <v>20.8</v>
      </c>
      <c r="BB65" s="4">
        <v>20.8</v>
      </c>
      <c r="BC65" s="4">
        <v>20.8</v>
      </c>
      <c r="BD65" s="4">
        <v>0</v>
      </c>
    </row>
    <row r="66" spans="1:56" x14ac:dyDescent="0.2">
      <c r="A66" s="4" t="s">
        <v>558</v>
      </c>
      <c r="B66" s="4" t="s">
        <v>559</v>
      </c>
      <c r="C66" s="4" t="s">
        <v>560</v>
      </c>
      <c r="D66" s="4" t="s">
        <v>445</v>
      </c>
      <c r="E66" s="4" t="s">
        <v>561</v>
      </c>
      <c r="F66" s="4" t="s">
        <v>559</v>
      </c>
      <c r="G66" s="4" t="s">
        <v>562</v>
      </c>
      <c r="H66" s="4" t="s">
        <v>445</v>
      </c>
      <c r="I66" s="4" t="str">
        <f t="shared" si="0"/>
        <v>1010</v>
      </c>
      <c r="J66" s="4" t="s">
        <v>444</v>
      </c>
      <c r="K66" s="4" t="s">
        <v>443</v>
      </c>
      <c r="L66" s="4" t="s">
        <v>444</v>
      </c>
      <c r="M66" s="4" t="s">
        <v>445</v>
      </c>
      <c r="N66" s="4" t="s">
        <v>481</v>
      </c>
      <c r="O66" s="4" t="s">
        <v>626</v>
      </c>
      <c r="P66" s="4" t="s">
        <v>563</v>
      </c>
      <c r="Q66" s="4" t="str">
        <f>"8088217332"</f>
        <v>8088217332</v>
      </c>
      <c r="S66" s="4" t="str">
        <f>"00880882173326"</f>
        <v>00880882173326</v>
      </c>
      <c r="T66" s="24">
        <v>40711</v>
      </c>
      <c r="U66" s="24">
        <v>40711</v>
      </c>
      <c r="V66" s="24">
        <v>1</v>
      </c>
      <c r="W66" s="4" t="str">
        <f>"8088217332"</f>
        <v>8088217332</v>
      </c>
      <c r="X66" s="4" t="s">
        <v>563</v>
      </c>
      <c r="Y66" s="4" t="str">
        <f t="shared" si="9"/>
        <v>1010</v>
      </c>
      <c r="Z66" s="4" t="str">
        <f t="shared" si="8"/>
        <v>11</v>
      </c>
      <c r="AA66" s="4" t="s">
        <v>93</v>
      </c>
      <c r="AB66" s="4" t="s">
        <v>564</v>
      </c>
      <c r="AC66" s="4" t="s">
        <v>563</v>
      </c>
      <c r="AD66" s="4" t="s">
        <v>565</v>
      </c>
      <c r="AE66" s="4" t="s">
        <v>566</v>
      </c>
      <c r="AF66" s="4" t="s">
        <v>567</v>
      </c>
      <c r="AH66" s="4" t="s">
        <v>568</v>
      </c>
      <c r="AI66" s="4" t="s">
        <v>569</v>
      </c>
      <c r="AJ66" s="4" t="s">
        <v>570</v>
      </c>
      <c r="AK66" s="4" t="s">
        <v>577</v>
      </c>
      <c r="AL66" s="4" t="s">
        <v>578</v>
      </c>
      <c r="AN66" s="4" t="str">
        <f t="shared" si="10"/>
        <v>1</v>
      </c>
      <c r="AO66" s="4" t="s">
        <v>606</v>
      </c>
      <c r="AP66" s="4" t="s">
        <v>574</v>
      </c>
      <c r="AQ66" s="4" t="s">
        <v>575</v>
      </c>
      <c r="AR66" s="4" t="str">
        <f t="shared" ref="AR66:AR82" si="11">".7500"</f>
        <v>.7500</v>
      </c>
      <c r="AS66" s="4" t="str">
        <f>"9.07"</f>
        <v>9.07</v>
      </c>
      <c r="AT66" s="4" t="s">
        <v>607</v>
      </c>
      <c r="AU66" s="4" t="str">
        <f>"9.07"</f>
        <v>9.07</v>
      </c>
      <c r="AV66" s="4">
        <v>8</v>
      </c>
      <c r="AW66" s="4">
        <v>-10</v>
      </c>
      <c r="AX66" s="4">
        <v>-87.2</v>
      </c>
      <c r="AY66" s="4">
        <v>-2</v>
      </c>
      <c r="AZ66" s="4">
        <v>6.25</v>
      </c>
      <c r="BA66" s="4">
        <v>72</v>
      </c>
      <c r="BB66" s="4">
        <v>-21.45</v>
      </c>
      <c r="BC66" s="4">
        <v>65.75</v>
      </c>
      <c r="BD66" s="4">
        <v>0</v>
      </c>
    </row>
    <row r="67" spans="1:56" x14ac:dyDescent="0.2">
      <c r="A67" s="4" t="s">
        <v>558</v>
      </c>
      <c r="B67" s="4" t="s">
        <v>559</v>
      </c>
      <c r="C67" s="4" t="s">
        <v>560</v>
      </c>
      <c r="D67" s="4" t="s">
        <v>445</v>
      </c>
      <c r="E67" s="4" t="s">
        <v>561</v>
      </c>
      <c r="F67" s="4" t="s">
        <v>559</v>
      </c>
      <c r="G67" s="4" t="s">
        <v>562</v>
      </c>
      <c r="H67" s="4" t="s">
        <v>445</v>
      </c>
      <c r="I67" s="4" t="str">
        <f t="shared" si="0"/>
        <v>1010</v>
      </c>
      <c r="J67" s="4" t="s">
        <v>444</v>
      </c>
      <c r="K67" s="4" t="s">
        <v>443</v>
      </c>
      <c r="L67" s="4" t="s">
        <v>444</v>
      </c>
      <c r="M67" s="4" t="s">
        <v>445</v>
      </c>
      <c r="N67" s="4" t="s">
        <v>627</v>
      </c>
      <c r="O67" s="4" t="s">
        <v>628</v>
      </c>
      <c r="P67" s="4" t="s">
        <v>563</v>
      </c>
      <c r="Q67" s="4" t="str">
        <f>"8088215282"</f>
        <v>8088215282</v>
      </c>
      <c r="S67" s="4" t="str">
        <f>"00880882152826"</f>
        <v>00880882152826</v>
      </c>
      <c r="T67" s="24">
        <v>38240</v>
      </c>
      <c r="U67" s="24">
        <v>38240</v>
      </c>
      <c r="V67" s="24">
        <v>1</v>
      </c>
      <c r="W67" s="4" t="str">
        <f>"8088215282"</f>
        <v>8088215282</v>
      </c>
      <c r="X67" s="4" t="s">
        <v>563</v>
      </c>
      <c r="Y67" s="4" t="str">
        <f t="shared" si="9"/>
        <v>1010</v>
      </c>
      <c r="Z67" s="4" t="str">
        <f t="shared" si="8"/>
        <v>11</v>
      </c>
      <c r="AA67" s="4" t="s">
        <v>93</v>
      </c>
      <c r="AB67" s="4" t="s">
        <v>564</v>
      </c>
      <c r="AC67" s="4" t="s">
        <v>563</v>
      </c>
      <c r="AD67" s="4" t="s">
        <v>565</v>
      </c>
      <c r="AE67" s="4" t="s">
        <v>566</v>
      </c>
      <c r="AF67" s="4" t="s">
        <v>567</v>
      </c>
      <c r="AH67" s="4" t="s">
        <v>568</v>
      </c>
      <c r="AI67" s="4" t="s">
        <v>569</v>
      </c>
      <c r="AJ67" s="4" t="s">
        <v>570</v>
      </c>
      <c r="AK67" s="4" t="s">
        <v>577</v>
      </c>
      <c r="AL67" s="4" t="s">
        <v>578</v>
      </c>
      <c r="AN67" s="4" t="str">
        <f t="shared" si="10"/>
        <v>1</v>
      </c>
      <c r="AO67" s="4" t="s">
        <v>606</v>
      </c>
      <c r="AP67" s="4" t="s">
        <v>574</v>
      </c>
      <c r="AQ67" s="4" t="s">
        <v>575</v>
      </c>
      <c r="AR67" s="4" t="str">
        <f t="shared" si="11"/>
        <v>.7500</v>
      </c>
      <c r="AS67" s="4" t="str">
        <f>"9.07"</f>
        <v>9.07</v>
      </c>
      <c r="AT67" s="4" t="s">
        <v>607</v>
      </c>
      <c r="AU67" s="4" t="str">
        <f>"9.07"</f>
        <v>9.07</v>
      </c>
      <c r="AV67" s="4">
        <v>98</v>
      </c>
      <c r="AW67" s="4">
        <v>-5</v>
      </c>
      <c r="AX67" s="4">
        <v>-43.6</v>
      </c>
      <c r="AY67" s="4">
        <v>93</v>
      </c>
      <c r="AZ67" s="4">
        <v>20.86</v>
      </c>
      <c r="BA67" s="4">
        <v>888.92</v>
      </c>
      <c r="BB67" s="4">
        <v>824.46</v>
      </c>
      <c r="BC67" s="4">
        <v>868.06</v>
      </c>
      <c r="BD67" s="4">
        <v>0</v>
      </c>
    </row>
    <row r="68" spans="1:56" x14ac:dyDescent="0.2">
      <c r="A68" s="4" t="s">
        <v>558</v>
      </c>
      <c r="B68" s="4" t="s">
        <v>559</v>
      </c>
      <c r="C68" s="4" t="s">
        <v>560</v>
      </c>
      <c r="D68" s="4" t="s">
        <v>445</v>
      </c>
      <c r="E68" s="4" t="s">
        <v>561</v>
      </c>
      <c r="F68" s="4" t="s">
        <v>559</v>
      </c>
      <c r="G68" s="4" t="s">
        <v>562</v>
      </c>
      <c r="H68" s="4" t="s">
        <v>445</v>
      </c>
      <c r="I68" s="4" t="str">
        <f t="shared" si="0"/>
        <v>1010</v>
      </c>
      <c r="J68" s="4" t="s">
        <v>444</v>
      </c>
      <c r="K68" s="4" t="s">
        <v>443</v>
      </c>
      <c r="L68" s="4" t="s">
        <v>444</v>
      </c>
      <c r="M68" s="4" t="s">
        <v>445</v>
      </c>
      <c r="N68" s="4" t="s">
        <v>627</v>
      </c>
      <c r="O68" s="4" t="s">
        <v>629</v>
      </c>
      <c r="P68" s="4" t="s">
        <v>563</v>
      </c>
      <c r="Q68" s="4" t="s">
        <v>630</v>
      </c>
      <c r="S68" s="4" t="str">
        <f>"00880882155520"</f>
        <v>00880882155520</v>
      </c>
      <c r="T68" s="24">
        <v>38947</v>
      </c>
      <c r="U68" s="24">
        <v>38947</v>
      </c>
      <c r="V68" s="24">
        <v>1</v>
      </c>
      <c r="W68" s="4" t="s">
        <v>630</v>
      </c>
      <c r="X68" s="4" t="s">
        <v>563</v>
      </c>
      <c r="Y68" s="4" t="str">
        <f t="shared" si="9"/>
        <v>1010</v>
      </c>
      <c r="Z68" s="4" t="str">
        <f t="shared" si="8"/>
        <v>11</v>
      </c>
      <c r="AA68" s="4" t="s">
        <v>93</v>
      </c>
      <c r="AB68" s="4" t="s">
        <v>564</v>
      </c>
      <c r="AC68" s="4" t="s">
        <v>563</v>
      </c>
      <c r="AD68" s="4" t="s">
        <v>565</v>
      </c>
      <c r="AE68" s="4" t="s">
        <v>566</v>
      </c>
      <c r="AF68" s="4" t="s">
        <v>567</v>
      </c>
      <c r="AH68" s="4" t="s">
        <v>568</v>
      </c>
      <c r="AI68" s="4" t="s">
        <v>569</v>
      </c>
      <c r="AJ68" s="4" t="s">
        <v>570</v>
      </c>
      <c r="AK68" s="4" t="s">
        <v>577</v>
      </c>
      <c r="AL68" s="4" t="s">
        <v>578</v>
      </c>
      <c r="AN68" s="4" t="str">
        <f t="shared" si="10"/>
        <v>1</v>
      </c>
      <c r="AO68" s="4" t="s">
        <v>579</v>
      </c>
      <c r="AP68" s="4" t="s">
        <v>574</v>
      </c>
      <c r="AQ68" s="4" t="s">
        <v>580</v>
      </c>
      <c r="AR68" s="4" t="str">
        <f t="shared" si="11"/>
        <v>.7500</v>
      </c>
      <c r="AS68" s="4" t="str">
        <f>"7.50"</f>
        <v>7.50</v>
      </c>
      <c r="AT68" s="4" t="s">
        <v>581</v>
      </c>
      <c r="AU68" s="4" t="str">
        <f>"7.50"</f>
        <v>7.50</v>
      </c>
      <c r="AV68" s="4">
        <v>168</v>
      </c>
      <c r="AW68" s="4">
        <v>-32</v>
      </c>
      <c r="AX68" s="4">
        <v>-228.8</v>
      </c>
      <c r="AY68" s="4">
        <v>136</v>
      </c>
      <c r="AZ68" s="4">
        <v>37.1</v>
      </c>
      <c r="BA68" s="4">
        <v>1259.1199999999999</v>
      </c>
      <c r="BB68" s="4">
        <v>993.22</v>
      </c>
      <c r="BC68" s="4">
        <v>1222.02</v>
      </c>
      <c r="BD68" s="4">
        <v>0</v>
      </c>
    </row>
    <row r="69" spans="1:56" x14ac:dyDescent="0.2">
      <c r="A69" s="4" t="s">
        <v>558</v>
      </c>
      <c r="B69" s="4" t="s">
        <v>559</v>
      </c>
      <c r="C69" s="4" t="s">
        <v>560</v>
      </c>
      <c r="D69" s="4" t="s">
        <v>445</v>
      </c>
      <c r="E69" s="4" t="s">
        <v>561</v>
      </c>
      <c r="F69" s="4" t="s">
        <v>559</v>
      </c>
      <c r="G69" s="4" t="s">
        <v>562</v>
      </c>
      <c r="H69" s="4" t="s">
        <v>445</v>
      </c>
      <c r="I69" s="4" t="str">
        <f t="shared" si="0"/>
        <v>1010</v>
      </c>
      <c r="J69" s="4" t="s">
        <v>444</v>
      </c>
      <c r="K69" s="4" t="s">
        <v>443</v>
      </c>
      <c r="L69" s="4" t="s">
        <v>444</v>
      </c>
      <c r="M69" s="4" t="s">
        <v>445</v>
      </c>
      <c r="N69" s="4" t="s">
        <v>627</v>
      </c>
      <c r="O69" s="4" t="s">
        <v>631</v>
      </c>
      <c r="P69" s="4" t="s">
        <v>563</v>
      </c>
      <c r="Q69" s="4" t="str">
        <f>"8088215852"</f>
        <v>8088215852</v>
      </c>
      <c r="S69" s="4" t="str">
        <f>"00880882158521"</f>
        <v>00880882158521</v>
      </c>
      <c r="T69" s="24">
        <v>39367</v>
      </c>
      <c r="U69" s="24">
        <v>39367</v>
      </c>
      <c r="V69" s="24">
        <v>1</v>
      </c>
      <c r="W69" s="4" t="str">
        <f>"8088215852"</f>
        <v>8088215852</v>
      </c>
      <c r="X69" s="4" t="s">
        <v>563</v>
      </c>
      <c r="Y69" s="4" t="str">
        <f t="shared" si="9"/>
        <v>1010</v>
      </c>
      <c r="Z69" s="4" t="str">
        <f t="shared" si="8"/>
        <v>11</v>
      </c>
      <c r="AA69" s="4" t="s">
        <v>93</v>
      </c>
      <c r="AB69" s="4" t="s">
        <v>564</v>
      </c>
      <c r="AC69" s="4" t="s">
        <v>563</v>
      </c>
      <c r="AD69" s="4" t="s">
        <v>565</v>
      </c>
      <c r="AE69" s="4" t="s">
        <v>566</v>
      </c>
      <c r="AF69" s="4" t="s">
        <v>567</v>
      </c>
      <c r="AH69" s="4" t="s">
        <v>568</v>
      </c>
      <c r="AI69" s="4" t="s">
        <v>569</v>
      </c>
      <c r="AJ69" s="4" t="s">
        <v>570</v>
      </c>
      <c r="AK69" s="4" t="s">
        <v>577</v>
      </c>
      <c r="AL69" s="4" t="s">
        <v>578</v>
      </c>
      <c r="AN69" s="4" t="str">
        <f t="shared" si="10"/>
        <v>1</v>
      </c>
      <c r="AO69" s="4" t="s">
        <v>579</v>
      </c>
      <c r="AP69" s="4" t="s">
        <v>574</v>
      </c>
      <c r="AQ69" s="4" t="s">
        <v>580</v>
      </c>
      <c r="AR69" s="4" t="str">
        <f t="shared" si="11"/>
        <v>.7500</v>
      </c>
      <c r="AS69" s="4" t="str">
        <f>"7.50"</f>
        <v>7.50</v>
      </c>
      <c r="AT69" s="4" t="s">
        <v>581</v>
      </c>
      <c r="AU69" s="4" t="str">
        <f>"7.50"</f>
        <v>7.50</v>
      </c>
      <c r="AV69" s="4">
        <v>34</v>
      </c>
      <c r="AW69" s="4">
        <v>-9</v>
      </c>
      <c r="AX69" s="4">
        <v>-64.349999999999994</v>
      </c>
      <c r="AY69" s="4">
        <v>25</v>
      </c>
      <c r="AZ69" s="4">
        <v>0</v>
      </c>
      <c r="BA69" s="4">
        <v>255</v>
      </c>
      <c r="BB69" s="4">
        <v>190.65</v>
      </c>
      <c r="BC69" s="4">
        <v>255</v>
      </c>
      <c r="BD69" s="4">
        <v>0</v>
      </c>
    </row>
    <row r="70" spans="1:56" x14ac:dyDescent="0.2">
      <c r="A70" s="4" t="s">
        <v>558</v>
      </c>
      <c r="B70" s="4" t="s">
        <v>559</v>
      </c>
      <c r="C70" s="4" t="s">
        <v>560</v>
      </c>
      <c r="D70" s="4" t="s">
        <v>445</v>
      </c>
      <c r="E70" s="4" t="s">
        <v>561</v>
      </c>
      <c r="F70" s="4" t="s">
        <v>559</v>
      </c>
      <c r="G70" s="4" t="s">
        <v>562</v>
      </c>
      <c r="H70" s="4" t="s">
        <v>445</v>
      </c>
      <c r="I70" s="4" t="str">
        <f t="shared" si="0"/>
        <v>1010</v>
      </c>
      <c r="J70" s="4" t="s">
        <v>444</v>
      </c>
      <c r="K70" s="4" t="s">
        <v>443</v>
      </c>
      <c r="L70" s="4" t="s">
        <v>444</v>
      </c>
      <c r="M70" s="4" t="s">
        <v>445</v>
      </c>
      <c r="N70" s="4" t="s">
        <v>627</v>
      </c>
      <c r="O70" s="4" t="s">
        <v>632</v>
      </c>
      <c r="P70" s="4" t="s">
        <v>563</v>
      </c>
      <c r="Q70" s="4" t="str">
        <f>"9102215099"</f>
        <v>9102215099</v>
      </c>
      <c r="S70" s="4" t="str">
        <f>"00791022150995"</f>
        <v>00791022150995</v>
      </c>
      <c r="T70" s="24">
        <v>37533</v>
      </c>
      <c r="U70" s="24">
        <v>37533</v>
      </c>
      <c r="V70" s="24">
        <v>1</v>
      </c>
      <c r="W70" s="4" t="str">
        <f>"9102215099"</f>
        <v>9102215099</v>
      </c>
      <c r="X70" s="4" t="s">
        <v>563</v>
      </c>
      <c r="Y70" s="4" t="str">
        <f t="shared" si="9"/>
        <v>1010</v>
      </c>
      <c r="Z70" s="4" t="str">
        <f t="shared" si="8"/>
        <v>11</v>
      </c>
      <c r="AA70" s="4" t="s">
        <v>93</v>
      </c>
      <c r="AB70" s="4" t="s">
        <v>564</v>
      </c>
      <c r="AC70" s="4" t="s">
        <v>563</v>
      </c>
      <c r="AD70" s="4" t="s">
        <v>565</v>
      </c>
      <c r="AE70" s="4" t="s">
        <v>566</v>
      </c>
      <c r="AF70" s="4" t="s">
        <v>567</v>
      </c>
      <c r="AH70" s="4" t="s">
        <v>568</v>
      </c>
      <c r="AI70" s="4" t="s">
        <v>569</v>
      </c>
      <c r="AJ70" s="4" t="s">
        <v>570</v>
      </c>
      <c r="AK70" s="4" t="s">
        <v>614</v>
      </c>
      <c r="AL70" s="4" t="s">
        <v>615</v>
      </c>
      <c r="AN70" s="4" t="str">
        <f t="shared" si="10"/>
        <v>1</v>
      </c>
      <c r="AO70" s="4" t="s">
        <v>616</v>
      </c>
      <c r="AP70" s="4" t="s">
        <v>574</v>
      </c>
      <c r="AQ70" s="4" t="s">
        <v>575</v>
      </c>
      <c r="AR70" s="4" t="str">
        <f t="shared" si="11"/>
        <v>.7500</v>
      </c>
      <c r="AS70" s="4" t="str">
        <f>"12.87"</f>
        <v>12.87</v>
      </c>
      <c r="AT70" s="4" t="s">
        <v>617</v>
      </c>
      <c r="AU70" s="4" t="str">
        <f>"12.87"</f>
        <v>12.87</v>
      </c>
      <c r="AV70" s="4">
        <v>5</v>
      </c>
      <c r="AW70" s="4">
        <v>0</v>
      </c>
      <c r="AX70" s="4">
        <v>0</v>
      </c>
      <c r="AY70" s="4">
        <v>5</v>
      </c>
      <c r="AZ70" s="4">
        <v>7.4</v>
      </c>
      <c r="BA70" s="4">
        <v>64.349999999999994</v>
      </c>
      <c r="BB70" s="4">
        <v>56.95</v>
      </c>
      <c r="BC70" s="4">
        <v>56.95</v>
      </c>
      <c r="BD70" s="4">
        <v>0</v>
      </c>
    </row>
    <row r="71" spans="1:56" x14ac:dyDescent="0.2">
      <c r="A71" s="4" t="s">
        <v>558</v>
      </c>
      <c r="B71" s="4" t="s">
        <v>559</v>
      </c>
      <c r="C71" s="4" t="s">
        <v>560</v>
      </c>
      <c r="D71" s="4" t="s">
        <v>445</v>
      </c>
      <c r="E71" s="4" t="s">
        <v>561</v>
      </c>
      <c r="F71" s="4" t="s">
        <v>559</v>
      </c>
      <c r="G71" s="4" t="s">
        <v>562</v>
      </c>
      <c r="H71" s="4" t="s">
        <v>445</v>
      </c>
      <c r="I71" s="4" t="str">
        <f t="shared" si="0"/>
        <v>1010</v>
      </c>
      <c r="J71" s="4" t="s">
        <v>444</v>
      </c>
      <c r="K71" s="4" t="s">
        <v>443</v>
      </c>
      <c r="L71" s="4" t="s">
        <v>444</v>
      </c>
      <c r="M71" s="4" t="s">
        <v>445</v>
      </c>
      <c r="N71" s="4" t="s">
        <v>627</v>
      </c>
      <c r="O71" s="4" t="s">
        <v>633</v>
      </c>
      <c r="P71" s="4" t="s">
        <v>563</v>
      </c>
      <c r="Q71" s="4" t="str">
        <f>"9102215022"</f>
        <v>9102215022</v>
      </c>
      <c r="S71" s="4" t="str">
        <f>"00791022150223"</f>
        <v>00791022150223</v>
      </c>
      <c r="T71" s="24">
        <v>37183</v>
      </c>
      <c r="U71" s="24">
        <v>37183</v>
      </c>
      <c r="V71" s="24">
        <v>1</v>
      </c>
      <c r="W71" s="4" t="str">
        <f>"9102215022"</f>
        <v>9102215022</v>
      </c>
      <c r="X71" s="4" t="s">
        <v>563</v>
      </c>
      <c r="Y71" s="4" t="str">
        <f t="shared" si="9"/>
        <v>1010</v>
      </c>
      <c r="Z71" s="4" t="str">
        <f t="shared" si="8"/>
        <v>11</v>
      </c>
      <c r="AA71" s="4" t="s">
        <v>93</v>
      </c>
      <c r="AB71" s="4" t="s">
        <v>564</v>
      </c>
      <c r="AC71" s="4" t="s">
        <v>563</v>
      </c>
      <c r="AD71" s="4" t="s">
        <v>565</v>
      </c>
      <c r="AE71" s="4" t="s">
        <v>566</v>
      </c>
      <c r="AF71" s="4" t="s">
        <v>567</v>
      </c>
      <c r="AH71" s="4" t="s">
        <v>568</v>
      </c>
      <c r="AI71" s="4" t="s">
        <v>569</v>
      </c>
      <c r="AJ71" s="4" t="s">
        <v>570</v>
      </c>
      <c r="AK71" s="4" t="s">
        <v>577</v>
      </c>
      <c r="AL71" s="4" t="s">
        <v>578</v>
      </c>
      <c r="AN71" s="4" t="str">
        <f t="shared" si="10"/>
        <v>1</v>
      </c>
      <c r="AO71" s="4" t="s">
        <v>579</v>
      </c>
      <c r="AP71" s="4" t="s">
        <v>574</v>
      </c>
      <c r="AQ71" s="4" t="s">
        <v>580</v>
      </c>
      <c r="AR71" s="4" t="str">
        <f t="shared" si="11"/>
        <v>.7500</v>
      </c>
      <c r="AS71" s="4" t="str">
        <f>"7.50"</f>
        <v>7.50</v>
      </c>
      <c r="AT71" s="4" t="s">
        <v>581</v>
      </c>
      <c r="AU71" s="4" t="str">
        <f>"7.50"</f>
        <v>7.50</v>
      </c>
      <c r="AV71" s="4">
        <v>95</v>
      </c>
      <c r="AW71" s="4">
        <v>-1</v>
      </c>
      <c r="AX71" s="4">
        <v>-7.15</v>
      </c>
      <c r="AY71" s="4">
        <v>94</v>
      </c>
      <c r="AZ71" s="4">
        <v>0.86</v>
      </c>
      <c r="BA71" s="4">
        <v>712.5</v>
      </c>
      <c r="BB71" s="4">
        <v>704.49</v>
      </c>
      <c r="BC71" s="4">
        <v>711.64</v>
      </c>
      <c r="BD71" s="4">
        <v>0</v>
      </c>
    </row>
    <row r="72" spans="1:56" x14ac:dyDescent="0.2">
      <c r="A72" s="4" t="s">
        <v>558</v>
      </c>
      <c r="B72" s="4" t="s">
        <v>559</v>
      </c>
      <c r="C72" s="4" t="s">
        <v>560</v>
      </c>
      <c r="D72" s="4" t="s">
        <v>445</v>
      </c>
      <c r="E72" s="4" t="s">
        <v>561</v>
      </c>
      <c r="F72" s="4" t="s">
        <v>559</v>
      </c>
      <c r="G72" s="4" t="s">
        <v>562</v>
      </c>
      <c r="H72" s="4" t="s">
        <v>445</v>
      </c>
      <c r="I72" s="4" t="str">
        <f t="shared" si="0"/>
        <v>1010</v>
      </c>
      <c r="J72" s="4" t="s">
        <v>444</v>
      </c>
      <c r="K72" s="4" t="s">
        <v>443</v>
      </c>
      <c r="L72" s="4" t="s">
        <v>444</v>
      </c>
      <c r="M72" s="4" t="s">
        <v>445</v>
      </c>
      <c r="N72" s="4" t="s">
        <v>627</v>
      </c>
      <c r="O72" s="4" t="s">
        <v>634</v>
      </c>
      <c r="P72" s="4" t="s">
        <v>563</v>
      </c>
      <c r="Q72" s="4" t="str">
        <f>"9102215072"</f>
        <v>9102215072</v>
      </c>
      <c r="S72" s="4" t="str">
        <f>"00791022150728"</f>
        <v>00791022150728</v>
      </c>
      <c r="T72" s="24">
        <v>37533</v>
      </c>
      <c r="U72" s="24">
        <v>37533</v>
      </c>
      <c r="V72" s="24">
        <v>1</v>
      </c>
      <c r="W72" s="4" t="str">
        <f>"9102215072"</f>
        <v>9102215072</v>
      </c>
      <c r="X72" s="4" t="s">
        <v>563</v>
      </c>
      <c r="Y72" s="4" t="str">
        <f t="shared" si="9"/>
        <v>1010</v>
      </c>
      <c r="Z72" s="4" t="str">
        <f t="shared" si="8"/>
        <v>11</v>
      </c>
      <c r="AA72" s="4" t="s">
        <v>93</v>
      </c>
      <c r="AB72" s="4" t="s">
        <v>564</v>
      </c>
      <c r="AC72" s="4" t="s">
        <v>563</v>
      </c>
      <c r="AD72" s="4" t="s">
        <v>565</v>
      </c>
      <c r="AE72" s="4" t="s">
        <v>566</v>
      </c>
      <c r="AF72" s="4" t="s">
        <v>567</v>
      </c>
      <c r="AH72" s="4" t="s">
        <v>568</v>
      </c>
      <c r="AI72" s="4" t="s">
        <v>569</v>
      </c>
      <c r="AJ72" s="4" t="s">
        <v>570</v>
      </c>
      <c r="AK72" s="4" t="s">
        <v>577</v>
      </c>
      <c r="AL72" s="4" t="s">
        <v>578</v>
      </c>
      <c r="AN72" s="4" t="str">
        <f t="shared" si="10"/>
        <v>1</v>
      </c>
      <c r="AO72" s="4" t="s">
        <v>579</v>
      </c>
      <c r="AP72" s="4" t="s">
        <v>574</v>
      </c>
      <c r="AQ72" s="4" t="s">
        <v>580</v>
      </c>
      <c r="AR72" s="4" t="str">
        <f t="shared" si="11"/>
        <v>.7500</v>
      </c>
      <c r="AS72" s="4" t="str">
        <f>"7.50"</f>
        <v>7.50</v>
      </c>
      <c r="AT72" s="4" t="s">
        <v>581</v>
      </c>
      <c r="AU72" s="4" t="str">
        <f>"7.50"</f>
        <v>7.50</v>
      </c>
      <c r="AV72" s="4">
        <v>41</v>
      </c>
      <c r="AW72" s="4">
        <v>-17</v>
      </c>
      <c r="AX72" s="4">
        <v>-121.55</v>
      </c>
      <c r="AY72" s="4">
        <v>24</v>
      </c>
      <c r="AZ72" s="4">
        <v>25.9</v>
      </c>
      <c r="BA72" s="4">
        <v>307.60000000000002</v>
      </c>
      <c r="BB72" s="4">
        <v>160.15</v>
      </c>
      <c r="BC72" s="4">
        <v>281.7</v>
      </c>
      <c r="BD72" s="4">
        <v>0</v>
      </c>
    </row>
    <row r="73" spans="1:56" x14ac:dyDescent="0.2">
      <c r="A73" s="4" t="s">
        <v>558</v>
      </c>
      <c r="B73" s="4" t="s">
        <v>559</v>
      </c>
      <c r="C73" s="4" t="s">
        <v>560</v>
      </c>
      <c r="D73" s="4" t="s">
        <v>445</v>
      </c>
      <c r="E73" s="4" t="s">
        <v>561</v>
      </c>
      <c r="F73" s="4" t="s">
        <v>559</v>
      </c>
      <c r="G73" s="4" t="s">
        <v>562</v>
      </c>
      <c r="H73" s="4" t="s">
        <v>445</v>
      </c>
      <c r="I73" s="4" t="str">
        <f t="shared" si="0"/>
        <v>1010</v>
      </c>
      <c r="J73" s="4" t="s">
        <v>444</v>
      </c>
      <c r="K73" s="4" t="s">
        <v>443</v>
      </c>
      <c r="L73" s="4" t="s">
        <v>444</v>
      </c>
      <c r="M73" s="4" t="s">
        <v>445</v>
      </c>
      <c r="N73" s="4" t="s">
        <v>627</v>
      </c>
      <c r="O73" s="4" t="s">
        <v>635</v>
      </c>
      <c r="P73" s="4" t="s">
        <v>563</v>
      </c>
      <c r="Q73" s="4" t="str">
        <f>"9102215172"</f>
        <v>9102215172</v>
      </c>
      <c r="S73" s="4" t="str">
        <f>"00791022151725"</f>
        <v>00791022151725</v>
      </c>
      <c r="T73" s="24">
        <v>37897</v>
      </c>
      <c r="U73" s="24">
        <v>37897</v>
      </c>
      <c r="V73" s="24">
        <v>1</v>
      </c>
      <c r="W73" s="4" t="str">
        <f>"9102215172"</f>
        <v>9102215172</v>
      </c>
      <c r="X73" s="4" t="s">
        <v>563</v>
      </c>
      <c r="Y73" s="4" t="str">
        <f t="shared" si="9"/>
        <v>1010</v>
      </c>
      <c r="Z73" s="4" t="str">
        <f t="shared" si="8"/>
        <v>11</v>
      </c>
      <c r="AA73" s="4" t="s">
        <v>93</v>
      </c>
      <c r="AB73" s="4" t="s">
        <v>564</v>
      </c>
      <c r="AC73" s="4" t="s">
        <v>563</v>
      </c>
      <c r="AD73" s="4" t="s">
        <v>565</v>
      </c>
      <c r="AE73" s="4" t="s">
        <v>566</v>
      </c>
      <c r="AF73" s="4" t="s">
        <v>567</v>
      </c>
      <c r="AH73" s="4" t="s">
        <v>568</v>
      </c>
      <c r="AI73" s="4" t="s">
        <v>569</v>
      </c>
      <c r="AJ73" s="4" t="s">
        <v>570</v>
      </c>
      <c r="AK73" s="4" t="s">
        <v>577</v>
      </c>
      <c r="AL73" s="4" t="s">
        <v>578</v>
      </c>
      <c r="AN73" s="4" t="str">
        <f>"3"</f>
        <v>3</v>
      </c>
      <c r="AO73" s="4" t="s">
        <v>636</v>
      </c>
      <c r="AP73" s="4" t="s">
        <v>574</v>
      </c>
      <c r="AQ73" s="4" t="s">
        <v>575</v>
      </c>
      <c r="AR73" s="4" t="str">
        <f t="shared" si="11"/>
        <v>.7500</v>
      </c>
      <c r="AS73" s="4" t="str">
        <f>"12.65"</f>
        <v>12.65</v>
      </c>
      <c r="AT73" s="4" t="s">
        <v>637</v>
      </c>
      <c r="AU73" s="4" t="str">
        <f>"12.65"</f>
        <v>12.65</v>
      </c>
      <c r="AV73" s="4">
        <v>28</v>
      </c>
      <c r="AW73" s="4">
        <v>-2</v>
      </c>
      <c r="AX73" s="4">
        <v>-24.6</v>
      </c>
      <c r="AY73" s="4">
        <v>26</v>
      </c>
      <c r="AZ73" s="4">
        <v>5.83</v>
      </c>
      <c r="BA73" s="4">
        <v>354.23</v>
      </c>
      <c r="BB73" s="4">
        <v>323.8</v>
      </c>
      <c r="BC73" s="4">
        <v>348.4</v>
      </c>
      <c r="BD73" s="4">
        <v>0</v>
      </c>
    </row>
    <row r="74" spans="1:56" x14ac:dyDescent="0.2">
      <c r="A74" s="4" t="s">
        <v>558</v>
      </c>
      <c r="B74" s="4" t="s">
        <v>559</v>
      </c>
      <c r="C74" s="4" t="s">
        <v>560</v>
      </c>
      <c r="D74" s="4" t="s">
        <v>445</v>
      </c>
      <c r="E74" s="4" t="s">
        <v>561</v>
      </c>
      <c r="F74" s="4" t="s">
        <v>559</v>
      </c>
      <c r="G74" s="4" t="s">
        <v>562</v>
      </c>
      <c r="H74" s="4" t="s">
        <v>445</v>
      </c>
      <c r="I74" s="4" t="str">
        <f t="shared" ref="I74:I137" si="12">"1010"</f>
        <v>1010</v>
      </c>
      <c r="J74" s="4" t="s">
        <v>444</v>
      </c>
      <c r="K74" s="4" t="s">
        <v>443</v>
      </c>
      <c r="L74" s="4" t="s">
        <v>444</v>
      </c>
      <c r="M74" s="4" t="s">
        <v>445</v>
      </c>
      <c r="N74" s="4" t="s">
        <v>638</v>
      </c>
      <c r="O74" s="4" t="s">
        <v>639</v>
      </c>
      <c r="P74" s="4" t="s">
        <v>563</v>
      </c>
      <c r="Q74" s="4" t="str">
        <f>"9102215042"</f>
        <v>9102215042</v>
      </c>
      <c r="S74" s="4" t="str">
        <f>"00791022150421"</f>
        <v>00791022150421</v>
      </c>
      <c r="T74" s="24">
        <v>37351</v>
      </c>
      <c r="U74" s="24">
        <v>37351</v>
      </c>
      <c r="V74" s="24">
        <v>1</v>
      </c>
      <c r="W74" s="4" t="str">
        <f>"9102215042"</f>
        <v>9102215042</v>
      </c>
      <c r="X74" s="4" t="s">
        <v>563</v>
      </c>
      <c r="Y74" s="4" t="str">
        <f t="shared" si="9"/>
        <v>1010</v>
      </c>
      <c r="Z74" s="4" t="str">
        <f t="shared" si="8"/>
        <v>11</v>
      </c>
      <c r="AA74" s="4" t="s">
        <v>93</v>
      </c>
      <c r="AB74" s="4" t="s">
        <v>564</v>
      </c>
      <c r="AC74" s="4" t="s">
        <v>563</v>
      </c>
      <c r="AD74" s="4" t="s">
        <v>640</v>
      </c>
      <c r="AE74" s="4" t="s">
        <v>641</v>
      </c>
      <c r="AF74" s="4" t="s">
        <v>567</v>
      </c>
      <c r="AH74" s="4" t="s">
        <v>568</v>
      </c>
      <c r="AI74" s="4" t="s">
        <v>569</v>
      </c>
      <c r="AJ74" s="4" t="s">
        <v>570</v>
      </c>
      <c r="AK74" s="4" t="s">
        <v>577</v>
      </c>
      <c r="AL74" s="4" t="s">
        <v>578</v>
      </c>
      <c r="AN74" s="4" t="str">
        <f>"1"</f>
        <v>1</v>
      </c>
      <c r="AO74" s="4" t="s">
        <v>579</v>
      </c>
      <c r="AP74" s="4" t="s">
        <v>574</v>
      </c>
      <c r="AQ74" s="4" t="s">
        <v>580</v>
      </c>
      <c r="AR74" s="4" t="str">
        <f t="shared" si="11"/>
        <v>.7500</v>
      </c>
      <c r="AS74" s="4" t="str">
        <f>"7.50"</f>
        <v>7.50</v>
      </c>
      <c r="AT74" s="4" t="s">
        <v>581</v>
      </c>
      <c r="AU74" s="4" t="str">
        <f>"7.50"</f>
        <v>7.50</v>
      </c>
      <c r="AV74" s="4">
        <v>150</v>
      </c>
      <c r="AW74" s="4">
        <v>-3</v>
      </c>
      <c r="AX74" s="4">
        <v>-21.45</v>
      </c>
      <c r="AY74" s="4">
        <v>147</v>
      </c>
      <c r="AZ74" s="4">
        <v>28.47</v>
      </c>
      <c r="BA74" s="4">
        <v>1125.0899999999999</v>
      </c>
      <c r="BB74" s="4">
        <v>1075.17</v>
      </c>
      <c r="BC74" s="4">
        <v>1096.6199999999999</v>
      </c>
      <c r="BD74" s="4">
        <v>0</v>
      </c>
    </row>
    <row r="75" spans="1:56" x14ac:dyDescent="0.2">
      <c r="A75" s="4" t="s">
        <v>558</v>
      </c>
      <c r="B75" s="4" t="s">
        <v>559</v>
      </c>
      <c r="C75" s="4" t="s">
        <v>560</v>
      </c>
      <c r="D75" s="4" t="s">
        <v>445</v>
      </c>
      <c r="E75" s="4" t="s">
        <v>561</v>
      </c>
      <c r="F75" s="4" t="s">
        <v>559</v>
      </c>
      <c r="G75" s="4" t="s">
        <v>562</v>
      </c>
      <c r="H75" s="4" t="s">
        <v>445</v>
      </c>
      <c r="I75" s="4" t="str">
        <f t="shared" si="12"/>
        <v>1010</v>
      </c>
      <c r="J75" s="4" t="s">
        <v>444</v>
      </c>
      <c r="K75" s="4" t="s">
        <v>443</v>
      </c>
      <c r="L75" s="4" t="s">
        <v>444</v>
      </c>
      <c r="M75" s="4" t="s">
        <v>445</v>
      </c>
      <c r="N75" s="4" t="s">
        <v>638</v>
      </c>
      <c r="O75" s="4" t="s">
        <v>642</v>
      </c>
      <c r="P75" s="4" t="s">
        <v>563</v>
      </c>
      <c r="Q75" s="4" t="str">
        <f>"9102215152"</f>
        <v>9102215152</v>
      </c>
      <c r="S75" s="4" t="str">
        <f>"00791022151527"</f>
        <v>00791022151527</v>
      </c>
      <c r="T75" s="24">
        <v>37904</v>
      </c>
      <c r="U75" s="24">
        <v>37904</v>
      </c>
      <c r="V75" s="24">
        <v>1</v>
      </c>
      <c r="W75" s="4" t="str">
        <f>"9102215152"</f>
        <v>9102215152</v>
      </c>
      <c r="X75" s="4" t="s">
        <v>563</v>
      </c>
      <c r="Y75" s="4" t="str">
        <f t="shared" si="9"/>
        <v>1010</v>
      </c>
      <c r="Z75" s="4" t="str">
        <f t="shared" si="8"/>
        <v>11</v>
      </c>
      <c r="AA75" s="4" t="s">
        <v>93</v>
      </c>
      <c r="AB75" s="4" t="s">
        <v>564</v>
      </c>
      <c r="AC75" s="4" t="s">
        <v>563</v>
      </c>
      <c r="AD75" s="4" t="s">
        <v>640</v>
      </c>
      <c r="AE75" s="4" t="s">
        <v>641</v>
      </c>
      <c r="AF75" s="4" t="s">
        <v>567</v>
      </c>
      <c r="AH75" s="4" t="s">
        <v>568</v>
      </c>
      <c r="AI75" s="4" t="s">
        <v>569</v>
      </c>
      <c r="AJ75" s="4" t="s">
        <v>570</v>
      </c>
      <c r="AK75" s="4" t="s">
        <v>577</v>
      </c>
      <c r="AL75" s="4" t="s">
        <v>578</v>
      </c>
      <c r="AN75" s="4" t="str">
        <f>"2"</f>
        <v>2</v>
      </c>
      <c r="AO75" s="4" t="s">
        <v>579</v>
      </c>
      <c r="AP75" s="4" t="s">
        <v>574</v>
      </c>
      <c r="AQ75" s="4" t="s">
        <v>580</v>
      </c>
      <c r="AR75" s="4" t="str">
        <f t="shared" si="11"/>
        <v>.7500</v>
      </c>
      <c r="AS75" s="4" t="str">
        <f>"7.50"</f>
        <v>7.50</v>
      </c>
      <c r="AT75" s="4" t="s">
        <v>581</v>
      </c>
      <c r="AU75" s="4" t="str">
        <f>"7.50"</f>
        <v>7.50</v>
      </c>
      <c r="AV75" s="4">
        <v>46</v>
      </c>
      <c r="AW75" s="4">
        <v>-2</v>
      </c>
      <c r="AX75" s="4">
        <v>-14.3</v>
      </c>
      <c r="AY75" s="4">
        <v>44</v>
      </c>
      <c r="AZ75" s="4">
        <v>9.49</v>
      </c>
      <c r="BA75" s="4">
        <v>340.03</v>
      </c>
      <c r="BB75" s="4">
        <v>316.24</v>
      </c>
      <c r="BC75" s="4">
        <v>330.54</v>
      </c>
      <c r="BD75" s="4">
        <v>0</v>
      </c>
    </row>
    <row r="76" spans="1:56" x14ac:dyDescent="0.2">
      <c r="A76" s="4" t="s">
        <v>558</v>
      </c>
      <c r="B76" s="4" t="s">
        <v>559</v>
      </c>
      <c r="C76" s="4" t="s">
        <v>560</v>
      </c>
      <c r="D76" s="4" t="s">
        <v>445</v>
      </c>
      <c r="E76" s="4" t="s">
        <v>561</v>
      </c>
      <c r="F76" s="4" t="s">
        <v>559</v>
      </c>
      <c r="G76" s="4" t="s">
        <v>562</v>
      </c>
      <c r="H76" s="4" t="s">
        <v>445</v>
      </c>
      <c r="I76" s="4" t="str">
        <f t="shared" si="12"/>
        <v>1010</v>
      </c>
      <c r="J76" s="4" t="s">
        <v>444</v>
      </c>
      <c r="K76" s="4" t="s">
        <v>443</v>
      </c>
      <c r="L76" s="4" t="s">
        <v>444</v>
      </c>
      <c r="M76" s="4" t="s">
        <v>445</v>
      </c>
      <c r="N76" s="4" t="s">
        <v>638</v>
      </c>
      <c r="O76" s="4" t="s">
        <v>643</v>
      </c>
      <c r="P76" s="4" t="s">
        <v>563</v>
      </c>
      <c r="Q76" s="4" t="s">
        <v>644</v>
      </c>
      <c r="S76" s="4" t="str">
        <f>"00880882157425"</f>
        <v>00880882157425</v>
      </c>
      <c r="T76" s="24">
        <v>39115</v>
      </c>
      <c r="U76" s="24">
        <v>39115</v>
      </c>
      <c r="V76" s="24">
        <v>1</v>
      </c>
      <c r="W76" s="4" t="s">
        <v>644</v>
      </c>
      <c r="X76" s="4" t="s">
        <v>563</v>
      </c>
      <c r="Y76" s="4" t="str">
        <f t="shared" si="9"/>
        <v>1010</v>
      </c>
      <c r="Z76" s="4" t="str">
        <f t="shared" si="8"/>
        <v>11</v>
      </c>
      <c r="AA76" s="4" t="s">
        <v>93</v>
      </c>
      <c r="AB76" s="4" t="s">
        <v>564</v>
      </c>
      <c r="AC76" s="4" t="s">
        <v>563</v>
      </c>
      <c r="AD76" s="4" t="s">
        <v>640</v>
      </c>
      <c r="AE76" s="4" t="s">
        <v>641</v>
      </c>
      <c r="AF76" s="4" t="s">
        <v>567</v>
      </c>
      <c r="AH76" s="4" t="s">
        <v>568</v>
      </c>
      <c r="AI76" s="4" t="s">
        <v>569</v>
      </c>
      <c r="AJ76" s="4" t="s">
        <v>570</v>
      </c>
      <c r="AK76" s="4" t="s">
        <v>577</v>
      </c>
      <c r="AL76" s="4" t="s">
        <v>578</v>
      </c>
      <c r="AN76" s="4" t="str">
        <f t="shared" ref="AN76:AN95" si="13">"1"</f>
        <v>1</v>
      </c>
      <c r="AO76" s="4" t="s">
        <v>645</v>
      </c>
      <c r="AP76" s="4" t="s">
        <v>574</v>
      </c>
      <c r="AQ76" s="4" t="s">
        <v>575</v>
      </c>
      <c r="AR76" s="4" t="str">
        <f t="shared" si="11"/>
        <v>.7500</v>
      </c>
      <c r="AS76" s="4" t="str">
        <f>"10.32"</f>
        <v>10.32</v>
      </c>
      <c r="AT76" s="4" t="s">
        <v>646</v>
      </c>
      <c r="AU76" s="4" t="str">
        <f>"10.32"</f>
        <v>10.32</v>
      </c>
      <c r="AV76" s="4">
        <v>74</v>
      </c>
      <c r="AW76" s="4">
        <v>-8</v>
      </c>
      <c r="AX76" s="4">
        <v>-79.760000000000005</v>
      </c>
      <c r="AY76" s="4">
        <v>66</v>
      </c>
      <c r="AZ76" s="4">
        <v>33.22</v>
      </c>
      <c r="BA76" s="4">
        <v>763.58</v>
      </c>
      <c r="BB76" s="4">
        <v>650.6</v>
      </c>
      <c r="BC76" s="4">
        <v>730.36</v>
      </c>
      <c r="BD76" s="4">
        <v>0</v>
      </c>
    </row>
    <row r="77" spans="1:56" x14ac:dyDescent="0.2">
      <c r="A77" s="4" t="s">
        <v>558</v>
      </c>
      <c r="B77" s="4" t="s">
        <v>559</v>
      </c>
      <c r="C77" s="4" t="s">
        <v>560</v>
      </c>
      <c r="D77" s="4" t="s">
        <v>445</v>
      </c>
      <c r="E77" s="4" t="s">
        <v>561</v>
      </c>
      <c r="F77" s="4" t="s">
        <v>559</v>
      </c>
      <c r="G77" s="4" t="s">
        <v>562</v>
      </c>
      <c r="H77" s="4" t="s">
        <v>445</v>
      </c>
      <c r="I77" s="4" t="str">
        <f t="shared" si="12"/>
        <v>1010</v>
      </c>
      <c r="J77" s="4" t="s">
        <v>444</v>
      </c>
      <c r="K77" s="4" t="s">
        <v>443</v>
      </c>
      <c r="L77" s="4" t="s">
        <v>444</v>
      </c>
      <c r="M77" s="4" t="s">
        <v>445</v>
      </c>
      <c r="N77" s="4" t="s">
        <v>638</v>
      </c>
      <c r="O77" s="4" t="s">
        <v>647</v>
      </c>
      <c r="P77" s="4" t="s">
        <v>563</v>
      </c>
      <c r="Q77" s="4" t="str">
        <f>"8088215202"</f>
        <v>8088215202</v>
      </c>
      <c r="S77" s="4" t="str">
        <f>"00880882152024"</f>
        <v>00880882152024</v>
      </c>
      <c r="T77" s="24">
        <v>38093</v>
      </c>
      <c r="U77" s="24">
        <v>38093</v>
      </c>
      <c r="V77" s="24">
        <v>1</v>
      </c>
      <c r="W77" s="4" t="str">
        <f>"8088215202"</f>
        <v>8088215202</v>
      </c>
      <c r="X77" s="4" t="s">
        <v>563</v>
      </c>
      <c r="Y77" s="4" t="str">
        <f t="shared" si="9"/>
        <v>1010</v>
      </c>
      <c r="Z77" s="4" t="str">
        <f t="shared" si="8"/>
        <v>11</v>
      </c>
      <c r="AA77" s="4" t="s">
        <v>93</v>
      </c>
      <c r="AB77" s="4" t="s">
        <v>564</v>
      </c>
      <c r="AC77" s="4" t="s">
        <v>563</v>
      </c>
      <c r="AD77" s="4" t="s">
        <v>640</v>
      </c>
      <c r="AE77" s="4" t="s">
        <v>641</v>
      </c>
      <c r="AF77" s="4" t="s">
        <v>567</v>
      </c>
      <c r="AH77" s="4" t="s">
        <v>568</v>
      </c>
      <c r="AI77" s="4" t="s">
        <v>589</v>
      </c>
      <c r="AJ77" s="4" t="s">
        <v>590</v>
      </c>
      <c r="AK77" s="4" t="s">
        <v>577</v>
      </c>
      <c r="AL77" s="4" t="s">
        <v>578</v>
      </c>
      <c r="AN77" s="4" t="str">
        <f t="shared" si="13"/>
        <v>1</v>
      </c>
      <c r="AO77" s="4" t="s">
        <v>579</v>
      </c>
      <c r="AP77" s="4" t="s">
        <v>574</v>
      </c>
      <c r="AQ77" s="4" t="s">
        <v>580</v>
      </c>
      <c r="AR77" s="4" t="str">
        <f t="shared" si="11"/>
        <v>.7500</v>
      </c>
      <c r="AS77" s="4" t="str">
        <f>"7.50"</f>
        <v>7.50</v>
      </c>
      <c r="AT77" s="4" t="s">
        <v>581</v>
      </c>
      <c r="AU77" s="4" t="str">
        <f>"7.50"</f>
        <v>7.50</v>
      </c>
      <c r="AV77" s="4">
        <v>143</v>
      </c>
      <c r="AW77" s="4">
        <v>-8</v>
      </c>
      <c r="AX77" s="4">
        <v>-57.2</v>
      </c>
      <c r="AY77" s="4">
        <v>135</v>
      </c>
      <c r="AZ77" s="4">
        <v>26.74</v>
      </c>
      <c r="BA77" s="4">
        <v>1072.58</v>
      </c>
      <c r="BB77" s="4">
        <v>988.64</v>
      </c>
      <c r="BC77" s="4">
        <v>1045.8399999999999</v>
      </c>
      <c r="BD77" s="4">
        <v>0</v>
      </c>
    </row>
    <row r="78" spans="1:56" x14ac:dyDescent="0.2">
      <c r="A78" s="4" t="s">
        <v>558</v>
      </c>
      <c r="B78" s="4" t="s">
        <v>559</v>
      </c>
      <c r="C78" s="4" t="s">
        <v>560</v>
      </c>
      <c r="D78" s="4" t="s">
        <v>445</v>
      </c>
      <c r="E78" s="4" t="s">
        <v>561</v>
      </c>
      <c r="F78" s="4" t="s">
        <v>559</v>
      </c>
      <c r="G78" s="4" t="s">
        <v>562</v>
      </c>
      <c r="H78" s="4" t="s">
        <v>445</v>
      </c>
      <c r="I78" s="4" t="str">
        <f t="shared" si="12"/>
        <v>1010</v>
      </c>
      <c r="J78" s="4" t="s">
        <v>444</v>
      </c>
      <c r="K78" s="4" t="s">
        <v>443</v>
      </c>
      <c r="L78" s="4" t="s">
        <v>444</v>
      </c>
      <c r="M78" s="4" t="s">
        <v>445</v>
      </c>
      <c r="N78" s="4" t="s">
        <v>638</v>
      </c>
      <c r="O78" s="4" t="s">
        <v>648</v>
      </c>
      <c r="P78" s="4" t="s">
        <v>563</v>
      </c>
      <c r="Q78" s="4" t="str">
        <f>"8088215829"</f>
        <v>8088215829</v>
      </c>
      <c r="S78" s="4" t="str">
        <f>"00880882158293"</f>
        <v>00880882158293</v>
      </c>
      <c r="T78" s="24">
        <v>39381</v>
      </c>
      <c r="U78" s="24">
        <v>39381</v>
      </c>
      <c r="V78" s="24">
        <v>1</v>
      </c>
      <c r="W78" s="4" t="str">
        <f>"8088215829"</f>
        <v>8088215829</v>
      </c>
      <c r="X78" s="4" t="s">
        <v>563</v>
      </c>
      <c r="Y78" s="4" t="str">
        <f t="shared" si="9"/>
        <v>1010</v>
      </c>
      <c r="Z78" s="4" t="str">
        <f t="shared" si="8"/>
        <v>11</v>
      </c>
      <c r="AA78" s="4" t="s">
        <v>93</v>
      </c>
      <c r="AB78" s="4" t="s">
        <v>564</v>
      </c>
      <c r="AC78" s="4" t="s">
        <v>563</v>
      </c>
      <c r="AD78" s="4" t="s">
        <v>565</v>
      </c>
      <c r="AE78" s="4" t="s">
        <v>566</v>
      </c>
      <c r="AF78" s="4" t="s">
        <v>567</v>
      </c>
      <c r="AH78" s="4" t="s">
        <v>568</v>
      </c>
      <c r="AI78" s="4" t="s">
        <v>569</v>
      </c>
      <c r="AJ78" s="4" t="s">
        <v>570</v>
      </c>
      <c r="AK78" s="4" t="s">
        <v>614</v>
      </c>
      <c r="AL78" s="4" t="s">
        <v>615</v>
      </c>
      <c r="AN78" s="4" t="str">
        <f t="shared" si="13"/>
        <v>1</v>
      </c>
      <c r="AO78" s="4" t="s">
        <v>616</v>
      </c>
      <c r="AP78" s="4" t="s">
        <v>574</v>
      </c>
      <c r="AQ78" s="4" t="s">
        <v>575</v>
      </c>
      <c r="AR78" s="4" t="str">
        <f t="shared" si="11"/>
        <v>.7500</v>
      </c>
      <c r="AS78" s="4" t="str">
        <f>"12.87"</f>
        <v>12.87</v>
      </c>
      <c r="AT78" s="4" t="s">
        <v>617</v>
      </c>
      <c r="AU78" s="4" t="str">
        <f>"12.87"</f>
        <v>12.87</v>
      </c>
      <c r="AV78" s="4">
        <v>12</v>
      </c>
      <c r="AW78" s="4">
        <v>0</v>
      </c>
      <c r="AX78" s="4">
        <v>0</v>
      </c>
      <c r="AY78" s="4">
        <v>12</v>
      </c>
      <c r="AZ78" s="4">
        <v>13.32</v>
      </c>
      <c r="BA78" s="4">
        <v>154.44</v>
      </c>
      <c r="BB78" s="4">
        <v>141.12</v>
      </c>
      <c r="BC78" s="4">
        <v>141.12</v>
      </c>
      <c r="BD78" s="4">
        <v>0</v>
      </c>
    </row>
    <row r="79" spans="1:56" x14ac:dyDescent="0.2">
      <c r="A79" s="4" t="s">
        <v>558</v>
      </c>
      <c r="B79" s="4" t="s">
        <v>559</v>
      </c>
      <c r="C79" s="4" t="s">
        <v>560</v>
      </c>
      <c r="D79" s="4" t="s">
        <v>445</v>
      </c>
      <c r="E79" s="4" t="s">
        <v>561</v>
      </c>
      <c r="F79" s="4" t="s">
        <v>559</v>
      </c>
      <c r="G79" s="4" t="s">
        <v>562</v>
      </c>
      <c r="H79" s="4" t="s">
        <v>445</v>
      </c>
      <c r="I79" s="4" t="str">
        <f t="shared" si="12"/>
        <v>1010</v>
      </c>
      <c r="J79" s="4" t="s">
        <v>444</v>
      </c>
      <c r="K79" s="4" t="s">
        <v>443</v>
      </c>
      <c r="L79" s="4" t="s">
        <v>444</v>
      </c>
      <c r="M79" s="4" t="s">
        <v>445</v>
      </c>
      <c r="N79" s="4" t="s">
        <v>649</v>
      </c>
      <c r="O79" s="4" t="s">
        <v>483</v>
      </c>
      <c r="P79" s="4" t="s">
        <v>563</v>
      </c>
      <c r="Q79" s="4" t="str">
        <f>"8088217422"</f>
        <v>8088217422</v>
      </c>
      <c r="S79" s="4" t="str">
        <f>"00880882174224"</f>
        <v>00880882174224</v>
      </c>
      <c r="T79" s="24">
        <v>40802</v>
      </c>
      <c r="U79" s="24">
        <v>40802</v>
      </c>
      <c r="V79" s="24">
        <v>1</v>
      </c>
      <c r="W79" s="4" t="str">
        <f>"8088217422"</f>
        <v>8088217422</v>
      </c>
      <c r="X79" s="4" t="s">
        <v>563</v>
      </c>
      <c r="Y79" s="4" t="str">
        <f t="shared" si="9"/>
        <v>1010</v>
      </c>
      <c r="Z79" s="4" t="str">
        <f t="shared" si="8"/>
        <v>11</v>
      </c>
      <c r="AA79" s="4" t="s">
        <v>93</v>
      </c>
      <c r="AB79" s="4" t="s">
        <v>564</v>
      </c>
      <c r="AC79" s="4" t="s">
        <v>563</v>
      </c>
      <c r="AD79" s="4" t="s">
        <v>565</v>
      </c>
      <c r="AE79" s="4" t="s">
        <v>566</v>
      </c>
      <c r="AF79" s="4" t="s">
        <v>567</v>
      </c>
      <c r="AH79" s="4" t="s">
        <v>568</v>
      </c>
      <c r="AI79" s="4" t="s">
        <v>569</v>
      </c>
      <c r="AJ79" s="4" t="s">
        <v>570</v>
      </c>
      <c r="AK79" s="4" t="s">
        <v>577</v>
      </c>
      <c r="AL79" s="4" t="s">
        <v>578</v>
      </c>
      <c r="AN79" s="4" t="str">
        <f t="shared" si="13"/>
        <v>1</v>
      </c>
      <c r="AO79" s="4" t="s">
        <v>606</v>
      </c>
      <c r="AP79" s="4" t="s">
        <v>574</v>
      </c>
      <c r="AQ79" s="4" t="s">
        <v>575</v>
      </c>
      <c r="AR79" s="4" t="str">
        <f t="shared" si="11"/>
        <v>.7500</v>
      </c>
      <c r="AS79" s="4" t="str">
        <f>"9.07"</f>
        <v>9.07</v>
      </c>
      <c r="AT79" s="4" t="s">
        <v>607</v>
      </c>
      <c r="AU79" s="4" t="str">
        <f>"9.07"</f>
        <v>9.07</v>
      </c>
      <c r="AV79" s="4">
        <v>45</v>
      </c>
      <c r="AW79" s="4">
        <v>-14</v>
      </c>
      <c r="AX79" s="4">
        <v>-123.83</v>
      </c>
      <c r="AY79" s="4">
        <v>31</v>
      </c>
      <c r="AZ79" s="4">
        <v>31.3</v>
      </c>
      <c r="BA79" s="4">
        <v>403.12</v>
      </c>
      <c r="BB79" s="4">
        <v>247.99</v>
      </c>
      <c r="BC79" s="4">
        <v>371.82</v>
      </c>
      <c r="BD79" s="4">
        <v>0</v>
      </c>
    </row>
    <row r="80" spans="1:56" x14ac:dyDescent="0.2">
      <c r="A80" s="4" t="s">
        <v>558</v>
      </c>
      <c r="B80" s="4" t="s">
        <v>559</v>
      </c>
      <c r="C80" s="4" t="s">
        <v>560</v>
      </c>
      <c r="D80" s="4" t="s">
        <v>445</v>
      </c>
      <c r="E80" s="4" t="s">
        <v>561</v>
      </c>
      <c r="F80" s="4" t="s">
        <v>559</v>
      </c>
      <c r="G80" s="4" t="s">
        <v>562</v>
      </c>
      <c r="H80" s="4" t="s">
        <v>445</v>
      </c>
      <c r="I80" s="4" t="str">
        <f t="shared" si="12"/>
        <v>1010</v>
      </c>
      <c r="J80" s="4" t="s">
        <v>444</v>
      </c>
      <c r="K80" s="4" t="s">
        <v>443</v>
      </c>
      <c r="L80" s="4" t="s">
        <v>444</v>
      </c>
      <c r="M80" s="4" t="s">
        <v>445</v>
      </c>
      <c r="N80" s="4" t="s">
        <v>649</v>
      </c>
      <c r="O80" s="4" t="s">
        <v>650</v>
      </c>
      <c r="P80" s="4" t="s">
        <v>563</v>
      </c>
      <c r="Q80" s="4" t="str">
        <f>"8088216432"</f>
        <v>8088216432</v>
      </c>
      <c r="S80" s="4" t="str">
        <f>"00880882164324"</f>
        <v>00880882164324</v>
      </c>
      <c r="T80" s="24">
        <v>39843</v>
      </c>
      <c r="U80" s="24">
        <v>39843</v>
      </c>
      <c r="V80" s="24">
        <v>1</v>
      </c>
      <c r="W80" s="4" t="str">
        <f>"8088216432"</f>
        <v>8088216432</v>
      </c>
      <c r="X80" s="4" t="s">
        <v>563</v>
      </c>
      <c r="Y80" s="4" t="str">
        <f t="shared" si="9"/>
        <v>1010</v>
      </c>
      <c r="Z80" s="4" t="str">
        <f t="shared" si="8"/>
        <v>11</v>
      </c>
      <c r="AA80" s="4" t="s">
        <v>93</v>
      </c>
      <c r="AB80" s="4" t="s">
        <v>564</v>
      </c>
      <c r="AC80" s="4" t="s">
        <v>563</v>
      </c>
      <c r="AD80" s="4" t="s">
        <v>565</v>
      </c>
      <c r="AE80" s="4" t="s">
        <v>566</v>
      </c>
      <c r="AF80" s="4" t="s">
        <v>567</v>
      </c>
      <c r="AH80" s="4" t="s">
        <v>568</v>
      </c>
      <c r="AI80" s="4" t="s">
        <v>569</v>
      </c>
      <c r="AJ80" s="4" t="s">
        <v>570</v>
      </c>
      <c r="AK80" s="4" t="s">
        <v>577</v>
      </c>
      <c r="AL80" s="4" t="s">
        <v>578</v>
      </c>
      <c r="AN80" s="4" t="str">
        <f t="shared" si="13"/>
        <v>1</v>
      </c>
      <c r="AO80" s="4" t="s">
        <v>606</v>
      </c>
      <c r="AP80" s="4" t="s">
        <v>574</v>
      </c>
      <c r="AQ80" s="4" t="s">
        <v>575</v>
      </c>
      <c r="AR80" s="4" t="str">
        <f t="shared" si="11"/>
        <v>.7500</v>
      </c>
      <c r="AS80" s="4" t="str">
        <f>"9.07"</f>
        <v>9.07</v>
      </c>
      <c r="AT80" s="4" t="s">
        <v>607</v>
      </c>
      <c r="AU80" s="4" t="str">
        <f>"9.07"</f>
        <v>9.07</v>
      </c>
      <c r="AV80" s="4">
        <v>38</v>
      </c>
      <c r="AW80" s="4">
        <v>-2</v>
      </c>
      <c r="AX80" s="4">
        <v>-17.440000000000001</v>
      </c>
      <c r="AY80" s="4">
        <v>36</v>
      </c>
      <c r="AZ80" s="4">
        <v>21.91</v>
      </c>
      <c r="BA80" s="4">
        <v>337.89</v>
      </c>
      <c r="BB80" s="4">
        <v>298.54000000000002</v>
      </c>
      <c r="BC80" s="4">
        <v>315.98</v>
      </c>
      <c r="BD80" s="4">
        <v>0</v>
      </c>
    </row>
    <row r="81" spans="1:56" x14ac:dyDescent="0.2">
      <c r="A81" s="4" t="s">
        <v>558</v>
      </c>
      <c r="B81" s="4" t="s">
        <v>559</v>
      </c>
      <c r="C81" s="4" t="s">
        <v>560</v>
      </c>
      <c r="D81" s="4" t="s">
        <v>445</v>
      </c>
      <c r="E81" s="4" t="s">
        <v>561</v>
      </c>
      <c r="F81" s="4" t="s">
        <v>559</v>
      </c>
      <c r="G81" s="4" t="s">
        <v>562</v>
      </c>
      <c r="H81" s="4" t="s">
        <v>445</v>
      </c>
      <c r="I81" s="4" t="str">
        <f t="shared" si="12"/>
        <v>1010</v>
      </c>
      <c r="J81" s="4" t="s">
        <v>444</v>
      </c>
      <c r="K81" s="4" t="s">
        <v>443</v>
      </c>
      <c r="L81" s="4" t="s">
        <v>444</v>
      </c>
      <c r="M81" s="4" t="s">
        <v>445</v>
      </c>
      <c r="N81" s="4" t="s">
        <v>651</v>
      </c>
      <c r="O81" s="4" t="s">
        <v>652</v>
      </c>
      <c r="P81" s="4" t="s">
        <v>563</v>
      </c>
      <c r="Q81" s="4" t="str">
        <f>"8088215212"</f>
        <v>8088215212</v>
      </c>
      <c r="S81" s="4" t="str">
        <f>"00880882152123"</f>
        <v>00880882152123</v>
      </c>
      <c r="T81" s="24">
        <v>38142</v>
      </c>
      <c r="U81" s="24">
        <v>38142</v>
      </c>
      <c r="V81" s="24">
        <v>1</v>
      </c>
      <c r="W81" s="4" t="str">
        <f>"8088215212"</f>
        <v>8088215212</v>
      </c>
      <c r="X81" s="4" t="s">
        <v>563</v>
      </c>
      <c r="Y81" s="4" t="str">
        <f t="shared" si="9"/>
        <v>1010</v>
      </c>
      <c r="Z81" s="4" t="str">
        <f t="shared" si="8"/>
        <v>11</v>
      </c>
      <c r="AA81" s="4" t="s">
        <v>93</v>
      </c>
      <c r="AB81" s="4" t="s">
        <v>564</v>
      </c>
      <c r="AC81" s="4" t="s">
        <v>563</v>
      </c>
      <c r="AD81" s="4" t="s">
        <v>565</v>
      </c>
      <c r="AE81" s="4" t="s">
        <v>566</v>
      </c>
      <c r="AF81" s="4" t="s">
        <v>567</v>
      </c>
      <c r="AH81" s="4" t="s">
        <v>568</v>
      </c>
      <c r="AI81" s="4" t="s">
        <v>569</v>
      </c>
      <c r="AJ81" s="4" t="s">
        <v>570</v>
      </c>
      <c r="AK81" s="4" t="s">
        <v>577</v>
      </c>
      <c r="AL81" s="4" t="s">
        <v>578</v>
      </c>
      <c r="AN81" s="4" t="str">
        <f t="shared" si="13"/>
        <v>1</v>
      </c>
      <c r="AO81" s="4" t="s">
        <v>579</v>
      </c>
      <c r="AP81" s="4" t="s">
        <v>574</v>
      </c>
      <c r="AQ81" s="4" t="s">
        <v>580</v>
      </c>
      <c r="AR81" s="4" t="str">
        <f t="shared" si="11"/>
        <v>.7500</v>
      </c>
      <c r="AS81" s="4" t="str">
        <f>"7.50"</f>
        <v>7.50</v>
      </c>
      <c r="AT81" s="4" t="s">
        <v>581</v>
      </c>
      <c r="AU81" s="4" t="str">
        <f>"7.50"</f>
        <v>7.50</v>
      </c>
      <c r="AV81" s="4">
        <v>67</v>
      </c>
      <c r="AW81" s="4">
        <v>0</v>
      </c>
      <c r="AX81" s="4">
        <v>0</v>
      </c>
      <c r="AY81" s="4">
        <v>67</v>
      </c>
      <c r="AZ81" s="4">
        <v>25.88</v>
      </c>
      <c r="BA81" s="4">
        <v>502.58</v>
      </c>
      <c r="BB81" s="4">
        <v>476.7</v>
      </c>
      <c r="BC81" s="4">
        <v>476.7</v>
      </c>
      <c r="BD81" s="4">
        <v>0</v>
      </c>
    </row>
    <row r="82" spans="1:56" x14ac:dyDescent="0.2">
      <c r="A82" s="4" t="s">
        <v>558</v>
      </c>
      <c r="B82" s="4" t="s">
        <v>559</v>
      </c>
      <c r="C82" s="4" t="s">
        <v>560</v>
      </c>
      <c r="D82" s="4" t="s">
        <v>445</v>
      </c>
      <c r="E82" s="4" t="s">
        <v>561</v>
      </c>
      <c r="F82" s="4" t="s">
        <v>559</v>
      </c>
      <c r="G82" s="4" t="s">
        <v>562</v>
      </c>
      <c r="H82" s="4" t="s">
        <v>445</v>
      </c>
      <c r="I82" s="4" t="str">
        <f t="shared" si="12"/>
        <v>1010</v>
      </c>
      <c r="J82" s="4" t="s">
        <v>444</v>
      </c>
      <c r="K82" s="4" t="s">
        <v>443</v>
      </c>
      <c r="L82" s="4" t="s">
        <v>444</v>
      </c>
      <c r="M82" s="4" t="s">
        <v>445</v>
      </c>
      <c r="N82" s="4" t="s">
        <v>653</v>
      </c>
      <c r="O82" s="4" t="s">
        <v>464</v>
      </c>
      <c r="P82" s="4" t="s">
        <v>563</v>
      </c>
      <c r="Q82" s="4" t="str">
        <f>"8088217882"</f>
        <v>8088217882</v>
      </c>
      <c r="S82" s="4" t="str">
        <f>"00880882178826"</f>
        <v>00880882178826</v>
      </c>
      <c r="T82" s="24">
        <v>41033</v>
      </c>
      <c r="U82" s="24">
        <v>41033</v>
      </c>
      <c r="V82" s="24">
        <v>1</v>
      </c>
      <c r="W82" s="4" t="str">
        <f>"8088217882"</f>
        <v>8088217882</v>
      </c>
      <c r="X82" s="4" t="s">
        <v>563</v>
      </c>
      <c r="Y82" s="4" t="str">
        <f t="shared" si="9"/>
        <v>1010</v>
      </c>
      <c r="Z82" s="4" t="str">
        <f t="shared" si="8"/>
        <v>11</v>
      </c>
      <c r="AA82" s="4" t="s">
        <v>93</v>
      </c>
      <c r="AB82" s="4" t="s">
        <v>564</v>
      </c>
      <c r="AC82" s="4" t="s">
        <v>563</v>
      </c>
      <c r="AD82" s="4" t="s">
        <v>565</v>
      </c>
      <c r="AE82" s="4" t="s">
        <v>566</v>
      </c>
      <c r="AF82" s="4" t="s">
        <v>567</v>
      </c>
      <c r="AH82" s="4" t="s">
        <v>568</v>
      </c>
      <c r="AI82" s="4" t="s">
        <v>569</v>
      </c>
      <c r="AJ82" s="4" t="s">
        <v>570</v>
      </c>
      <c r="AK82" s="4" t="s">
        <v>577</v>
      </c>
      <c r="AL82" s="4" t="s">
        <v>578</v>
      </c>
      <c r="AN82" s="4" t="str">
        <f t="shared" si="13"/>
        <v>1</v>
      </c>
      <c r="AO82" s="4" t="s">
        <v>579</v>
      </c>
      <c r="AP82" s="4" t="s">
        <v>584</v>
      </c>
      <c r="AQ82" s="4" t="s">
        <v>580</v>
      </c>
      <c r="AR82" s="4" t="str">
        <f t="shared" si="11"/>
        <v>.7500</v>
      </c>
      <c r="AS82" s="4" t="str">
        <f>"7.50"</f>
        <v>7.50</v>
      </c>
      <c r="AT82" s="4" t="s">
        <v>581</v>
      </c>
      <c r="AU82" s="4" t="str">
        <f>"7.50"</f>
        <v>7.50</v>
      </c>
      <c r="AV82" s="4">
        <v>2</v>
      </c>
      <c r="AW82" s="4">
        <v>-11</v>
      </c>
      <c r="AX82" s="4">
        <v>-80.05</v>
      </c>
      <c r="AY82" s="4">
        <v>-9</v>
      </c>
      <c r="AZ82" s="4">
        <v>0.86</v>
      </c>
      <c r="BA82" s="4">
        <v>15</v>
      </c>
      <c r="BB82" s="4">
        <v>-65.91</v>
      </c>
      <c r="BC82" s="4">
        <v>14.14</v>
      </c>
      <c r="BD82" s="4">
        <v>0</v>
      </c>
    </row>
    <row r="83" spans="1:56" x14ac:dyDescent="0.2">
      <c r="A83" s="4" t="s">
        <v>558</v>
      </c>
      <c r="B83" s="4" t="s">
        <v>559</v>
      </c>
      <c r="C83" s="4" t="s">
        <v>560</v>
      </c>
      <c r="D83" s="4" t="s">
        <v>445</v>
      </c>
      <c r="E83" s="4" t="s">
        <v>561</v>
      </c>
      <c r="F83" s="4" t="s">
        <v>559</v>
      </c>
      <c r="G83" s="4" t="s">
        <v>562</v>
      </c>
      <c r="H83" s="4" t="s">
        <v>445</v>
      </c>
      <c r="I83" s="4" t="str">
        <f t="shared" si="12"/>
        <v>1010</v>
      </c>
      <c r="J83" s="4" t="s">
        <v>444</v>
      </c>
      <c r="K83" s="4" t="s">
        <v>443</v>
      </c>
      <c r="L83" s="4" t="s">
        <v>444</v>
      </c>
      <c r="M83" s="4" t="s">
        <v>445</v>
      </c>
      <c r="N83" s="4" t="s">
        <v>654</v>
      </c>
      <c r="O83" s="4" t="s">
        <v>655</v>
      </c>
      <c r="P83" s="4" t="s">
        <v>563</v>
      </c>
      <c r="Q83" s="4" t="str">
        <f>"8088218181"</f>
        <v>8088218181</v>
      </c>
      <c r="S83" s="4" t="str">
        <f>"00880882181819"</f>
        <v>00880882181819</v>
      </c>
      <c r="T83" s="24">
        <v>41159</v>
      </c>
      <c r="U83" s="24">
        <v>41159</v>
      </c>
      <c r="V83" s="24">
        <v>1</v>
      </c>
      <c r="W83" s="4" t="str">
        <f>"8088218181"</f>
        <v>8088218181</v>
      </c>
      <c r="X83" s="4" t="s">
        <v>563</v>
      </c>
      <c r="Y83" s="4" t="str">
        <f t="shared" si="9"/>
        <v>1010</v>
      </c>
      <c r="Z83" s="4" t="str">
        <f t="shared" si="8"/>
        <v>11</v>
      </c>
      <c r="AA83" s="4" t="s">
        <v>93</v>
      </c>
      <c r="AB83" s="4" t="s">
        <v>564</v>
      </c>
      <c r="AC83" s="4" t="s">
        <v>563</v>
      </c>
      <c r="AD83" s="4" t="s">
        <v>565</v>
      </c>
      <c r="AE83" s="4" t="s">
        <v>566</v>
      </c>
      <c r="AF83" s="4" t="s">
        <v>567</v>
      </c>
      <c r="AH83" s="4" t="s">
        <v>568</v>
      </c>
      <c r="AI83" s="4" t="s">
        <v>569</v>
      </c>
      <c r="AJ83" s="4" t="s">
        <v>570</v>
      </c>
      <c r="AK83" s="4" t="s">
        <v>571</v>
      </c>
      <c r="AL83" s="4" t="s">
        <v>572</v>
      </c>
      <c r="AN83" s="4" t="str">
        <f t="shared" si="13"/>
        <v>1</v>
      </c>
      <c r="AO83" s="4" t="s">
        <v>583</v>
      </c>
      <c r="AP83" s="4" t="s">
        <v>584</v>
      </c>
      <c r="AQ83" s="4" t="s">
        <v>575</v>
      </c>
      <c r="AR83" s="4" t="str">
        <f>"1.8000"</f>
        <v>1.8000</v>
      </c>
      <c r="AS83" s="4" t="str">
        <f>"11.59"</f>
        <v>11.59</v>
      </c>
      <c r="AT83" s="4" t="s">
        <v>585</v>
      </c>
      <c r="AU83" s="4" t="str">
        <f>"11.59"</f>
        <v>11.59</v>
      </c>
      <c r="AV83" s="4">
        <v>6</v>
      </c>
      <c r="AW83" s="4">
        <v>0</v>
      </c>
      <c r="AX83" s="4">
        <v>0</v>
      </c>
      <c r="AY83" s="4">
        <v>6</v>
      </c>
      <c r="AZ83" s="4">
        <v>0</v>
      </c>
      <c r="BA83" s="4">
        <v>69.540000000000006</v>
      </c>
      <c r="BB83" s="4">
        <v>69.540000000000006</v>
      </c>
      <c r="BC83" s="4">
        <v>69.540000000000006</v>
      </c>
      <c r="BD83" s="4">
        <v>0</v>
      </c>
    </row>
    <row r="84" spans="1:56" x14ac:dyDescent="0.2">
      <c r="A84" s="4" t="s">
        <v>558</v>
      </c>
      <c r="B84" s="4" t="s">
        <v>559</v>
      </c>
      <c r="C84" s="4" t="s">
        <v>560</v>
      </c>
      <c r="D84" s="4" t="s">
        <v>445</v>
      </c>
      <c r="E84" s="4" t="s">
        <v>561</v>
      </c>
      <c r="F84" s="4" t="s">
        <v>559</v>
      </c>
      <c r="G84" s="4" t="s">
        <v>562</v>
      </c>
      <c r="H84" s="4" t="s">
        <v>445</v>
      </c>
      <c r="I84" s="4" t="str">
        <f t="shared" si="12"/>
        <v>1010</v>
      </c>
      <c r="J84" s="4" t="s">
        <v>444</v>
      </c>
      <c r="K84" s="4" t="s">
        <v>443</v>
      </c>
      <c r="L84" s="4" t="s">
        <v>444</v>
      </c>
      <c r="M84" s="4" t="s">
        <v>445</v>
      </c>
      <c r="N84" s="4" t="s">
        <v>654</v>
      </c>
      <c r="O84" s="4" t="s">
        <v>655</v>
      </c>
      <c r="P84" s="4" t="s">
        <v>563</v>
      </c>
      <c r="Q84" s="4" t="str">
        <f>"8088218182"</f>
        <v>8088218182</v>
      </c>
      <c r="S84" s="4" t="str">
        <f>"00880882181826"</f>
        <v>00880882181826</v>
      </c>
      <c r="T84" s="24">
        <v>41159</v>
      </c>
      <c r="U84" s="24">
        <v>41159</v>
      </c>
      <c r="V84" s="24">
        <v>1</v>
      </c>
      <c r="W84" s="4" t="str">
        <f>"8088218182"</f>
        <v>8088218182</v>
      </c>
      <c r="X84" s="4" t="s">
        <v>563</v>
      </c>
      <c r="Y84" s="4" t="str">
        <f t="shared" si="9"/>
        <v>1010</v>
      </c>
      <c r="Z84" s="4" t="str">
        <f t="shared" si="8"/>
        <v>11</v>
      </c>
      <c r="AA84" s="4" t="s">
        <v>93</v>
      </c>
      <c r="AB84" s="4" t="s">
        <v>564</v>
      </c>
      <c r="AC84" s="4" t="s">
        <v>563</v>
      </c>
      <c r="AD84" s="4" t="s">
        <v>565</v>
      </c>
      <c r="AE84" s="4" t="s">
        <v>566</v>
      </c>
      <c r="AF84" s="4" t="s">
        <v>567</v>
      </c>
      <c r="AH84" s="4" t="s">
        <v>568</v>
      </c>
      <c r="AI84" s="4" t="s">
        <v>569</v>
      </c>
      <c r="AJ84" s="4" t="s">
        <v>570</v>
      </c>
      <c r="AK84" s="4" t="s">
        <v>577</v>
      </c>
      <c r="AL84" s="4" t="s">
        <v>578</v>
      </c>
      <c r="AN84" s="4" t="str">
        <f t="shared" si="13"/>
        <v>1</v>
      </c>
      <c r="AO84" s="4" t="s">
        <v>606</v>
      </c>
      <c r="AP84" s="4" t="s">
        <v>584</v>
      </c>
      <c r="AQ84" s="4" t="s">
        <v>575</v>
      </c>
      <c r="AR84" s="4" t="str">
        <f>".7500"</f>
        <v>.7500</v>
      </c>
      <c r="AS84" s="4" t="str">
        <f>"9.07"</f>
        <v>9.07</v>
      </c>
      <c r="AT84" s="4" t="s">
        <v>607</v>
      </c>
      <c r="AU84" s="4" t="str">
        <f>"9.07"</f>
        <v>9.07</v>
      </c>
      <c r="AV84" s="4">
        <v>77</v>
      </c>
      <c r="AW84" s="4">
        <v>-48</v>
      </c>
      <c r="AX84" s="4">
        <v>-423.11</v>
      </c>
      <c r="AY84" s="4">
        <v>29</v>
      </c>
      <c r="AZ84" s="4">
        <v>40.69</v>
      </c>
      <c r="BA84" s="4">
        <v>698.52</v>
      </c>
      <c r="BB84" s="4">
        <v>234.72</v>
      </c>
      <c r="BC84" s="4">
        <v>657.83</v>
      </c>
      <c r="BD84" s="4">
        <v>0</v>
      </c>
    </row>
    <row r="85" spans="1:56" x14ac:dyDescent="0.2">
      <c r="A85" s="4" t="s">
        <v>558</v>
      </c>
      <c r="B85" s="4" t="s">
        <v>559</v>
      </c>
      <c r="C85" s="4" t="s">
        <v>560</v>
      </c>
      <c r="D85" s="4" t="s">
        <v>445</v>
      </c>
      <c r="E85" s="4" t="s">
        <v>561</v>
      </c>
      <c r="F85" s="4" t="s">
        <v>559</v>
      </c>
      <c r="G85" s="4" t="s">
        <v>562</v>
      </c>
      <c r="H85" s="4" t="s">
        <v>445</v>
      </c>
      <c r="I85" s="4" t="str">
        <f t="shared" si="12"/>
        <v>1010</v>
      </c>
      <c r="J85" s="4" t="s">
        <v>444</v>
      </c>
      <c r="K85" s="4" t="s">
        <v>443</v>
      </c>
      <c r="L85" s="4" t="s">
        <v>444</v>
      </c>
      <c r="M85" s="4" t="s">
        <v>445</v>
      </c>
      <c r="N85" s="4" t="s">
        <v>656</v>
      </c>
      <c r="O85" s="4" t="s">
        <v>657</v>
      </c>
      <c r="P85" s="4" t="s">
        <v>563</v>
      </c>
      <c r="Q85" s="4" t="str">
        <f>"0882187910"</f>
        <v>0882187910</v>
      </c>
      <c r="S85" s="4" t="str">
        <f>"00880882187910"</f>
        <v>00880882187910</v>
      </c>
      <c r="T85" s="24">
        <v>41527</v>
      </c>
      <c r="U85" s="24">
        <v>41527</v>
      </c>
      <c r="V85" s="24">
        <v>1</v>
      </c>
      <c r="W85" s="4" t="str">
        <f>"0882187910"</f>
        <v>0882187910</v>
      </c>
      <c r="X85" s="4" t="s">
        <v>563</v>
      </c>
      <c r="Y85" s="4" t="str">
        <f>"9000"</f>
        <v>9000</v>
      </c>
      <c r="Z85" s="4" t="str">
        <f t="shared" si="8"/>
        <v>11</v>
      </c>
      <c r="AA85" s="4" t="s">
        <v>568</v>
      </c>
      <c r="AB85" s="4" t="s">
        <v>619</v>
      </c>
      <c r="AC85" s="4" t="s">
        <v>563</v>
      </c>
      <c r="AD85" s="4" t="s">
        <v>565</v>
      </c>
      <c r="AE85" s="4" t="s">
        <v>566</v>
      </c>
      <c r="AF85" s="4" t="s">
        <v>567</v>
      </c>
      <c r="AH85" s="4" t="s">
        <v>568</v>
      </c>
      <c r="AI85" s="4" t="s">
        <v>589</v>
      </c>
      <c r="AJ85" s="4" t="s">
        <v>590</v>
      </c>
      <c r="AK85" s="4" t="s">
        <v>571</v>
      </c>
      <c r="AL85" s="4" t="s">
        <v>572</v>
      </c>
      <c r="AN85" s="4" t="str">
        <f t="shared" si="13"/>
        <v>1</v>
      </c>
      <c r="AO85" s="4" t="s">
        <v>583</v>
      </c>
      <c r="AP85" s="4" t="s">
        <v>584</v>
      </c>
      <c r="AQ85" s="4" t="s">
        <v>575</v>
      </c>
      <c r="AR85" s="4" t="str">
        <f>"3.3300"</f>
        <v>3.3300</v>
      </c>
      <c r="AS85" s="4" t="str">
        <f>"11.59"</f>
        <v>11.59</v>
      </c>
      <c r="AT85" s="4" t="s">
        <v>585</v>
      </c>
      <c r="AU85" s="4" t="str">
        <f>"11.59"</f>
        <v>11.59</v>
      </c>
      <c r="AV85" s="4">
        <v>70</v>
      </c>
      <c r="AW85" s="4">
        <v>0</v>
      </c>
      <c r="AX85" s="4">
        <v>0</v>
      </c>
      <c r="AY85" s="4">
        <v>70</v>
      </c>
      <c r="AZ85" s="4">
        <v>78.48</v>
      </c>
      <c r="BA85" s="4">
        <v>865.28</v>
      </c>
      <c r="BB85" s="4">
        <v>786.8</v>
      </c>
      <c r="BC85" s="4">
        <v>786.8</v>
      </c>
      <c r="BD85" s="4">
        <v>0</v>
      </c>
    </row>
    <row r="86" spans="1:56" x14ac:dyDescent="0.2">
      <c r="A86" s="4" t="s">
        <v>558</v>
      </c>
      <c r="B86" s="4" t="s">
        <v>559</v>
      </c>
      <c r="C86" s="4" t="s">
        <v>560</v>
      </c>
      <c r="D86" s="4" t="s">
        <v>445</v>
      </c>
      <c r="E86" s="4" t="s">
        <v>561</v>
      </c>
      <c r="F86" s="4" t="s">
        <v>559</v>
      </c>
      <c r="G86" s="4" t="s">
        <v>562</v>
      </c>
      <c r="H86" s="4" t="s">
        <v>445</v>
      </c>
      <c r="I86" s="4" t="str">
        <f t="shared" si="12"/>
        <v>1010</v>
      </c>
      <c r="J86" s="4" t="s">
        <v>444</v>
      </c>
      <c r="K86" s="4" t="s">
        <v>443</v>
      </c>
      <c r="L86" s="4" t="s">
        <v>444</v>
      </c>
      <c r="M86" s="4" t="s">
        <v>445</v>
      </c>
      <c r="N86" s="4" t="s">
        <v>656</v>
      </c>
      <c r="O86" s="4" t="s">
        <v>657</v>
      </c>
      <c r="P86" s="4" t="s">
        <v>563</v>
      </c>
      <c r="Q86" s="4" t="str">
        <f>"0882187910"</f>
        <v>0882187910</v>
      </c>
      <c r="S86" s="4" t="str">
        <f>"00880882187910"</f>
        <v>00880882187910</v>
      </c>
      <c r="T86" s="24">
        <v>41527</v>
      </c>
      <c r="U86" s="24">
        <v>41527</v>
      </c>
      <c r="V86" s="24">
        <v>1</v>
      </c>
      <c r="W86" s="4" t="str">
        <f>"0882187910"</f>
        <v>0882187910</v>
      </c>
      <c r="X86" s="4" t="s">
        <v>563</v>
      </c>
      <c r="Y86" s="4" t="str">
        <f>"9000"</f>
        <v>9000</v>
      </c>
      <c r="Z86" s="4" t="str">
        <f>"53"</f>
        <v>53</v>
      </c>
      <c r="AA86" s="4" t="s">
        <v>568</v>
      </c>
      <c r="AB86" s="4" t="s">
        <v>619</v>
      </c>
      <c r="AC86" s="4" t="s">
        <v>563</v>
      </c>
      <c r="AD86" s="4" t="s">
        <v>565</v>
      </c>
      <c r="AE86" s="4" t="s">
        <v>566</v>
      </c>
      <c r="AF86" s="4" t="s">
        <v>568</v>
      </c>
      <c r="AH86" s="4" t="s">
        <v>568</v>
      </c>
      <c r="AI86" s="4" t="s">
        <v>589</v>
      </c>
      <c r="AJ86" s="4" t="s">
        <v>590</v>
      </c>
      <c r="AK86" s="4" t="s">
        <v>571</v>
      </c>
      <c r="AL86" s="4" t="s">
        <v>572</v>
      </c>
      <c r="AN86" s="4" t="str">
        <f t="shared" si="13"/>
        <v>1</v>
      </c>
      <c r="AO86" s="4" t="s">
        <v>583</v>
      </c>
      <c r="AP86" s="4" t="s">
        <v>584</v>
      </c>
      <c r="AQ86" s="4" t="s">
        <v>575</v>
      </c>
      <c r="AR86" s="4" t="str">
        <f>"3.3300"</f>
        <v>3.3300</v>
      </c>
      <c r="AS86" s="4" t="str">
        <f>"11.59"</f>
        <v>11.59</v>
      </c>
      <c r="AT86" s="4" t="s">
        <v>585</v>
      </c>
      <c r="AU86" s="4" t="str">
        <f>"11.59"</f>
        <v>11.59</v>
      </c>
      <c r="AV86" s="4">
        <v>4</v>
      </c>
      <c r="AW86" s="4">
        <v>0</v>
      </c>
      <c r="AX86" s="4">
        <v>0</v>
      </c>
      <c r="AY86" s="4">
        <v>4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</row>
    <row r="87" spans="1:56" x14ac:dyDescent="0.2">
      <c r="A87" s="4" t="s">
        <v>558</v>
      </c>
      <c r="B87" s="4" t="s">
        <v>559</v>
      </c>
      <c r="C87" s="4" t="s">
        <v>560</v>
      </c>
      <c r="D87" s="4" t="s">
        <v>445</v>
      </c>
      <c r="E87" s="4" t="s">
        <v>561</v>
      </c>
      <c r="F87" s="4" t="s">
        <v>559</v>
      </c>
      <c r="G87" s="4" t="s">
        <v>562</v>
      </c>
      <c r="H87" s="4" t="s">
        <v>445</v>
      </c>
      <c r="I87" s="4" t="str">
        <f t="shared" si="12"/>
        <v>1010</v>
      </c>
      <c r="J87" s="4" t="s">
        <v>444</v>
      </c>
      <c r="K87" s="4" t="s">
        <v>443</v>
      </c>
      <c r="L87" s="4" t="s">
        <v>444</v>
      </c>
      <c r="M87" s="4" t="s">
        <v>445</v>
      </c>
      <c r="N87" s="4" t="s">
        <v>656</v>
      </c>
      <c r="O87" s="4" t="s">
        <v>657</v>
      </c>
      <c r="P87" s="4" t="s">
        <v>563</v>
      </c>
      <c r="Q87" s="4" t="str">
        <f>"0882187927"</f>
        <v>0882187927</v>
      </c>
      <c r="S87" s="4" t="str">
        <f>"00880882187927"</f>
        <v>00880882187927</v>
      </c>
      <c r="T87" s="24">
        <v>41527</v>
      </c>
      <c r="U87" s="24">
        <v>41527</v>
      </c>
      <c r="V87" s="24">
        <v>1</v>
      </c>
      <c r="W87" s="4" t="str">
        <f>"0882187927"</f>
        <v>0882187927</v>
      </c>
      <c r="X87" s="4" t="s">
        <v>563</v>
      </c>
      <c r="Y87" s="4" t="str">
        <f>"9000"</f>
        <v>9000</v>
      </c>
      <c r="Z87" s="4" t="str">
        <f>"11"</f>
        <v>11</v>
      </c>
      <c r="AA87" s="4" t="s">
        <v>568</v>
      </c>
      <c r="AB87" s="4" t="s">
        <v>619</v>
      </c>
      <c r="AC87" s="4" t="s">
        <v>563</v>
      </c>
      <c r="AD87" s="4" t="s">
        <v>565</v>
      </c>
      <c r="AE87" s="4" t="s">
        <v>566</v>
      </c>
      <c r="AF87" s="4" t="s">
        <v>567</v>
      </c>
      <c r="AH87" s="4" t="s">
        <v>568</v>
      </c>
      <c r="AI87" s="4" t="s">
        <v>589</v>
      </c>
      <c r="AJ87" s="4" t="s">
        <v>590</v>
      </c>
      <c r="AK87" s="4" t="s">
        <v>577</v>
      </c>
      <c r="AL87" s="4" t="s">
        <v>578</v>
      </c>
      <c r="AN87" s="4" t="str">
        <f t="shared" si="13"/>
        <v>1</v>
      </c>
      <c r="AO87" s="4" t="s">
        <v>579</v>
      </c>
      <c r="AP87" s="4" t="s">
        <v>584</v>
      </c>
      <c r="AQ87" s="4" t="s">
        <v>580</v>
      </c>
      <c r="AR87" s="4" t="str">
        <f>".7850"</f>
        <v>.7850</v>
      </c>
      <c r="AS87" s="4" t="str">
        <f>"7.50"</f>
        <v>7.50</v>
      </c>
      <c r="AT87" s="4" t="s">
        <v>581</v>
      </c>
      <c r="AU87" s="4" t="str">
        <f>"7.50"</f>
        <v>7.50</v>
      </c>
      <c r="AV87" s="4">
        <v>590</v>
      </c>
      <c r="AW87" s="4">
        <v>0</v>
      </c>
      <c r="AX87" s="4">
        <v>0</v>
      </c>
      <c r="AY87" s="4">
        <v>590</v>
      </c>
      <c r="AZ87" s="4">
        <v>428.43</v>
      </c>
      <c r="BA87" s="4">
        <v>4723.63</v>
      </c>
      <c r="BB87" s="4">
        <v>4295.2</v>
      </c>
      <c r="BC87" s="4">
        <v>4295.2</v>
      </c>
      <c r="BD87" s="4">
        <v>0</v>
      </c>
    </row>
    <row r="88" spans="1:56" x14ac:dyDescent="0.2">
      <c r="A88" s="4" t="s">
        <v>558</v>
      </c>
      <c r="B88" s="4" t="s">
        <v>559</v>
      </c>
      <c r="C88" s="4" t="s">
        <v>560</v>
      </c>
      <c r="D88" s="4" t="s">
        <v>445</v>
      </c>
      <c r="E88" s="4" t="s">
        <v>561</v>
      </c>
      <c r="F88" s="4" t="s">
        <v>559</v>
      </c>
      <c r="G88" s="4" t="s">
        <v>562</v>
      </c>
      <c r="H88" s="4" t="s">
        <v>445</v>
      </c>
      <c r="I88" s="4" t="str">
        <f t="shared" si="12"/>
        <v>1010</v>
      </c>
      <c r="J88" s="4" t="s">
        <v>444</v>
      </c>
      <c r="K88" s="4" t="s">
        <v>443</v>
      </c>
      <c r="L88" s="4" t="s">
        <v>444</v>
      </c>
      <c r="M88" s="4" t="s">
        <v>445</v>
      </c>
      <c r="N88" s="4" t="s">
        <v>656</v>
      </c>
      <c r="O88" s="4" t="s">
        <v>657</v>
      </c>
      <c r="P88" s="4" t="s">
        <v>563</v>
      </c>
      <c r="Q88" s="4" t="str">
        <f>"0882187927"</f>
        <v>0882187927</v>
      </c>
      <c r="S88" s="4" t="str">
        <f>"00880882187927"</f>
        <v>00880882187927</v>
      </c>
      <c r="T88" s="24">
        <v>41527</v>
      </c>
      <c r="U88" s="24">
        <v>41527</v>
      </c>
      <c r="V88" s="24">
        <v>1</v>
      </c>
      <c r="W88" s="4" t="str">
        <f>"0882187927"</f>
        <v>0882187927</v>
      </c>
      <c r="X88" s="4" t="s">
        <v>563</v>
      </c>
      <c r="Y88" s="4" t="str">
        <f>"9000"</f>
        <v>9000</v>
      </c>
      <c r="Z88" s="4" t="str">
        <f>"53"</f>
        <v>53</v>
      </c>
      <c r="AA88" s="4" t="s">
        <v>568</v>
      </c>
      <c r="AB88" s="4" t="s">
        <v>619</v>
      </c>
      <c r="AC88" s="4" t="s">
        <v>563</v>
      </c>
      <c r="AD88" s="4" t="s">
        <v>565</v>
      </c>
      <c r="AE88" s="4" t="s">
        <v>566</v>
      </c>
      <c r="AF88" s="4" t="s">
        <v>568</v>
      </c>
      <c r="AH88" s="4" t="s">
        <v>568</v>
      </c>
      <c r="AI88" s="4" t="s">
        <v>589</v>
      </c>
      <c r="AJ88" s="4" t="s">
        <v>590</v>
      </c>
      <c r="AK88" s="4" t="s">
        <v>577</v>
      </c>
      <c r="AL88" s="4" t="s">
        <v>578</v>
      </c>
      <c r="AN88" s="4" t="str">
        <f t="shared" si="13"/>
        <v>1</v>
      </c>
      <c r="AO88" s="4" t="s">
        <v>579</v>
      </c>
      <c r="AP88" s="4" t="s">
        <v>584</v>
      </c>
      <c r="AQ88" s="4" t="s">
        <v>580</v>
      </c>
      <c r="AR88" s="4" t="str">
        <f>".7850"</f>
        <v>.7850</v>
      </c>
      <c r="AS88" s="4" t="str">
        <f>"7.50"</f>
        <v>7.50</v>
      </c>
      <c r="AT88" s="4" t="s">
        <v>581</v>
      </c>
      <c r="AU88" s="4" t="str">
        <f>"7.50"</f>
        <v>7.50</v>
      </c>
      <c r="AV88" s="4">
        <v>5380</v>
      </c>
      <c r="AW88" s="4">
        <v>0</v>
      </c>
      <c r="AX88" s="4">
        <v>0</v>
      </c>
      <c r="AY88" s="4">
        <v>5380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</row>
    <row r="89" spans="1:56" x14ac:dyDescent="0.2">
      <c r="A89" s="4" t="s">
        <v>558</v>
      </c>
      <c r="B89" s="4" t="s">
        <v>559</v>
      </c>
      <c r="C89" s="4" t="s">
        <v>560</v>
      </c>
      <c r="D89" s="4" t="s">
        <v>445</v>
      </c>
      <c r="E89" s="4" t="s">
        <v>561</v>
      </c>
      <c r="F89" s="4" t="s">
        <v>559</v>
      </c>
      <c r="G89" s="4" t="s">
        <v>562</v>
      </c>
      <c r="H89" s="4" t="s">
        <v>445</v>
      </c>
      <c r="I89" s="4" t="str">
        <f t="shared" si="12"/>
        <v>1010</v>
      </c>
      <c r="J89" s="4" t="s">
        <v>444</v>
      </c>
      <c r="K89" s="4" t="s">
        <v>443</v>
      </c>
      <c r="L89" s="4" t="s">
        <v>444</v>
      </c>
      <c r="M89" s="4" t="s">
        <v>445</v>
      </c>
      <c r="N89" s="4" t="s">
        <v>658</v>
      </c>
      <c r="O89" s="4" t="s">
        <v>659</v>
      </c>
      <c r="P89" s="4" t="s">
        <v>563</v>
      </c>
      <c r="Q89" s="4" t="str">
        <f>"8088218351"</f>
        <v>8088218351</v>
      </c>
      <c r="S89" s="4" t="str">
        <f>"00880882183516"</f>
        <v>00880882183516</v>
      </c>
      <c r="T89" s="24">
        <v>41306</v>
      </c>
      <c r="U89" s="24">
        <v>41306</v>
      </c>
      <c r="V89" s="24">
        <v>1</v>
      </c>
      <c r="W89" s="4" t="str">
        <f>"8088218351"</f>
        <v>8088218351</v>
      </c>
      <c r="X89" s="4" t="s">
        <v>563</v>
      </c>
      <c r="Y89" s="4" t="str">
        <f t="shared" ref="Y89:Y134" si="14">"1010"</f>
        <v>1010</v>
      </c>
      <c r="Z89" s="4" t="str">
        <f>"11"</f>
        <v>11</v>
      </c>
      <c r="AA89" s="4" t="s">
        <v>93</v>
      </c>
      <c r="AB89" s="4" t="s">
        <v>564</v>
      </c>
      <c r="AC89" s="4" t="s">
        <v>563</v>
      </c>
      <c r="AD89" s="4" t="s">
        <v>565</v>
      </c>
      <c r="AE89" s="4" t="s">
        <v>566</v>
      </c>
      <c r="AF89" s="4" t="s">
        <v>567</v>
      </c>
      <c r="AH89" s="4" t="s">
        <v>568</v>
      </c>
      <c r="AI89" s="4" t="s">
        <v>569</v>
      </c>
      <c r="AJ89" s="4" t="s">
        <v>570</v>
      </c>
      <c r="AK89" s="4" t="s">
        <v>571</v>
      </c>
      <c r="AL89" s="4" t="s">
        <v>572</v>
      </c>
      <c r="AN89" s="4" t="str">
        <f t="shared" si="13"/>
        <v>1</v>
      </c>
      <c r="AO89" s="4" t="s">
        <v>583</v>
      </c>
      <c r="AP89" s="4" t="s">
        <v>584</v>
      </c>
      <c r="AQ89" s="4" t="s">
        <v>575</v>
      </c>
      <c r="AR89" s="4" t="str">
        <f>"1.8000"</f>
        <v>1.8000</v>
      </c>
      <c r="AS89" s="4" t="str">
        <f>"11.59"</f>
        <v>11.59</v>
      </c>
      <c r="AT89" s="4" t="s">
        <v>585</v>
      </c>
      <c r="AU89" s="4" t="str">
        <f>"11.59"</f>
        <v>11.59</v>
      </c>
      <c r="AV89" s="4">
        <v>116</v>
      </c>
      <c r="AW89" s="4">
        <v>0</v>
      </c>
      <c r="AX89" s="4">
        <v>0</v>
      </c>
      <c r="AY89" s="4">
        <v>116</v>
      </c>
      <c r="AZ89" s="4">
        <v>0</v>
      </c>
      <c r="BA89" s="4">
        <v>1344.44</v>
      </c>
      <c r="BB89" s="4">
        <v>1344.44</v>
      </c>
      <c r="BC89" s="4">
        <v>1344.44</v>
      </c>
      <c r="BD89" s="4">
        <v>0</v>
      </c>
    </row>
    <row r="90" spans="1:56" x14ac:dyDescent="0.2">
      <c r="A90" s="4" t="s">
        <v>558</v>
      </c>
      <c r="B90" s="4" t="s">
        <v>559</v>
      </c>
      <c r="C90" s="4" t="s">
        <v>560</v>
      </c>
      <c r="D90" s="4" t="s">
        <v>445</v>
      </c>
      <c r="E90" s="4" t="s">
        <v>561</v>
      </c>
      <c r="F90" s="4" t="s">
        <v>559</v>
      </c>
      <c r="G90" s="4" t="s">
        <v>562</v>
      </c>
      <c r="H90" s="4" t="s">
        <v>445</v>
      </c>
      <c r="I90" s="4" t="str">
        <f t="shared" si="12"/>
        <v>1010</v>
      </c>
      <c r="J90" s="4" t="s">
        <v>444</v>
      </c>
      <c r="K90" s="4" t="s">
        <v>443</v>
      </c>
      <c r="L90" s="4" t="s">
        <v>444</v>
      </c>
      <c r="M90" s="4" t="s">
        <v>445</v>
      </c>
      <c r="N90" s="4" t="s">
        <v>658</v>
      </c>
      <c r="O90" s="4" t="s">
        <v>659</v>
      </c>
      <c r="P90" s="4" t="s">
        <v>563</v>
      </c>
      <c r="Q90" s="4" t="str">
        <f>"8088218351"</f>
        <v>8088218351</v>
      </c>
      <c r="S90" s="4" t="str">
        <f>"00880882183516"</f>
        <v>00880882183516</v>
      </c>
      <c r="T90" s="24">
        <v>41306</v>
      </c>
      <c r="U90" s="24">
        <v>41306</v>
      </c>
      <c r="V90" s="24">
        <v>1</v>
      </c>
      <c r="W90" s="4" t="str">
        <f>"8088218351"</f>
        <v>8088218351</v>
      </c>
      <c r="X90" s="4" t="s">
        <v>563</v>
      </c>
      <c r="Y90" s="4" t="str">
        <f t="shared" si="14"/>
        <v>1010</v>
      </c>
      <c r="Z90" s="4" t="str">
        <f>"54"</f>
        <v>54</v>
      </c>
      <c r="AA90" s="4" t="s">
        <v>93</v>
      </c>
      <c r="AB90" s="4" t="s">
        <v>564</v>
      </c>
      <c r="AC90" s="4" t="s">
        <v>563</v>
      </c>
      <c r="AD90" s="4" t="s">
        <v>565</v>
      </c>
      <c r="AE90" s="4" t="s">
        <v>566</v>
      </c>
      <c r="AF90" s="4" t="s">
        <v>568</v>
      </c>
      <c r="AH90" s="4" t="s">
        <v>568</v>
      </c>
      <c r="AI90" s="4" t="s">
        <v>569</v>
      </c>
      <c r="AJ90" s="4" t="s">
        <v>570</v>
      </c>
      <c r="AK90" s="4" t="s">
        <v>571</v>
      </c>
      <c r="AL90" s="4" t="s">
        <v>572</v>
      </c>
      <c r="AN90" s="4" t="str">
        <f t="shared" si="13"/>
        <v>1</v>
      </c>
      <c r="AO90" s="4" t="s">
        <v>583</v>
      </c>
      <c r="AP90" s="4" t="s">
        <v>584</v>
      </c>
      <c r="AQ90" s="4" t="s">
        <v>575</v>
      </c>
      <c r="AR90" s="4" t="str">
        <f>"1.8000"</f>
        <v>1.8000</v>
      </c>
      <c r="AS90" s="4" t="str">
        <f>"11.59"</f>
        <v>11.59</v>
      </c>
      <c r="AT90" s="4" t="s">
        <v>585</v>
      </c>
      <c r="AU90" s="4" t="str">
        <f>"11.59"</f>
        <v>11.59</v>
      </c>
      <c r="AV90" s="4">
        <v>1</v>
      </c>
      <c r="AW90" s="4">
        <v>0</v>
      </c>
      <c r="AX90" s="4">
        <v>0</v>
      </c>
      <c r="AY90" s="4">
        <v>1</v>
      </c>
      <c r="AZ90" s="4">
        <v>0</v>
      </c>
      <c r="BA90" s="4">
        <v>4</v>
      </c>
      <c r="BB90" s="4">
        <v>4</v>
      </c>
      <c r="BC90" s="4">
        <v>4</v>
      </c>
      <c r="BD90" s="4">
        <v>0</v>
      </c>
    </row>
    <row r="91" spans="1:56" x14ac:dyDescent="0.2">
      <c r="A91" s="4" t="s">
        <v>558</v>
      </c>
      <c r="B91" s="4" t="s">
        <v>559</v>
      </c>
      <c r="C91" s="4" t="s">
        <v>560</v>
      </c>
      <c r="D91" s="4" t="s">
        <v>445</v>
      </c>
      <c r="E91" s="4" t="s">
        <v>561</v>
      </c>
      <c r="F91" s="4" t="s">
        <v>559</v>
      </c>
      <c r="G91" s="4" t="s">
        <v>562</v>
      </c>
      <c r="H91" s="4" t="s">
        <v>445</v>
      </c>
      <c r="I91" s="4" t="str">
        <f t="shared" si="12"/>
        <v>1010</v>
      </c>
      <c r="J91" s="4" t="s">
        <v>444</v>
      </c>
      <c r="K91" s="4" t="s">
        <v>443</v>
      </c>
      <c r="L91" s="4" t="s">
        <v>444</v>
      </c>
      <c r="M91" s="4" t="s">
        <v>445</v>
      </c>
      <c r="N91" s="4" t="s">
        <v>658</v>
      </c>
      <c r="O91" s="4" t="s">
        <v>659</v>
      </c>
      <c r="P91" s="4" t="s">
        <v>563</v>
      </c>
      <c r="Q91" s="4" t="str">
        <f>"8088218352"</f>
        <v>8088218352</v>
      </c>
      <c r="S91" s="4" t="str">
        <f>"00880882183523"</f>
        <v>00880882183523</v>
      </c>
      <c r="T91" s="24">
        <v>41306</v>
      </c>
      <c r="U91" s="24">
        <v>41306</v>
      </c>
      <c r="V91" s="24">
        <v>1</v>
      </c>
      <c r="W91" s="4" t="str">
        <f>"8088218352"</f>
        <v>8088218352</v>
      </c>
      <c r="X91" s="4" t="s">
        <v>563</v>
      </c>
      <c r="Y91" s="4" t="str">
        <f t="shared" si="14"/>
        <v>1010</v>
      </c>
      <c r="Z91" s="4" t="str">
        <f>"11"</f>
        <v>11</v>
      </c>
      <c r="AA91" s="4" t="s">
        <v>93</v>
      </c>
      <c r="AB91" s="4" t="s">
        <v>564</v>
      </c>
      <c r="AC91" s="4" t="s">
        <v>563</v>
      </c>
      <c r="AD91" s="4" t="s">
        <v>565</v>
      </c>
      <c r="AE91" s="4" t="s">
        <v>566</v>
      </c>
      <c r="AF91" s="4" t="s">
        <v>567</v>
      </c>
      <c r="AH91" s="4" t="s">
        <v>568</v>
      </c>
      <c r="AI91" s="4" t="s">
        <v>569</v>
      </c>
      <c r="AJ91" s="4" t="s">
        <v>570</v>
      </c>
      <c r="AK91" s="4" t="s">
        <v>577</v>
      </c>
      <c r="AL91" s="4" t="s">
        <v>578</v>
      </c>
      <c r="AN91" s="4" t="str">
        <f t="shared" si="13"/>
        <v>1</v>
      </c>
      <c r="AO91" s="4" t="s">
        <v>606</v>
      </c>
      <c r="AP91" s="4" t="s">
        <v>584</v>
      </c>
      <c r="AQ91" s="4" t="s">
        <v>575</v>
      </c>
      <c r="AR91" s="4" t="str">
        <f t="shared" ref="AR91:AR99" si="15">".7500"</f>
        <v>.7500</v>
      </c>
      <c r="AS91" s="4" t="str">
        <f>"9.07"</f>
        <v>9.07</v>
      </c>
      <c r="AT91" s="4" t="s">
        <v>607</v>
      </c>
      <c r="AU91" s="4" t="str">
        <f>"9.07"</f>
        <v>9.07</v>
      </c>
      <c r="AV91" s="4">
        <v>272</v>
      </c>
      <c r="AW91" s="4">
        <v>-692</v>
      </c>
      <c r="AX91" s="4">
        <v>-6110.19</v>
      </c>
      <c r="AY91" s="4">
        <v>-420</v>
      </c>
      <c r="AZ91" s="4">
        <v>234.06</v>
      </c>
      <c r="BA91" s="4">
        <v>2462.4899999999998</v>
      </c>
      <c r="BB91" s="4">
        <v>-3881.76</v>
      </c>
      <c r="BC91" s="4">
        <v>2228.4299999999998</v>
      </c>
      <c r="BD91" s="4">
        <v>0</v>
      </c>
    </row>
    <row r="92" spans="1:56" x14ac:dyDescent="0.2">
      <c r="A92" s="4" t="s">
        <v>558</v>
      </c>
      <c r="B92" s="4" t="s">
        <v>559</v>
      </c>
      <c r="C92" s="4" t="s">
        <v>560</v>
      </c>
      <c r="D92" s="4" t="s">
        <v>445</v>
      </c>
      <c r="E92" s="4" t="s">
        <v>561</v>
      </c>
      <c r="F92" s="4" t="s">
        <v>559</v>
      </c>
      <c r="G92" s="4" t="s">
        <v>562</v>
      </c>
      <c r="H92" s="4" t="s">
        <v>445</v>
      </c>
      <c r="I92" s="4" t="str">
        <f t="shared" si="12"/>
        <v>1010</v>
      </c>
      <c r="J92" s="4" t="s">
        <v>444</v>
      </c>
      <c r="K92" s="4" t="s">
        <v>443</v>
      </c>
      <c r="L92" s="4" t="s">
        <v>444</v>
      </c>
      <c r="M92" s="4" t="s">
        <v>445</v>
      </c>
      <c r="N92" s="4" t="s">
        <v>658</v>
      </c>
      <c r="O92" s="4" t="s">
        <v>659</v>
      </c>
      <c r="P92" s="4" t="s">
        <v>563</v>
      </c>
      <c r="Q92" s="4" t="str">
        <f>"8088218352"</f>
        <v>8088218352</v>
      </c>
      <c r="S92" s="4" t="str">
        <f>"00880882183523"</f>
        <v>00880882183523</v>
      </c>
      <c r="T92" s="24">
        <v>41306</v>
      </c>
      <c r="U92" s="24">
        <v>41306</v>
      </c>
      <c r="V92" s="24">
        <v>1</v>
      </c>
      <c r="W92" s="4" t="str">
        <f>"8088218352"</f>
        <v>8088218352</v>
      </c>
      <c r="X92" s="4" t="s">
        <v>563</v>
      </c>
      <c r="Y92" s="4" t="str">
        <f t="shared" si="14"/>
        <v>1010</v>
      </c>
      <c r="Z92" s="4" t="str">
        <f>"53"</f>
        <v>53</v>
      </c>
      <c r="AA92" s="4" t="s">
        <v>93</v>
      </c>
      <c r="AB92" s="4" t="s">
        <v>564</v>
      </c>
      <c r="AC92" s="4" t="s">
        <v>563</v>
      </c>
      <c r="AD92" s="4" t="s">
        <v>565</v>
      </c>
      <c r="AE92" s="4" t="s">
        <v>566</v>
      </c>
      <c r="AF92" s="4" t="s">
        <v>568</v>
      </c>
      <c r="AH92" s="4" t="s">
        <v>568</v>
      </c>
      <c r="AI92" s="4" t="s">
        <v>569</v>
      </c>
      <c r="AJ92" s="4" t="s">
        <v>570</v>
      </c>
      <c r="AK92" s="4" t="s">
        <v>577</v>
      </c>
      <c r="AL92" s="4" t="s">
        <v>578</v>
      </c>
      <c r="AN92" s="4" t="str">
        <f t="shared" si="13"/>
        <v>1</v>
      </c>
      <c r="AO92" s="4" t="s">
        <v>606</v>
      </c>
      <c r="AP92" s="4" t="s">
        <v>584</v>
      </c>
      <c r="AQ92" s="4" t="s">
        <v>575</v>
      </c>
      <c r="AR92" s="4" t="str">
        <f t="shared" si="15"/>
        <v>.7500</v>
      </c>
      <c r="AS92" s="4" t="str">
        <f>"9.07"</f>
        <v>9.07</v>
      </c>
      <c r="AT92" s="4" t="s">
        <v>607</v>
      </c>
      <c r="AU92" s="4" t="str">
        <f>"9.07"</f>
        <v>9.07</v>
      </c>
      <c r="AV92" s="4">
        <v>3024</v>
      </c>
      <c r="AW92" s="4">
        <v>0</v>
      </c>
      <c r="AX92" s="4">
        <v>0</v>
      </c>
      <c r="AY92" s="4">
        <v>3024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</row>
    <row r="93" spans="1:56" x14ac:dyDescent="0.2">
      <c r="A93" s="4" t="s">
        <v>558</v>
      </c>
      <c r="B93" s="4" t="s">
        <v>559</v>
      </c>
      <c r="C93" s="4" t="s">
        <v>560</v>
      </c>
      <c r="D93" s="4" t="s">
        <v>445</v>
      </c>
      <c r="E93" s="4" t="s">
        <v>561</v>
      </c>
      <c r="F93" s="4" t="s">
        <v>559</v>
      </c>
      <c r="G93" s="4" t="s">
        <v>562</v>
      </c>
      <c r="H93" s="4" t="s">
        <v>445</v>
      </c>
      <c r="I93" s="4" t="str">
        <f t="shared" si="12"/>
        <v>1010</v>
      </c>
      <c r="J93" s="4" t="s">
        <v>444</v>
      </c>
      <c r="K93" s="4" t="s">
        <v>443</v>
      </c>
      <c r="L93" s="4" t="s">
        <v>444</v>
      </c>
      <c r="M93" s="4" t="s">
        <v>445</v>
      </c>
      <c r="N93" s="4" t="s">
        <v>660</v>
      </c>
      <c r="O93" s="4" t="s">
        <v>661</v>
      </c>
      <c r="P93" s="4" t="s">
        <v>563</v>
      </c>
      <c r="Q93" s="4" t="str">
        <f>"8088216302"</f>
        <v>8088216302</v>
      </c>
      <c r="S93" s="4" t="str">
        <f>"00880882163020"</f>
        <v>00880882163020</v>
      </c>
      <c r="T93" s="24">
        <v>39703</v>
      </c>
      <c r="U93" s="24">
        <v>39703</v>
      </c>
      <c r="V93" s="24">
        <v>1</v>
      </c>
      <c r="W93" s="4" t="str">
        <f>"8088216302"</f>
        <v>8088216302</v>
      </c>
      <c r="X93" s="4" t="s">
        <v>563</v>
      </c>
      <c r="Y93" s="4" t="str">
        <f t="shared" si="14"/>
        <v>1010</v>
      </c>
      <c r="Z93" s="4" t="str">
        <f t="shared" ref="Z93:Z101" si="16">"11"</f>
        <v>11</v>
      </c>
      <c r="AA93" s="4" t="s">
        <v>93</v>
      </c>
      <c r="AB93" s="4" t="s">
        <v>564</v>
      </c>
      <c r="AC93" s="4" t="s">
        <v>563</v>
      </c>
      <c r="AD93" s="4" t="s">
        <v>640</v>
      </c>
      <c r="AE93" s="4" t="s">
        <v>641</v>
      </c>
      <c r="AF93" s="4" t="s">
        <v>567</v>
      </c>
      <c r="AH93" s="4" t="s">
        <v>568</v>
      </c>
      <c r="AI93" s="4" t="s">
        <v>569</v>
      </c>
      <c r="AJ93" s="4" t="s">
        <v>570</v>
      </c>
      <c r="AK93" s="4" t="s">
        <v>577</v>
      </c>
      <c r="AL93" s="4" t="s">
        <v>578</v>
      </c>
      <c r="AN93" s="4" t="str">
        <f t="shared" si="13"/>
        <v>1</v>
      </c>
      <c r="AO93" s="4" t="s">
        <v>579</v>
      </c>
      <c r="AP93" s="4" t="s">
        <v>574</v>
      </c>
      <c r="AQ93" s="4" t="s">
        <v>580</v>
      </c>
      <c r="AR93" s="4" t="str">
        <f t="shared" si="15"/>
        <v>.7500</v>
      </c>
      <c r="AS93" s="4" t="str">
        <f>"7.50"</f>
        <v>7.50</v>
      </c>
      <c r="AT93" s="4" t="s">
        <v>581</v>
      </c>
      <c r="AU93" s="4" t="str">
        <f>"7.50"</f>
        <v>7.50</v>
      </c>
      <c r="AV93" s="4">
        <v>30</v>
      </c>
      <c r="AW93" s="4">
        <v>-6</v>
      </c>
      <c r="AX93" s="4">
        <v>-42.9</v>
      </c>
      <c r="AY93" s="4">
        <v>24</v>
      </c>
      <c r="AZ93" s="4">
        <v>23.31</v>
      </c>
      <c r="BA93" s="4">
        <v>224.09</v>
      </c>
      <c r="BB93" s="4">
        <v>157.88</v>
      </c>
      <c r="BC93" s="4">
        <v>200.78</v>
      </c>
      <c r="BD93" s="4">
        <v>0</v>
      </c>
    </row>
    <row r="94" spans="1:56" x14ac:dyDescent="0.2">
      <c r="A94" s="4" t="s">
        <v>558</v>
      </c>
      <c r="B94" s="4" t="s">
        <v>559</v>
      </c>
      <c r="C94" s="4" t="s">
        <v>560</v>
      </c>
      <c r="D94" s="4" t="s">
        <v>445</v>
      </c>
      <c r="E94" s="4" t="s">
        <v>561</v>
      </c>
      <c r="F94" s="4" t="s">
        <v>559</v>
      </c>
      <c r="G94" s="4" t="s">
        <v>562</v>
      </c>
      <c r="H94" s="4" t="s">
        <v>445</v>
      </c>
      <c r="I94" s="4" t="str">
        <f t="shared" si="12"/>
        <v>1010</v>
      </c>
      <c r="J94" s="4" t="s">
        <v>444</v>
      </c>
      <c r="K94" s="4" t="s">
        <v>443</v>
      </c>
      <c r="L94" s="4" t="s">
        <v>444</v>
      </c>
      <c r="M94" s="4" t="s">
        <v>445</v>
      </c>
      <c r="N94" s="4" t="s">
        <v>660</v>
      </c>
      <c r="O94" s="4" t="s">
        <v>662</v>
      </c>
      <c r="P94" s="4" t="s">
        <v>563</v>
      </c>
      <c r="Q94" s="4" t="str">
        <f>"8088215192"</f>
        <v>8088215192</v>
      </c>
      <c r="S94" s="4" t="str">
        <f>"00880882151928"</f>
        <v>00880882151928</v>
      </c>
      <c r="T94" s="24">
        <v>38065</v>
      </c>
      <c r="U94" s="24">
        <v>38065</v>
      </c>
      <c r="V94" s="24">
        <v>1</v>
      </c>
      <c r="W94" s="4" t="str">
        <f>"8088215192"</f>
        <v>8088215192</v>
      </c>
      <c r="X94" s="4" t="s">
        <v>563</v>
      </c>
      <c r="Y94" s="4" t="str">
        <f t="shared" si="14"/>
        <v>1010</v>
      </c>
      <c r="Z94" s="4" t="str">
        <f t="shared" si="16"/>
        <v>11</v>
      </c>
      <c r="AA94" s="4" t="s">
        <v>93</v>
      </c>
      <c r="AB94" s="4" t="s">
        <v>564</v>
      </c>
      <c r="AC94" s="4" t="s">
        <v>563</v>
      </c>
      <c r="AD94" s="4" t="s">
        <v>640</v>
      </c>
      <c r="AE94" s="4" t="s">
        <v>641</v>
      </c>
      <c r="AF94" s="4" t="s">
        <v>567</v>
      </c>
      <c r="AH94" s="4" t="s">
        <v>568</v>
      </c>
      <c r="AI94" s="4" t="s">
        <v>569</v>
      </c>
      <c r="AJ94" s="4" t="s">
        <v>570</v>
      </c>
      <c r="AK94" s="4" t="s">
        <v>577</v>
      </c>
      <c r="AL94" s="4" t="s">
        <v>578</v>
      </c>
      <c r="AN94" s="4" t="str">
        <f t="shared" si="13"/>
        <v>1</v>
      </c>
      <c r="AO94" s="4" t="s">
        <v>579</v>
      </c>
      <c r="AP94" s="4" t="s">
        <v>574</v>
      </c>
      <c r="AQ94" s="4" t="s">
        <v>580</v>
      </c>
      <c r="AR94" s="4" t="str">
        <f t="shared" si="15"/>
        <v>.7500</v>
      </c>
      <c r="AS94" s="4" t="str">
        <f>"7.50"</f>
        <v>7.50</v>
      </c>
      <c r="AT94" s="4" t="s">
        <v>581</v>
      </c>
      <c r="AU94" s="4" t="str">
        <f>"7.50"</f>
        <v>7.50</v>
      </c>
      <c r="AV94" s="4">
        <v>3</v>
      </c>
      <c r="AW94" s="4">
        <v>-2</v>
      </c>
      <c r="AX94" s="4">
        <v>-14.3</v>
      </c>
      <c r="AY94" s="4">
        <v>1</v>
      </c>
      <c r="AZ94" s="4">
        <v>2.59</v>
      </c>
      <c r="BA94" s="4">
        <v>22.51</v>
      </c>
      <c r="BB94" s="4">
        <v>5.62</v>
      </c>
      <c r="BC94" s="4">
        <v>19.920000000000002</v>
      </c>
      <c r="BD94" s="4">
        <v>0</v>
      </c>
    </row>
    <row r="95" spans="1:56" x14ac:dyDescent="0.2">
      <c r="A95" s="4" t="s">
        <v>558</v>
      </c>
      <c r="B95" s="4" t="s">
        <v>559</v>
      </c>
      <c r="C95" s="4" t="s">
        <v>560</v>
      </c>
      <c r="D95" s="4" t="s">
        <v>445</v>
      </c>
      <c r="E95" s="4" t="s">
        <v>561</v>
      </c>
      <c r="F95" s="4" t="s">
        <v>559</v>
      </c>
      <c r="G95" s="4" t="s">
        <v>562</v>
      </c>
      <c r="H95" s="4" t="s">
        <v>445</v>
      </c>
      <c r="I95" s="4" t="str">
        <f t="shared" si="12"/>
        <v>1010</v>
      </c>
      <c r="J95" s="4" t="s">
        <v>444</v>
      </c>
      <c r="K95" s="4" t="s">
        <v>443</v>
      </c>
      <c r="L95" s="4" t="s">
        <v>444</v>
      </c>
      <c r="M95" s="4" t="s">
        <v>445</v>
      </c>
      <c r="N95" s="4" t="s">
        <v>663</v>
      </c>
      <c r="O95" s="4" t="s">
        <v>449</v>
      </c>
      <c r="P95" s="4" t="s">
        <v>563</v>
      </c>
      <c r="Q95" s="4" t="str">
        <f>"8088217032"</f>
        <v>8088217032</v>
      </c>
      <c r="S95" s="4" t="str">
        <f>"00880882170325"</f>
        <v>00880882170325</v>
      </c>
      <c r="T95" s="24">
        <v>40270</v>
      </c>
      <c r="U95" s="24">
        <v>40270</v>
      </c>
      <c r="V95" s="24">
        <v>1</v>
      </c>
      <c r="W95" s="4" t="str">
        <f>"8088217032"</f>
        <v>8088217032</v>
      </c>
      <c r="X95" s="4" t="s">
        <v>563</v>
      </c>
      <c r="Y95" s="4" t="str">
        <f t="shared" si="14"/>
        <v>1010</v>
      </c>
      <c r="Z95" s="4" t="str">
        <f t="shared" si="16"/>
        <v>11</v>
      </c>
      <c r="AA95" s="4" t="s">
        <v>93</v>
      </c>
      <c r="AB95" s="4" t="s">
        <v>564</v>
      </c>
      <c r="AC95" s="4" t="s">
        <v>563</v>
      </c>
      <c r="AD95" s="4" t="s">
        <v>565</v>
      </c>
      <c r="AE95" s="4" t="s">
        <v>566</v>
      </c>
      <c r="AF95" s="4" t="s">
        <v>567</v>
      </c>
      <c r="AH95" s="4" t="s">
        <v>568</v>
      </c>
      <c r="AI95" s="4" t="s">
        <v>569</v>
      </c>
      <c r="AJ95" s="4" t="s">
        <v>570</v>
      </c>
      <c r="AK95" s="4" t="s">
        <v>577</v>
      </c>
      <c r="AL95" s="4" t="s">
        <v>578</v>
      </c>
      <c r="AN95" s="4" t="str">
        <f t="shared" si="13"/>
        <v>1</v>
      </c>
      <c r="AO95" s="4" t="s">
        <v>606</v>
      </c>
      <c r="AP95" s="4" t="s">
        <v>574</v>
      </c>
      <c r="AQ95" s="4" t="s">
        <v>575</v>
      </c>
      <c r="AR95" s="4" t="str">
        <f t="shared" si="15"/>
        <v>.7500</v>
      </c>
      <c r="AS95" s="4" t="str">
        <f>"9.07"</f>
        <v>9.07</v>
      </c>
      <c r="AT95" s="4" t="s">
        <v>607</v>
      </c>
      <c r="AU95" s="4" t="str">
        <f>"9.07"</f>
        <v>9.07</v>
      </c>
      <c r="AV95" s="4">
        <v>89</v>
      </c>
      <c r="AW95" s="4">
        <v>-10</v>
      </c>
      <c r="AX95" s="4">
        <v>-87.9</v>
      </c>
      <c r="AY95" s="4">
        <v>79</v>
      </c>
      <c r="AZ95" s="4">
        <v>50.08</v>
      </c>
      <c r="BA95" s="4">
        <v>798.27</v>
      </c>
      <c r="BB95" s="4">
        <v>660.29</v>
      </c>
      <c r="BC95" s="4">
        <v>748.19</v>
      </c>
      <c r="BD95" s="4">
        <v>0</v>
      </c>
    </row>
    <row r="96" spans="1:56" x14ac:dyDescent="0.2">
      <c r="A96" s="4" t="s">
        <v>558</v>
      </c>
      <c r="B96" s="4" t="s">
        <v>559</v>
      </c>
      <c r="C96" s="4" t="s">
        <v>560</v>
      </c>
      <c r="D96" s="4" t="s">
        <v>445</v>
      </c>
      <c r="E96" s="4" t="s">
        <v>561</v>
      </c>
      <c r="F96" s="4" t="s">
        <v>559</v>
      </c>
      <c r="G96" s="4" t="s">
        <v>562</v>
      </c>
      <c r="H96" s="4" t="s">
        <v>445</v>
      </c>
      <c r="I96" s="4" t="str">
        <f t="shared" si="12"/>
        <v>1010</v>
      </c>
      <c r="J96" s="4" t="s">
        <v>444</v>
      </c>
      <c r="K96" s="4" t="s">
        <v>443</v>
      </c>
      <c r="L96" s="4" t="s">
        <v>444</v>
      </c>
      <c r="M96" s="4" t="s">
        <v>445</v>
      </c>
      <c r="N96" s="4" t="s">
        <v>663</v>
      </c>
      <c r="O96" s="4" t="s">
        <v>457</v>
      </c>
      <c r="P96" s="4" t="s">
        <v>563</v>
      </c>
      <c r="Q96" s="4" t="str">
        <f>"8088217512"</f>
        <v>8088217512</v>
      </c>
      <c r="S96" s="4" t="str">
        <f>"00880882175122"</f>
        <v>00880882175122</v>
      </c>
      <c r="T96" s="24">
        <v>40739</v>
      </c>
      <c r="U96" s="24">
        <v>40739</v>
      </c>
      <c r="V96" s="24">
        <v>1</v>
      </c>
      <c r="W96" s="4" t="str">
        <f>"8088217512"</f>
        <v>8088217512</v>
      </c>
      <c r="X96" s="4" t="s">
        <v>563</v>
      </c>
      <c r="Y96" s="4" t="str">
        <f t="shared" si="14"/>
        <v>1010</v>
      </c>
      <c r="Z96" s="4" t="str">
        <f t="shared" si="16"/>
        <v>11</v>
      </c>
      <c r="AA96" s="4" t="s">
        <v>93</v>
      </c>
      <c r="AB96" s="4" t="s">
        <v>564</v>
      </c>
      <c r="AC96" s="4" t="s">
        <v>563</v>
      </c>
      <c r="AD96" s="4" t="s">
        <v>565</v>
      </c>
      <c r="AE96" s="4" t="s">
        <v>566</v>
      </c>
      <c r="AF96" s="4" t="s">
        <v>567</v>
      </c>
      <c r="AH96" s="4" t="s">
        <v>568</v>
      </c>
      <c r="AI96" s="4" t="s">
        <v>569</v>
      </c>
      <c r="AJ96" s="4" t="s">
        <v>570</v>
      </c>
      <c r="AK96" s="4" t="s">
        <v>577</v>
      </c>
      <c r="AL96" s="4" t="s">
        <v>578</v>
      </c>
      <c r="AN96" s="4" t="str">
        <f>"3"</f>
        <v>3</v>
      </c>
      <c r="AO96" s="4" t="s">
        <v>645</v>
      </c>
      <c r="AP96" s="4" t="s">
        <v>574</v>
      </c>
      <c r="AQ96" s="4" t="s">
        <v>575</v>
      </c>
      <c r="AR96" s="4" t="str">
        <f t="shared" si="15"/>
        <v>.7500</v>
      </c>
      <c r="AS96" s="4" t="str">
        <f>"10.32"</f>
        <v>10.32</v>
      </c>
      <c r="AT96" s="4" t="s">
        <v>646</v>
      </c>
      <c r="AU96" s="4" t="str">
        <f>"10.32"</f>
        <v>10.32</v>
      </c>
      <c r="AV96" s="4">
        <v>210</v>
      </c>
      <c r="AW96" s="4">
        <v>-11</v>
      </c>
      <c r="AX96" s="4">
        <v>-109.67</v>
      </c>
      <c r="AY96" s="4">
        <v>199</v>
      </c>
      <c r="AZ96" s="4">
        <v>142.38</v>
      </c>
      <c r="BA96" s="4">
        <v>2163.14</v>
      </c>
      <c r="BB96" s="4">
        <v>1911.09</v>
      </c>
      <c r="BC96" s="4">
        <v>2020.76</v>
      </c>
      <c r="BD96" s="4">
        <v>0</v>
      </c>
    </row>
    <row r="97" spans="1:56" x14ac:dyDescent="0.2">
      <c r="A97" s="4" t="s">
        <v>558</v>
      </c>
      <c r="B97" s="4" t="s">
        <v>559</v>
      </c>
      <c r="C97" s="4" t="s">
        <v>560</v>
      </c>
      <c r="D97" s="4" t="s">
        <v>445</v>
      </c>
      <c r="E97" s="4" t="s">
        <v>561</v>
      </c>
      <c r="F97" s="4" t="s">
        <v>559</v>
      </c>
      <c r="G97" s="4" t="s">
        <v>562</v>
      </c>
      <c r="H97" s="4" t="s">
        <v>445</v>
      </c>
      <c r="I97" s="4" t="str">
        <f t="shared" si="12"/>
        <v>1010</v>
      </c>
      <c r="J97" s="4" t="s">
        <v>444</v>
      </c>
      <c r="K97" s="4" t="s">
        <v>443</v>
      </c>
      <c r="L97" s="4" t="s">
        <v>444</v>
      </c>
      <c r="M97" s="4" t="s">
        <v>445</v>
      </c>
      <c r="N97" s="4" t="s">
        <v>664</v>
      </c>
      <c r="O97" s="4" t="s">
        <v>665</v>
      </c>
      <c r="P97" s="4" t="s">
        <v>563</v>
      </c>
      <c r="Q97" s="4" t="str">
        <f>"9102215052"</f>
        <v>9102215052</v>
      </c>
      <c r="S97" s="4" t="str">
        <f>"00791022150520"</f>
        <v>00791022150520</v>
      </c>
      <c r="T97" s="24">
        <v>37456</v>
      </c>
      <c r="U97" s="24">
        <v>37456</v>
      </c>
      <c r="V97" s="24">
        <v>1</v>
      </c>
      <c r="W97" s="4" t="str">
        <f>"9102215052"</f>
        <v>9102215052</v>
      </c>
      <c r="X97" s="4" t="s">
        <v>563</v>
      </c>
      <c r="Y97" s="4" t="str">
        <f t="shared" si="14"/>
        <v>1010</v>
      </c>
      <c r="Z97" s="4" t="str">
        <f t="shared" si="16"/>
        <v>11</v>
      </c>
      <c r="AA97" s="4" t="s">
        <v>93</v>
      </c>
      <c r="AB97" s="4" t="s">
        <v>564</v>
      </c>
      <c r="AC97" s="4" t="s">
        <v>563</v>
      </c>
      <c r="AD97" s="4" t="s">
        <v>565</v>
      </c>
      <c r="AE97" s="4" t="s">
        <v>566</v>
      </c>
      <c r="AF97" s="4" t="s">
        <v>567</v>
      </c>
      <c r="AH97" s="4" t="s">
        <v>568</v>
      </c>
      <c r="AI97" s="4" t="s">
        <v>569</v>
      </c>
      <c r="AJ97" s="4" t="s">
        <v>570</v>
      </c>
      <c r="AK97" s="4" t="s">
        <v>577</v>
      </c>
      <c r="AL97" s="4" t="s">
        <v>578</v>
      </c>
      <c r="AN97" s="4" t="str">
        <f t="shared" ref="AN97:AN106" si="17">"1"</f>
        <v>1</v>
      </c>
      <c r="AO97" s="4" t="s">
        <v>579</v>
      </c>
      <c r="AP97" s="4" t="s">
        <v>574</v>
      </c>
      <c r="AQ97" s="4" t="s">
        <v>580</v>
      </c>
      <c r="AR97" s="4" t="str">
        <f t="shared" si="15"/>
        <v>.7500</v>
      </c>
      <c r="AS97" s="4" t="str">
        <f>"7.50"</f>
        <v>7.50</v>
      </c>
      <c r="AT97" s="4" t="s">
        <v>581</v>
      </c>
      <c r="AU97" s="4" t="str">
        <f>"7.50"</f>
        <v>7.50</v>
      </c>
      <c r="AV97" s="4">
        <v>37</v>
      </c>
      <c r="AW97" s="4">
        <v>-2</v>
      </c>
      <c r="AX97" s="4">
        <v>-14.3</v>
      </c>
      <c r="AY97" s="4">
        <v>35</v>
      </c>
      <c r="AZ97" s="4">
        <v>0</v>
      </c>
      <c r="BA97" s="4">
        <v>277.5</v>
      </c>
      <c r="BB97" s="4">
        <v>263.2</v>
      </c>
      <c r="BC97" s="4">
        <v>277.5</v>
      </c>
      <c r="BD97" s="4">
        <v>0</v>
      </c>
    </row>
    <row r="98" spans="1:56" x14ac:dyDescent="0.2">
      <c r="A98" s="4" t="s">
        <v>558</v>
      </c>
      <c r="B98" s="4" t="s">
        <v>559</v>
      </c>
      <c r="C98" s="4" t="s">
        <v>560</v>
      </c>
      <c r="D98" s="4" t="s">
        <v>445</v>
      </c>
      <c r="E98" s="4" t="s">
        <v>561</v>
      </c>
      <c r="F98" s="4" t="s">
        <v>559</v>
      </c>
      <c r="G98" s="4" t="s">
        <v>562</v>
      </c>
      <c r="H98" s="4" t="s">
        <v>445</v>
      </c>
      <c r="I98" s="4" t="str">
        <f t="shared" si="12"/>
        <v>1010</v>
      </c>
      <c r="J98" s="4" t="s">
        <v>444</v>
      </c>
      <c r="K98" s="4" t="s">
        <v>443</v>
      </c>
      <c r="L98" s="4" t="s">
        <v>444</v>
      </c>
      <c r="M98" s="4" t="s">
        <v>445</v>
      </c>
      <c r="N98" s="4" t="s">
        <v>482</v>
      </c>
      <c r="O98" s="4" t="s">
        <v>666</v>
      </c>
      <c r="P98" s="4" t="s">
        <v>563</v>
      </c>
      <c r="Q98" s="4" t="str">
        <f>"8088218022"</f>
        <v>8088218022</v>
      </c>
      <c r="S98" s="4" t="str">
        <f>"00880882180225"</f>
        <v>00880882180225</v>
      </c>
      <c r="T98" s="24">
        <v>41124</v>
      </c>
      <c r="U98" s="24">
        <v>41124</v>
      </c>
      <c r="V98" s="24">
        <v>1</v>
      </c>
      <c r="W98" s="4" t="str">
        <f>"8088218022"</f>
        <v>8088218022</v>
      </c>
      <c r="X98" s="4" t="s">
        <v>563</v>
      </c>
      <c r="Y98" s="4" t="str">
        <f t="shared" si="14"/>
        <v>1010</v>
      </c>
      <c r="Z98" s="4" t="str">
        <f t="shared" si="16"/>
        <v>11</v>
      </c>
      <c r="AA98" s="4" t="s">
        <v>93</v>
      </c>
      <c r="AB98" s="4" t="s">
        <v>564</v>
      </c>
      <c r="AC98" s="4" t="s">
        <v>563</v>
      </c>
      <c r="AD98" s="4" t="s">
        <v>565</v>
      </c>
      <c r="AE98" s="4" t="s">
        <v>566</v>
      </c>
      <c r="AF98" s="4" t="s">
        <v>567</v>
      </c>
      <c r="AH98" s="4" t="s">
        <v>568</v>
      </c>
      <c r="AI98" s="4" t="s">
        <v>569</v>
      </c>
      <c r="AJ98" s="4" t="s">
        <v>570</v>
      </c>
      <c r="AK98" s="4" t="s">
        <v>577</v>
      </c>
      <c r="AL98" s="4" t="s">
        <v>578</v>
      </c>
      <c r="AN98" s="4" t="str">
        <f t="shared" si="17"/>
        <v>1</v>
      </c>
      <c r="AO98" s="4" t="s">
        <v>606</v>
      </c>
      <c r="AP98" s="4" t="s">
        <v>584</v>
      </c>
      <c r="AQ98" s="4" t="s">
        <v>575</v>
      </c>
      <c r="AR98" s="4" t="str">
        <f t="shared" si="15"/>
        <v>.7500</v>
      </c>
      <c r="AS98" s="4" t="str">
        <f>"9.07"</f>
        <v>9.07</v>
      </c>
      <c r="AT98" s="4" t="s">
        <v>607</v>
      </c>
      <c r="AU98" s="4" t="str">
        <f>"9.07"</f>
        <v>9.07</v>
      </c>
      <c r="AV98" s="4">
        <v>2</v>
      </c>
      <c r="AW98" s="4">
        <v>-13</v>
      </c>
      <c r="AX98" s="4">
        <v>-113.36</v>
      </c>
      <c r="AY98" s="4">
        <v>-11</v>
      </c>
      <c r="AZ98" s="4">
        <v>0</v>
      </c>
      <c r="BA98" s="4">
        <v>18.14</v>
      </c>
      <c r="BB98" s="4">
        <v>-95.22</v>
      </c>
      <c r="BC98" s="4">
        <v>18.14</v>
      </c>
      <c r="BD98" s="4">
        <v>0</v>
      </c>
    </row>
    <row r="99" spans="1:56" x14ac:dyDescent="0.2">
      <c r="A99" s="4" t="s">
        <v>558</v>
      </c>
      <c r="B99" s="4" t="s">
        <v>559</v>
      </c>
      <c r="C99" s="4" t="s">
        <v>560</v>
      </c>
      <c r="D99" s="4" t="s">
        <v>445</v>
      </c>
      <c r="E99" s="4" t="s">
        <v>561</v>
      </c>
      <c r="F99" s="4" t="s">
        <v>559</v>
      </c>
      <c r="G99" s="4" t="s">
        <v>562</v>
      </c>
      <c r="H99" s="4" t="s">
        <v>445</v>
      </c>
      <c r="I99" s="4" t="str">
        <f t="shared" si="12"/>
        <v>1010</v>
      </c>
      <c r="J99" s="4" t="s">
        <v>444</v>
      </c>
      <c r="K99" s="4" t="s">
        <v>443</v>
      </c>
      <c r="L99" s="4" t="s">
        <v>444</v>
      </c>
      <c r="M99" s="4" t="s">
        <v>445</v>
      </c>
      <c r="N99" s="4" t="s">
        <v>482</v>
      </c>
      <c r="O99" s="4" t="s">
        <v>667</v>
      </c>
      <c r="P99" s="4" t="s">
        <v>563</v>
      </c>
      <c r="Q99" s="4" t="str">
        <f>"8088218132"</f>
        <v>8088218132</v>
      </c>
      <c r="S99" s="4" t="str">
        <f>"00880882181321"</f>
        <v>00880882181321</v>
      </c>
      <c r="T99" s="24">
        <v>41124</v>
      </c>
      <c r="U99" s="24">
        <v>41124</v>
      </c>
      <c r="V99" s="24">
        <v>1</v>
      </c>
      <c r="W99" s="4" t="str">
        <f>"8088218132"</f>
        <v>8088218132</v>
      </c>
      <c r="X99" s="4" t="s">
        <v>563</v>
      </c>
      <c r="Y99" s="4" t="str">
        <f t="shared" si="14"/>
        <v>1010</v>
      </c>
      <c r="Z99" s="4" t="str">
        <f t="shared" si="16"/>
        <v>11</v>
      </c>
      <c r="AA99" s="4" t="s">
        <v>98</v>
      </c>
      <c r="AB99" s="4" t="s">
        <v>564</v>
      </c>
      <c r="AC99" s="4" t="s">
        <v>563</v>
      </c>
      <c r="AD99" s="4" t="s">
        <v>565</v>
      </c>
      <c r="AE99" s="4" t="s">
        <v>566</v>
      </c>
      <c r="AF99" s="4" t="s">
        <v>567</v>
      </c>
      <c r="AH99" s="4" t="s">
        <v>568</v>
      </c>
      <c r="AI99" s="4" t="s">
        <v>569</v>
      </c>
      <c r="AJ99" s="4" t="s">
        <v>570</v>
      </c>
      <c r="AK99" s="4" t="s">
        <v>577</v>
      </c>
      <c r="AL99" s="4" t="s">
        <v>578</v>
      </c>
      <c r="AN99" s="4" t="str">
        <f t="shared" si="17"/>
        <v>1</v>
      </c>
      <c r="AO99" s="4" t="s">
        <v>606</v>
      </c>
      <c r="AP99" s="4" t="s">
        <v>584</v>
      </c>
      <c r="AQ99" s="4" t="s">
        <v>575</v>
      </c>
      <c r="AR99" s="4" t="str">
        <f t="shared" si="15"/>
        <v>.7500</v>
      </c>
      <c r="AS99" s="4" t="str">
        <f>"9.07"</f>
        <v>9.07</v>
      </c>
      <c r="AT99" s="4" t="s">
        <v>607</v>
      </c>
      <c r="AU99" s="4" t="str">
        <f>"9.07"</f>
        <v>9.07</v>
      </c>
      <c r="AV99" s="4">
        <v>0</v>
      </c>
      <c r="AW99" s="4">
        <v>-14</v>
      </c>
      <c r="AX99" s="4">
        <v>-122.08</v>
      </c>
      <c r="AY99" s="4">
        <v>-14</v>
      </c>
      <c r="AZ99" s="4">
        <v>0</v>
      </c>
      <c r="BA99" s="4">
        <v>0</v>
      </c>
      <c r="BB99" s="4">
        <v>-122.08</v>
      </c>
      <c r="BC99" s="4">
        <v>0</v>
      </c>
      <c r="BD99" s="4">
        <v>0</v>
      </c>
    </row>
    <row r="100" spans="1:56" x14ac:dyDescent="0.2">
      <c r="A100" s="4" t="s">
        <v>558</v>
      </c>
      <c r="B100" s="4" t="s">
        <v>559</v>
      </c>
      <c r="C100" s="4" t="s">
        <v>560</v>
      </c>
      <c r="D100" s="4" t="s">
        <v>445</v>
      </c>
      <c r="E100" s="4" t="s">
        <v>561</v>
      </c>
      <c r="F100" s="4" t="s">
        <v>559</v>
      </c>
      <c r="G100" s="4" t="s">
        <v>562</v>
      </c>
      <c r="H100" s="4" t="s">
        <v>445</v>
      </c>
      <c r="I100" s="4" t="str">
        <f t="shared" si="12"/>
        <v>1010</v>
      </c>
      <c r="J100" s="4" t="s">
        <v>444</v>
      </c>
      <c r="K100" s="4" t="s">
        <v>443</v>
      </c>
      <c r="L100" s="4" t="s">
        <v>444</v>
      </c>
      <c r="M100" s="4" t="s">
        <v>445</v>
      </c>
      <c r="N100" s="4" t="s">
        <v>668</v>
      </c>
      <c r="O100" s="4" t="s">
        <v>456</v>
      </c>
      <c r="P100" s="4" t="s">
        <v>563</v>
      </c>
      <c r="Q100" s="4" t="str">
        <f>"8088218491"</f>
        <v>8088218491</v>
      </c>
      <c r="S100" s="4" t="str">
        <f>"00880882184919"</f>
        <v>00880882184919</v>
      </c>
      <c r="T100" s="24">
        <v>41376</v>
      </c>
      <c r="U100" s="24">
        <v>41376</v>
      </c>
      <c r="V100" s="24">
        <v>1</v>
      </c>
      <c r="W100" s="4" t="str">
        <f>"8088218491"</f>
        <v>8088218491</v>
      </c>
      <c r="X100" s="4" t="s">
        <v>563</v>
      </c>
      <c r="Y100" s="4" t="str">
        <f t="shared" si="14"/>
        <v>1010</v>
      </c>
      <c r="Z100" s="4" t="str">
        <f t="shared" si="16"/>
        <v>11</v>
      </c>
      <c r="AA100" s="4" t="s">
        <v>93</v>
      </c>
      <c r="AB100" s="4" t="s">
        <v>564</v>
      </c>
      <c r="AC100" s="4" t="s">
        <v>563</v>
      </c>
      <c r="AD100" s="4" t="s">
        <v>565</v>
      </c>
      <c r="AE100" s="4" t="s">
        <v>566</v>
      </c>
      <c r="AF100" s="4" t="s">
        <v>567</v>
      </c>
      <c r="AH100" s="4" t="s">
        <v>568</v>
      </c>
      <c r="AI100" s="4" t="s">
        <v>569</v>
      </c>
      <c r="AJ100" s="4" t="s">
        <v>570</v>
      </c>
      <c r="AK100" s="4" t="s">
        <v>571</v>
      </c>
      <c r="AL100" s="4" t="s">
        <v>572</v>
      </c>
      <c r="AN100" s="4" t="str">
        <f t="shared" si="17"/>
        <v>1</v>
      </c>
      <c r="AO100" s="4" t="s">
        <v>573</v>
      </c>
      <c r="AP100" s="4" t="s">
        <v>584</v>
      </c>
      <c r="AQ100" s="4" t="s">
        <v>575</v>
      </c>
      <c r="AR100" s="4" t="str">
        <f>"1.8000"</f>
        <v>1.8000</v>
      </c>
      <c r="AS100" s="4" t="str">
        <f>"10.40"</f>
        <v>10.40</v>
      </c>
      <c r="AT100" s="4" t="s">
        <v>576</v>
      </c>
      <c r="AU100" s="4" t="str">
        <f>"10.40"</f>
        <v>10.40</v>
      </c>
      <c r="AV100" s="4">
        <v>12</v>
      </c>
      <c r="AW100" s="4">
        <v>0</v>
      </c>
      <c r="AX100" s="4">
        <v>0</v>
      </c>
      <c r="AY100" s="4">
        <v>12</v>
      </c>
      <c r="AZ100" s="4">
        <v>0</v>
      </c>
      <c r="BA100" s="4">
        <v>123.24</v>
      </c>
      <c r="BB100" s="4">
        <v>123.24</v>
      </c>
      <c r="BC100" s="4">
        <v>123.24</v>
      </c>
      <c r="BD100" s="4">
        <v>0</v>
      </c>
    </row>
    <row r="101" spans="1:56" x14ac:dyDescent="0.2">
      <c r="A101" s="4" t="s">
        <v>558</v>
      </c>
      <c r="B101" s="4" t="s">
        <v>559</v>
      </c>
      <c r="C101" s="4" t="s">
        <v>560</v>
      </c>
      <c r="D101" s="4" t="s">
        <v>445</v>
      </c>
      <c r="E101" s="4" t="s">
        <v>561</v>
      </c>
      <c r="F101" s="4" t="s">
        <v>559</v>
      </c>
      <c r="G101" s="4" t="s">
        <v>562</v>
      </c>
      <c r="H101" s="4" t="s">
        <v>445</v>
      </c>
      <c r="I101" s="4" t="str">
        <f t="shared" si="12"/>
        <v>1010</v>
      </c>
      <c r="J101" s="4" t="s">
        <v>444</v>
      </c>
      <c r="K101" s="4" t="s">
        <v>443</v>
      </c>
      <c r="L101" s="4" t="s">
        <v>444</v>
      </c>
      <c r="M101" s="4" t="s">
        <v>445</v>
      </c>
      <c r="N101" s="4" t="s">
        <v>668</v>
      </c>
      <c r="O101" s="4" t="s">
        <v>456</v>
      </c>
      <c r="P101" s="4" t="s">
        <v>563</v>
      </c>
      <c r="Q101" s="4" t="str">
        <f>"8088218492"</f>
        <v>8088218492</v>
      </c>
      <c r="S101" s="4" t="str">
        <f>"00880882184926"</f>
        <v>00880882184926</v>
      </c>
      <c r="T101" s="24">
        <v>41362</v>
      </c>
      <c r="U101" s="24">
        <v>41362</v>
      </c>
      <c r="V101" s="24">
        <v>1</v>
      </c>
      <c r="W101" s="4" t="str">
        <f>"8088218492"</f>
        <v>8088218492</v>
      </c>
      <c r="X101" s="4" t="s">
        <v>563</v>
      </c>
      <c r="Y101" s="4" t="str">
        <f t="shared" si="14"/>
        <v>1010</v>
      </c>
      <c r="Z101" s="4" t="str">
        <f t="shared" si="16"/>
        <v>11</v>
      </c>
      <c r="AA101" s="4" t="s">
        <v>93</v>
      </c>
      <c r="AB101" s="4" t="s">
        <v>564</v>
      </c>
      <c r="AC101" s="4" t="s">
        <v>563</v>
      </c>
      <c r="AD101" s="4" t="s">
        <v>565</v>
      </c>
      <c r="AE101" s="4" t="s">
        <v>566</v>
      </c>
      <c r="AF101" s="4" t="s">
        <v>567</v>
      </c>
      <c r="AH101" s="4" t="s">
        <v>568</v>
      </c>
      <c r="AI101" s="4" t="s">
        <v>569</v>
      </c>
      <c r="AJ101" s="4" t="s">
        <v>570</v>
      </c>
      <c r="AK101" s="4" t="s">
        <v>577</v>
      </c>
      <c r="AL101" s="4" t="s">
        <v>578</v>
      </c>
      <c r="AN101" s="4" t="str">
        <f t="shared" si="17"/>
        <v>1</v>
      </c>
      <c r="AO101" s="4" t="s">
        <v>579</v>
      </c>
      <c r="AP101" s="4" t="s">
        <v>584</v>
      </c>
      <c r="AQ101" s="4" t="s">
        <v>580</v>
      </c>
      <c r="AR101" s="4" t="str">
        <f t="shared" ref="AR101:AR106" si="18">".7500"</f>
        <v>.7500</v>
      </c>
      <c r="AS101" s="4" t="str">
        <f t="shared" ref="AS101:AS106" si="19">"7.50"</f>
        <v>7.50</v>
      </c>
      <c r="AT101" s="4" t="s">
        <v>581</v>
      </c>
      <c r="AU101" s="4" t="str">
        <f t="shared" ref="AU101:AU106" si="20">"7.50"</f>
        <v>7.50</v>
      </c>
      <c r="AV101" s="4">
        <v>206</v>
      </c>
      <c r="AW101" s="4">
        <v>-184</v>
      </c>
      <c r="AX101" s="4">
        <v>-1308.0999999999999</v>
      </c>
      <c r="AY101" s="4">
        <v>22</v>
      </c>
      <c r="AZ101" s="4">
        <v>77.650000000000006</v>
      </c>
      <c r="BA101" s="4">
        <v>1540.25</v>
      </c>
      <c r="BB101" s="4">
        <v>154.5</v>
      </c>
      <c r="BC101" s="4">
        <v>1462.6</v>
      </c>
      <c r="BD101" s="4">
        <v>0</v>
      </c>
    </row>
    <row r="102" spans="1:56" x14ac:dyDescent="0.2">
      <c r="A102" s="4" t="s">
        <v>558</v>
      </c>
      <c r="B102" s="4" t="s">
        <v>559</v>
      </c>
      <c r="C102" s="4" t="s">
        <v>560</v>
      </c>
      <c r="D102" s="4" t="s">
        <v>445</v>
      </c>
      <c r="E102" s="4" t="s">
        <v>561</v>
      </c>
      <c r="F102" s="4" t="s">
        <v>559</v>
      </c>
      <c r="G102" s="4" t="s">
        <v>562</v>
      </c>
      <c r="H102" s="4" t="s">
        <v>445</v>
      </c>
      <c r="I102" s="4" t="str">
        <f t="shared" si="12"/>
        <v>1010</v>
      </c>
      <c r="J102" s="4" t="s">
        <v>444</v>
      </c>
      <c r="K102" s="4" t="s">
        <v>443</v>
      </c>
      <c r="L102" s="4" t="s">
        <v>444</v>
      </c>
      <c r="M102" s="4" t="s">
        <v>445</v>
      </c>
      <c r="N102" s="4" t="s">
        <v>668</v>
      </c>
      <c r="O102" s="4" t="s">
        <v>456</v>
      </c>
      <c r="P102" s="4" t="s">
        <v>563</v>
      </c>
      <c r="Q102" s="4" t="str">
        <f>"8088218492"</f>
        <v>8088218492</v>
      </c>
      <c r="S102" s="4" t="str">
        <f>"00880882184926"</f>
        <v>00880882184926</v>
      </c>
      <c r="T102" s="24">
        <v>41362</v>
      </c>
      <c r="U102" s="24">
        <v>41362</v>
      </c>
      <c r="V102" s="24">
        <v>1</v>
      </c>
      <c r="W102" s="4" t="str">
        <f>"8088218492"</f>
        <v>8088218492</v>
      </c>
      <c r="X102" s="4" t="s">
        <v>563</v>
      </c>
      <c r="Y102" s="4" t="str">
        <f t="shared" si="14"/>
        <v>1010</v>
      </c>
      <c r="Z102" s="4" t="str">
        <f>"53"</f>
        <v>53</v>
      </c>
      <c r="AA102" s="4" t="s">
        <v>93</v>
      </c>
      <c r="AB102" s="4" t="s">
        <v>564</v>
      </c>
      <c r="AC102" s="4" t="s">
        <v>563</v>
      </c>
      <c r="AD102" s="4" t="s">
        <v>565</v>
      </c>
      <c r="AE102" s="4" t="s">
        <v>566</v>
      </c>
      <c r="AF102" s="4" t="s">
        <v>568</v>
      </c>
      <c r="AH102" s="4" t="s">
        <v>568</v>
      </c>
      <c r="AI102" s="4" t="s">
        <v>569</v>
      </c>
      <c r="AJ102" s="4" t="s">
        <v>570</v>
      </c>
      <c r="AK102" s="4" t="s">
        <v>577</v>
      </c>
      <c r="AL102" s="4" t="s">
        <v>578</v>
      </c>
      <c r="AN102" s="4" t="str">
        <f t="shared" si="17"/>
        <v>1</v>
      </c>
      <c r="AO102" s="4" t="s">
        <v>579</v>
      </c>
      <c r="AP102" s="4" t="s">
        <v>584</v>
      </c>
      <c r="AQ102" s="4" t="s">
        <v>580</v>
      </c>
      <c r="AR102" s="4" t="str">
        <f t="shared" si="18"/>
        <v>.7500</v>
      </c>
      <c r="AS102" s="4" t="str">
        <f t="shared" si="19"/>
        <v>7.50</v>
      </c>
      <c r="AT102" s="4" t="s">
        <v>581</v>
      </c>
      <c r="AU102" s="4" t="str">
        <f t="shared" si="20"/>
        <v>7.50</v>
      </c>
      <c r="AV102" s="4">
        <v>20</v>
      </c>
      <c r="AW102" s="4">
        <v>0</v>
      </c>
      <c r="AX102" s="4">
        <v>0</v>
      </c>
      <c r="AY102" s="4">
        <v>20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</row>
    <row r="103" spans="1:56" x14ac:dyDescent="0.2">
      <c r="A103" s="4" t="s">
        <v>558</v>
      </c>
      <c r="B103" s="4" t="s">
        <v>559</v>
      </c>
      <c r="C103" s="4" t="s">
        <v>560</v>
      </c>
      <c r="D103" s="4" t="s">
        <v>445</v>
      </c>
      <c r="E103" s="4" t="s">
        <v>561</v>
      </c>
      <c r="F103" s="4" t="s">
        <v>559</v>
      </c>
      <c r="G103" s="4" t="s">
        <v>562</v>
      </c>
      <c r="H103" s="4" t="s">
        <v>445</v>
      </c>
      <c r="I103" s="4" t="str">
        <f t="shared" si="12"/>
        <v>1010</v>
      </c>
      <c r="J103" s="4" t="s">
        <v>444</v>
      </c>
      <c r="K103" s="4" t="s">
        <v>443</v>
      </c>
      <c r="L103" s="4" t="s">
        <v>444</v>
      </c>
      <c r="M103" s="4" t="s">
        <v>445</v>
      </c>
      <c r="N103" s="4" t="s">
        <v>669</v>
      </c>
      <c r="O103" s="4" t="s">
        <v>670</v>
      </c>
      <c r="P103" s="4" t="s">
        <v>563</v>
      </c>
      <c r="Q103" s="4" t="s">
        <v>671</v>
      </c>
      <c r="S103" s="4" t="str">
        <f>"00880882155926"</f>
        <v>00880882155926</v>
      </c>
      <c r="T103" s="24">
        <v>38975</v>
      </c>
      <c r="U103" s="24">
        <v>38975</v>
      </c>
      <c r="V103" s="24">
        <v>1</v>
      </c>
      <c r="W103" s="4" t="s">
        <v>671</v>
      </c>
      <c r="X103" s="4" t="s">
        <v>563</v>
      </c>
      <c r="Y103" s="4" t="str">
        <f t="shared" si="14"/>
        <v>1010</v>
      </c>
      <c r="Z103" s="4" t="str">
        <f t="shared" ref="Z103:Z122" si="21">"11"</f>
        <v>11</v>
      </c>
      <c r="AA103" s="4" t="s">
        <v>93</v>
      </c>
      <c r="AB103" s="4" t="s">
        <v>564</v>
      </c>
      <c r="AC103" s="4" t="s">
        <v>563</v>
      </c>
      <c r="AD103" s="4" t="s">
        <v>565</v>
      </c>
      <c r="AE103" s="4" t="s">
        <v>566</v>
      </c>
      <c r="AF103" s="4" t="s">
        <v>567</v>
      </c>
      <c r="AH103" s="4" t="s">
        <v>568</v>
      </c>
      <c r="AI103" s="4" t="s">
        <v>569</v>
      </c>
      <c r="AJ103" s="4" t="s">
        <v>570</v>
      </c>
      <c r="AK103" s="4" t="s">
        <v>577</v>
      </c>
      <c r="AL103" s="4" t="s">
        <v>578</v>
      </c>
      <c r="AN103" s="4" t="str">
        <f t="shared" si="17"/>
        <v>1</v>
      </c>
      <c r="AO103" s="4" t="s">
        <v>579</v>
      </c>
      <c r="AP103" s="4" t="s">
        <v>574</v>
      </c>
      <c r="AQ103" s="4" t="s">
        <v>580</v>
      </c>
      <c r="AR103" s="4" t="str">
        <f t="shared" si="18"/>
        <v>.7500</v>
      </c>
      <c r="AS103" s="4" t="str">
        <f t="shared" si="19"/>
        <v>7.50</v>
      </c>
      <c r="AT103" s="4" t="s">
        <v>581</v>
      </c>
      <c r="AU103" s="4" t="str">
        <f t="shared" si="20"/>
        <v>7.50</v>
      </c>
      <c r="AV103" s="4">
        <v>11</v>
      </c>
      <c r="AW103" s="4">
        <v>-1</v>
      </c>
      <c r="AX103" s="4">
        <v>-7.15</v>
      </c>
      <c r="AY103" s="4">
        <v>10</v>
      </c>
      <c r="AZ103" s="4">
        <v>0</v>
      </c>
      <c r="BA103" s="4">
        <v>82.5</v>
      </c>
      <c r="BB103" s="4">
        <v>75.349999999999994</v>
      </c>
      <c r="BC103" s="4">
        <v>82.5</v>
      </c>
      <c r="BD103" s="4">
        <v>0</v>
      </c>
    </row>
    <row r="104" spans="1:56" x14ac:dyDescent="0.2">
      <c r="A104" s="4" t="s">
        <v>558</v>
      </c>
      <c r="B104" s="4" t="s">
        <v>559</v>
      </c>
      <c r="C104" s="4" t="s">
        <v>560</v>
      </c>
      <c r="D104" s="4" t="s">
        <v>445</v>
      </c>
      <c r="E104" s="4" t="s">
        <v>561</v>
      </c>
      <c r="F104" s="4" t="s">
        <v>559</v>
      </c>
      <c r="G104" s="4" t="s">
        <v>562</v>
      </c>
      <c r="H104" s="4" t="s">
        <v>445</v>
      </c>
      <c r="I104" s="4" t="str">
        <f t="shared" si="12"/>
        <v>1010</v>
      </c>
      <c r="J104" s="4" t="s">
        <v>444</v>
      </c>
      <c r="K104" s="4" t="s">
        <v>443</v>
      </c>
      <c r="L104" s="4" t="s">
        <v>444</v>
      </c>
      <c r="M104" s="4" t="s">
        <v>445</v>
      </c>
      <c r="N104" s="4" t="s">
        <v>669</v>
      </c>
      <c r="O104" s="4" t="s">
        <v>672</v>
      </c>
      <c r="P104" s="4" t="s">
        <v>563</v>
      </c>
      <c r="Q104" s="4" t="str">
        <f>"8088216452"</f>
        <v>8088216452</v>
      </c>
      <c r="S104" s="4" t="str">
        <f>"00880882164522"</f>
        <v>00880882164522</v>
      </c>
      <c r="T104" s="24">
        <v>39843</v>
      </c>
      <c r="U104" s="24">
        <v>39843</v>
      </c>
      <c r="V104" s="24">
        <v>1</v>
      </c>
      <c r="W104" s="4" t="str">
        <f>"8088216452"</f>
        <v>8088216452</v>
      </c>
      <c r="X104" s="4" t="s">
        <v>563</v>
      </c>
      <c r="Y104" s="4" t="str">
        <f t="shared" si="14"/>
        <v>1010</v>
      </c>
      <c r="Z104" s="4" t="str">
        <f t="shared" si="21"/>
        <v>11</v>
      </c>
      <c r="AA104" s="4" t="s">
        <v>93</v>
      </c>
      <c r="AB104" s="4" t="s">
        <v>564</v>
      </c>
      <c r="AC104" s="4" t="s">
        <v>563</v>
      </c>
      <c r="AD104" s="4" t="s">
        <v>565</v>
      </c>
      <c r="AE104" s="4" t="s">
        <v>566</v>
      </c>
      <c r="AF104" s="4" t="s">
        <v>567</v>
      </c>
      <c r="AH104" s="4" t="s">
        <v>568</v>
      </c>
      <c r="AI104" s="4" t="s">
        <v>569</v>
      </c>
      <c r="AJ104" s="4" t="s">
        <v>570</v>
      </c>
      <c r="AK104" s="4" t="s">
        <v>577</v>
      </c>
      <c r="AL104" s="4" t="s">
        <v>578</v>
      </c>
      <c r="AN104" s="4" t="str">
        <f t="shared" si="17"/>
        <v>1</v>
      </c>
      <c r="AO104" s="4" t="s">
        <v>579</v>
      </c>
      <c r="AP104" s="4" t="s">
        <v>574</v>
      </c>
      <c r="AQ104" s="4" t="s">
        <v>580</v>
      </c>
      <c r="AR104" s="4" t="str">
        <f t="shared" si="18"/>
        <v>.7500</v>
      </c>
      <c r="AS104" s="4" t="str">
        <f t="shared" si="19"/>
        <v>7.50</v>
      </c>
      <c r="AT104" s="4" t="s">
        <v>581</v>
      </c>
      <c r="AU104" s="4" t="str">
        <f t="shared" si="20"/>
        <v>7.50</v>
      </c>
      <c r="AV104" s="4">
        <v>8</v>
      </c>
      <c r="AW104" s="4">
        <v>-3</v>
      </c>
      <c r="AX104" s="4">
        <v>-21.45</v>
      </c>
      <c r="AY104" s="4">
        <v>5</v>
      </c>
      <c r="AZ104" s="4">
        <v>2.58</v>
      </c>
      <c r="BA104" s="4">
        <v>60</v>
      </c>
      <c r="BB104" s="4">
        <v>35.97</v>
      </c>
      <c r="BC104" s="4">
        <v>57.42</v>
      </c>
      <c r="BD104" s="4">
        <v>0</v>
      </c>
    </row>
    <row r="105" spans="1:56" x14ac:dyDescent="0.2">
      <c r="A105" s="4" t="s">
        <v>558</v>
      </c>
      <c r="B105" s="4" t="s">
        <v>559</v>
      </c>
      <c r="C105" s="4" t="s">
        <v>560</v>
      </c>
      <c r="D105" s="4" t="s">
        <v>445</v>
      </c>
      <c r="E105" s="4" t="s">
        <v>561</v>
      </c>
      <c r="F105" s="4" t="s">
        <v>559</v>
      </c>
      <c r="G105" s="4" t="s">
        <v>562</v>
      </c>
      <c r="H105" s="4" t="s">
        <v>445</v>
      </c>
      <c r="I105" s="4" t="str">
        <f t="shared" si="12"/>
        <v>1010</v>
      </c>
      <c r="J105" s="4" t="s">
        <v>444</v>
      </c>
      <c r="K105" s="4" t="s">
        <v>443</v>
      </c>
      <c r="L105" s="4" t="s">
        <v>444</v>
      </c>
      <c r="M105" s="4" t="s">
        <v>445</v>
      </c>
      <c r="N105" s="4" t="s">
        <v>669</v>
      </c>
      <c r="O105" s="4" t="s">
        <v>673</v>
      </c>
      <c r="P105" s="4" t="s">
        <v>563</v>
      </c>
      <c r="Q105" s="4" t="str">
        <f>"8088215982"</f>
        <v>8088215982</v>
      </c>
      <c r="S105" s="4" t="str">
        <f>"00880882159825"</f>
        <v>00880882159825</v>
      </c>
      <c r="T105" s="24">
        <v>38079</v>
      </c>
      <c r="U105" s="24">
        <v>38079</v>
      </c>
      <c r="V105" s="24">
        <v>1</v>
      </c>
      <c r="W105" s="4" t="str">
        <f>"8088215982"</f>
        <v>8088215982</v>
      </c>
      <c r="X105" s="4" t="s">
        <v>563</v>
      </c>
      <c r="Y105" s="4" t="str">
        <f t="shared" si="14"/>
        <v>1010</v>
      </c>
      <c r="Z105" s="4" t="str">
        <f t="shared" si="21"/>
        <v>11</v>
      </c>
      <c r="AA105" s="4" t="s">
        <v>93</v>
      </c>
      <c r="AB105" s="4" t="s">
        <v>564</v>
      </c>
      <c r="AC105" s="4" t="s">
        <v>563</v>
      </c>
      <c r="AD105" s="4" t="s">
        <v>565</v>
      </c>
      <c r="AE105" s="4" t="s">
        <v>566</v>
      </c>
      <c r="AF105" s="4" t="s">
        <v>567</v>
      </c>
      <c r="AH105" s="4" t="s">
        <v>568</v>
      </c>
      <c r="AI105" s="4" t="s">
        <v>569</v>
      </c>
      <c r="AJ105" s="4" t="s">
        <v>570</v>
      </c>
      <c r="AK105" s="4" t="s">
        <v>577</v>
      </c>
      <c r="AL105" s="4" t="s">
        <v>578</v>
      </c>
      <c r="AN105" s="4" t="str">
        <f t="shared" si="17"/>
        <v>1</v>
      </c>
      <c r="AO105" s="4" t="s">
        <v>579</v>
      </c>
      <c r="AP105" s="4" t="s">
        <v>574</v>
      </c>
      <c r="AQ105" s="4" t="s">
        <v>580</v>
      </c>
      <c r="AR105" s="4" t="str">
        <f t="shared" si="18"/>
        <v>.7500</v>
      </c>
      <c r="AS105" s="4" t="str">
        <f t="shared" si="19"/>
        <v>7.50</v>
      </c>
      <c r="AT105" s="4" t="s">
        <v>581</v>
      </c>
      <c r="AU105" s="4" t="str">
        <f t="shared" si="20"/>
        <v>7.50</v>
      </c>
      <c r="AV105" s="4">
        <v>0</v>
      </c>
      <c r="AW105" s="4">
        <v>-2</v>
      </c>
      <c r="AX105" s="4">
        <v>-14.3</v>
      </c>
      <c r="AY105" s="4">
        <v>-2</v>
      </c>
      <c r="AZ105" s="4">
        <v>0</v>
      </c>
      <c r="BA105" s="4">
        <v>0</v>
      </c>
      <c r="BB105" s="4">
        <v>-14.3</v>
      </c>
      <c r="BC105" s="4">
        <v>0</v>
      </c>
      <c r="BD105" s="4">
        <v>0</v>
      </c>
    </row>
    <row r="106" spans="1:56" x14ac:dyDescent="0.2">
      <c r="A106" s="4" t="s">
        <v>558</v>
      </c>
      <c r="B106" s="4" t="s">
        <v>559</v>
      </c>
      <c r="C106" s="4" t="s">
        <v>560</v>
      </c>
      <c r="D106" s="4" t="s">
        <v>445</v>
      </c>
      <c r="E106" s="4" t="s">
        <v>561</v>
      </c>
      <c r="F106" s="4" t="s">
        <v>559</v>
      </c>
      <c r="G106" s="4" t="s">
        <v>562</v>
      </c>
      <c r="H106" s="4" t="s">
        <v>445</v>
      </c>
      <c r="I106" s="4" t="str">
        <f t="shared" si="12"/>
        <v>1010</v>
      </c>
      <c r="J106" s="4" t="s">
        <v>444</v>
      </c>
      <c r="K106" s="4" t="s">
        <v>443</v>
      </c>
      <c r="L106" s="4" t="s">
        <v>444</v>
      </c>
      <c r="M106" s="4" t="s">
        <v>445</v>
      </c>
      <c r="N106" s="4" t="s">
        <v>669</v>
      </c>
      <c r="O106" s="4" t="s">
        <v>674</v>
      </c>
      <c r="P106" s="4" t="s">
        <v>563</v>
      </c>
      <c r="Q106" s="4" t="str">
        <f>"8088215972"</f>
        <v>8088215972</v>
      </c>
      <c r="S106" s="4" t="str">
        <f>"00880882159726"</f>
        <v>00880882159726</v>
      </c>
      <c r="T106" s="24">
        <v>37316</v>
      </c>
      <c r="U106" s="24">
        <v>37316</v>
      </c>
      <c r="V106" s="24">
        <v>1</v>
      </c>
      <c r="W106" s="4" t="str">
        <f>"8088215972"</f>
        <v>8088215972</v>
      </c>
      <c r="X106" s="4" t="s">
        <v>563</v>
      </c>
      <c r="Y106" s="4" t="str">
        <f t="shared" si="14"/>
        <v>1010</v>
      </c>
      <c r="Z106" s="4" t="str">
        <f t="shared" si="21"/>
        <v>11</v>
      </c>
      <c r="AA106" s="4" t="s">
        <v>93</v>
      </c>
      <c r="AB106" s="4" t="s">
        <v>564</v>
      </c>
      <c r="AC106" s="4" t="s">
        <v>563</v>
      </c>
      <c r="AD106" s="4" t="s">
        <v>565</v>
      </c>
      <c r="AE106" s="4" t="s">
        <v>566</v>
      </c>
      <c r="AF106" s="4" t="s">
        <v>567</v>
      </c>
      <c r="AH106" s="4" t="s">
        <v>568</v>
      </c>
      <c r="AI106" s="4" t="s">
        <v>569</v>
      </c>
      <c r="AJ106" s="4" t="s">
        <v>570</v>
      </c>
      <c r="AK106" s="4" t="s">
        <v>577</v>
      </c>
      <c r="AL106" s="4" t="s">
        <v>578</v>
      </c>
      <c r="AN106" s="4" t="str">
        <f t="shared" si="17"/>
        <v>1</v>
      </c>
      <c r="AO106" s="4" t="s">
        <v>579</v>
      </c>
      <c r="AP106" s="4" t="s">
        <v>574</v>
      </c>
      <c r="AQ106" s="4" t="s">
        <v>580</v>
      </c>
      <c r="AR106" s="4" t="str">
        <f t="shared" si="18"/>
        <v>.7500</v>
      </c>
      <c r="AS106" s="4" t="str">
        <f t="shared" si="19"/>
        <v>7.50</v>
      </c>
      <c r="AT106" s="4" t="s">
        <v>581</v>
      </c>
      <c r="AU106" s="4" t="str">
        <f t="shared" si="20"/>
        <v>7.50</v>
      </c>
      <c r="AV106" s="4">
        <v>0</v>
      </c>
      <c r="AW106" s="4">
        <v>-4</v>
      </c>
      <c r="AX106" s="4">
        <v>-28.6</v>
      </c>
      <c r="AY106" s="4">
        <v>-4</v>
      </c>
      <c r="AZ106" s="4">
        <v>0</v>
      </c>
      <c r="BA106" s="4">
        <v>0</v>
      </c>
      <c r="BB106" s="4">
        <v>-28.6</v>
      </c>
      <c r="BC106" s="4">
        <v>0</v>
      </c>
      <c r="BD106" s="4">
        <v>0</v>
      </c>
    </row>
    <row r="107" spans="1:56" x14ac:dyDescent="0.2">
      <c r="A107" s="4" t="s">
        <v>558</v>
      </c>
      <c r="B107" s="4" t="s">
        <v>559</v>
      </c>
      <c r="C107" s="4" t="s">
        <v>560</v>
      </c>
      <c r="D107" s="4" t="s">
        <v>445</v>
      </c>
      <c r="E107" s="4" t="s">
        <v>561</v>
      </c>
      <c r="F107" s="4" t="s">
        <v>559</v>
      </c>
      <c r="G107" s="4" t="s">
        <v>562</v>
      </c>
      <c r="H107" s="4" t="s">
        <v>445</v>
      </c>
      <c r="I107" s="4" t="str">
        <f t="shared" si="12"/>
        <v>1010</v>
      </c>
      <c r="J107" s="4" t="s">
        <v>444</v>
      </c>
      <c r="K107" s="4" t="s">
        <v>443</v>
      </c>
      <c r="L107" s="4" t="s">
        <v>444</v>
      </c>
      <c r="M107" s="4" t="s">
        <v>445</v>
      </c>
      <c r="N107" s="4" t="s">
        <v>675</v>
      </c>
      <c r="O107" s="4" t="s">
        <v>447</v>
      </c>
      <c r="P107" s="4" t="s">
        <v>563</v>
      </c>
      <c r="Q107" s="4" t="str">
        <f>"8088217201"</f>
        <v>8088217201</v>
      </c>
      <c r="S107" s="4" t="str">
        <f>"00880882172015"</f>
        <v>00880882172015</v>
      </c>
      <c r="T107" s="24">
        <v>40571</v>
      </c>
      <c r="U107" s="24">
        <v>40571</v>
      </c>
      <c r="V107" s="24">
        <v>1</v>
      </c>
      <c r="W107" s="4" t="str">
        <f>"8088217201"</f>
        <v>8088217201</v>
      </c>
      <c r="X107" s="4" t="s">
        <v>563</v>
      </c>
      <c r="Y107" s="4" t="str">
        <f t="shared" si="14"/>
        <v>1010</v>
      </c>
      <c r="Z107" s="4" t="str">
        <f t="shared" si="21"/>
        <v>11</v>
      </c>
      <c r="AA107" s="4" t="s">
        <v>93</v>
      </c>
      <c r="AB107" s="4" t="s">
        <v>564</v>
      </c>
      <c r="AC107" s="4" t="s">
        <v>563</v>
      </c>
      <c r="AD107" s="4" t="s">
        <v>595</v>
      </c>
      <c r="AE107" s="4" t="s">
        <v>596</v>
      </c>
      <c r="AF107" s="4" t="s">
        <v>567</v>
      </c>
      <c r="AH107" s="4" t="s">
        <v>568</v>
      </c>
      <c r="AI107" s="4" t="s">
        <v>589</v>
      </c>
      <c r="AJ107" s="4" t="s">
        <v>590</v>
      </c>
      <c r="AK107" s="4" t="s">
        <v>571</v>
      </c>
      <c r="AL107" s="4" t="s">
        <v>572</v>
      </c>
      <c r="AN107" s="4" t="str">
        <f>"2"</f>
        <v>2</v>
      </c>
      <c r="AO107" s="4" t="s">
        <v>583</v>
      </c>
      <c r="AP107" s="4" t="s">
        <v>574</v>
      </c>
      <c r="AQ107" s="4" t="s">
        <v>575</v>
      </c>
      <c r="AR107" s="4" t="str">
        <f>"1.8000"</f>
        <v>1.8000</v>
      </c>
      <c r="AS107" s="4" t="str">
        <f>"11.59"</f>
        <v>11.59</v>
      </c>
      <c r="AT107" s="4" t="s">
        <v>585</v>
      </c>
      <c r="AU107" s="4" t="str">
        <f>"11.59"</f>
        <v>11.59</v>
      </c>
      <c r="AV107" s="4">
        <v>1</v>
      </c>
      <c r="AW107" s="4">
        <v>0</v>
      </c>
      <c r="AX107" s="4">
        <v>0</v>
      </c>
      <c r="AY107" s="4">
        <v>1</v>
      </c>
      <c r="AZ107" s="4">
        <v>0</v>
      </c>
      <c r="BA107" s="4">
        <v>9.85</v>
      </c>
      <c r="BB107" s="4">
        <v>9.85</v>
      </c>
      <c r="BC107" s="4">
        <v>9.85</v>
      </c>
      <c r="BD107" s="4">
        <v>0</v>
      </c>
    </row>
    <row r="108" spans="1:56" x14ac:dyDescent="0.2">
      <c r="A108" s="4" t="s">
        <v>558</v>
      </c>
      <c r="B108" s="4" t="s">
        <v>559</v>
      </c>
      <c r="C108" s="4" t="s">
        <v>560</v>
      </c>
      <c r="D108" s="4" t="s">
        <v>445</v>
      </c>
      <c r="E108" s="4" t="s">
        <v>561</v>
      </c>
      <c r="F108" s="4" t="s">
        <v>559</v>
      </c>
      <c r="G108" s="4" t="s">
        <v>562</v>
      </c>
      <c r="H108" s="4" t="s">
        <v>445</v>
      </c>
      <c r="I108" s="4" t="str">
        <f t="shared" si="12"/>
        <v>1010</v>
      </c>
      <c r="J108" s="4" t="s">
        <v>444</v>
      </c>
      <c r="K108" s="4" t="s">
        <v>443</v>
      </c>
      <c r="L108" s="4" t="s">
        <v>444</v>
      </c>
      <c r="M108" s="4" t="s">
        <v>445</v>
      </c>
      <c r="N108" s="4" t="s">
        <v>675</v>
      </c>
      <c r="O108" s="4" t="s">
        <v>447</v>
      </c>
      <c r="P108" s="4" t="s">
        <v>563</v>
      </c>
      <c r="Q108" s="4" t="str">
        <f>"8088217202"</f>
        <v>8088217202</v>
      </c>
      <c r="S108" s="4" t="str">
        <f>"00880882172022"</f>
        <v>00880882172022</v>
      </c>
      <c r="T108" s="24">
        <v>40571</v>
      </c>
      <c r="U108" s="24">
        <v>40571</v>
      </c>
      <c r="V108" s="24">
        <v>1</v>
      </c>
      <c r="W108" s="4" t="str">
        <f>"8088217202"</f>
        <v>8088217202</v>
      </c>
      <c r="X108" s="4" t="s">
        <v>563</v>
      </c>
      <c r="Y108" s="4" t="str">
        <f t="shared" si="14"/>
        <v>1010</v>
      </c>
      <c r="Z108" s="4" t="str">
        <f t="shared" si="21"/>
        <v>11</v>
      </c>
      <c r="AA108" s="4" t="s">
        <v>93</v>
      </c>
      <c r="AB108" s="4" t="s">
        <v>564</v>
      </c>
      <c r="AC108" s="4" t="s">
        <v>563</v>
      </c>
      <c r="AD108" s="4" t="s">
        <v>595</v>
      </c>
      <c r="AE108" s="4" t="s">
        <v>596</v>
      </c>
      <c r="AF108" s="4" t="s">
        <v>567</v>
      </c>
      <c r="AH108" s="4" t="s">
        <v>568</v>
      </c>
      <c r="AI108" s="4" t="s">
        <v>569</v>
      </c>
      <c r="AJ108" s="4" t="s">
        <v>570</v>
      </c>
      <c r="AK108" s="4" t="s">
        <v>577</v>
      </c>
      <c r="AL108" s="4" t="s">
        <v>578</v>
      </c>
      <c r="AN108" s="4" t="str">
        <f t="shared" ref="AN108:AN123" si="22">"1"</f>
        <v>1</v>
      </c>
      <c r="AO108" s="4" t="s">
        <v>579</v>
      </c>
      <c r="AP108" s="4" t="s">
        <v>574</v>
      </c>
      <c r="AQ108" s="4" t="s">
        <v>580</v>
      </c>
      <c r="AR108" s="4" t="str">
        <f>".7500"</f>
        <v>.7500</v>
      </c>
      <c r="AS108" s="4" t="str">
        <f>"7.50"</f>
        <v>7.50</v>
      </c>
      <c r="AT108" s="4" t="s">
        <v>581</v>
      </c>
      <c r="AU108" s="4" t="str">
        <f>"7.50"</f>
        <v>7.50</v>
      </c>
      <c r="AV108" s="4">
        <v>2</v>
      </c>
      <c r="AW108" s="4">
        <v>-3</v>
      </c>
      <c r="AX108" s="4">
        <v>-21.45</v>
      </c>
      <c r="AY108" s="4">
        <v>-1</v>
      </c>
      <c r="AZ108" s="4">
        <v>1.72</v>
      </c>
      <c r="BA108" s="4">
        <v>15</v>
      </c>
      <c r="BB108" s="4">
        <v>-8.17</v>
      </c>
      <c r="BC108" s="4">
        <v>13.28</v>
      </c>
      <c r="BD108" s="4">
        <v>0</v>
      </c>
    </row>
    <row r="109" spans="1:56" x14ac:dyDescent="0.2">
      <c r="A109" s="4" t="s">
        <v>558</v>
      </c>
      <c r="B109" s="4" t="s">
        <v>559</v>
      </c>
      <c r="C109" s="4" t="s">
        <v>560</v>
      </c>
      <c r="D109" s="4" t="s">
        <v>445</v>
      </c>
      <c r="E109" s="4" t="s">
        <v>561</v>
      </c>
      <c r="F109" s="4" t="s">
        <v>559</v>
      </c>
      <c r="G109" s="4" t="s">
        <v>562</v>
      </c>
      <c r="H109" s="4" t="s">
        <v>445</v>
      </c>
      <c r="I109" s="4" t="str">
        <f t="shared" si="12"/>
        <v>1010</v>
      </c>
      <c r="J109" s="4" t="s">
        <v>444</v>
      </c>
      <c r="K109" s="4" t="s">
        <v>443</v>
      </c>
      <c r="L109" s="4" t="s">
        <v>444</v>
      </c>
      <c r="M109" s="4" t="s">
        <v>445</v>
      </c>
      <c r="N109" s="4" t="s">
        <v>675</v>
      </c>
      <c r="O109" s="4" t="s">
        <v>470</v>
      </c>
      <c r="P109" s="4" t="s">
        <v>563</v>
      </c>
      <c r="Q109" s="4" t="str">
        <f>"8088218401"</f>
        <v>8088218401</v>
      </c>
      <c r="S109" s="4" t="str">
        <f>"00880882184018"</f>
        <v>00880882184018</v>
      </c>
      <c r="T109" s="24">
        <v>41320</v>
      </c>
      <c r="U109" s="24">
        <v>41320</v>
      </c>
      <c r="V109" s="24">
        <v>1</v>
      </c>
      <c r="W109" s="4" t="str">
        <f>"8088218401"</f>
        <v>8088218401</v>
      </c>
      <c r="X109" s="4" t="s">
        <v>563</v>
      </c>
      <c r="Y109" s="4" t="str">
        <f t="shared" si="14"/>
        <v>1010</v>
      </c>
      <c r="Z109" s="4" t="str">
        <f t="shared" si="21"/>
        <v>11</v>
      </c>
      <c r="AA109" s="4" t="s">
        <v>93</v>
      </c>
      <c r="AB109" s="4" t="s">
        <v>564</v>
      </c>
      <c r="AC109" s="4" t="s">
        <v>563</v>
      </c>
      <c r="AD109" s="4" t="s">
        <v>565</v>
      </c>
      <c r="AE109" s="4" t="s">
        <v>566</v>
      </c>
      <c r="AF109" s="4" t="s">
        <v>567</v>
      </c>
      <c r="AH109" s="4" t="s">
        <v>568</v>
      </c>
      <c r="AI109" s="4" t="s">
        <v>569</v>
      </c>
      <c r="AJ109" s="4" t="s">
        <v>570</v>
      </c>
      <c r="AK109" s="4" t="s">
        <v>571</v>
      </c>
      <c r="AL109" s="4" t="s">
        <v>572</v>
      </c>
      <c r="AN109" s="4" t="str">
        <f t="shared" si="22"/>
        <v>1</v>
      </c>
      <c r="AO109" s="4" t="s">
        <v>573</v>
      </c>
      <c r="AP109" s="4" t="s">
        <v>584</v>
      </c>
      <c r="AQ109" s="4" t="s">
        <v>575</v>
      </c>
      <c r="AR109" s="4" t="str">
        <f>"1.8000"</f>
        <v>1.8000</v>
      </c>
      <c r="AS109" s="4" t="str">
        <f>"10.40"</f>
        <v>10.40</v>
      </c>
      <c r="AT109" s="4" t="s">
        <v>576</v>
      </c>
      <c r="AU109" s="4" t="str">
        <f>"10.40"</f>
        <v>10.40</v>
      </c>
      <c r="AV109" s="4">
        <v>2</v>
      </c>
      <c r="AW109" s="4">
        <v>0</v>
      </c>
      <c r="AX109" s="4">
        <v>0</v>
      </c>
      <c r="AY109" s="4">
        <v>2</v>
      </c>
      <c r="AZ109" s="4">
        <v>0</v>
      </c>
      <c r="BA109" s="4">
        <v>20.8</v>
      </c>
      <c r="BB109" s="4">
        <v>20.8</v>
      </c>
      <c r="BC109" s="4">
        <v>20.8</v>
      </c>
      <c r="BD109" s="4">
        <v>0</v>
      </c>
    </row>
    <row r="110" spans="1:56" x14ac:dyDescent="0.2">
      <c r="A110" s="4" t="s">
        <v>558</v>
      </c>
      <c r="B110" s="4" t="s">
        <v>559</v>
      </c>
      <c r="C110" s="4" t="s">
        <v>560</v>
      </c>
      <c r="D110" s="4" t="s">
        <v>445</v>
      </c>
      <c r="E110" s="4" t="s">
        <v>561</v>
      </c>
      <c r="F110" s="4" t="s">
        <v>559</v>
      </c>
      <c r="G110" s="4" t="s">
        <v>562</v>
      </c>
      <c r="H110" s="4" t="s">
        <v>445</v>
      </c>
      <c r="I110" s="4" t="str">
        <f t="shared" si="12"/>
        <v>1010</v>
      </c>
      <c r="J110" s="4" t="s">
        <v>444</v>
      </c>
      <c r="K110" s="4" t="s">
        <v>443</v>
      </c>
      <c r="L110" s="4" t="s">
        <v>444</v>
      </c>
      <c r="M110" s="4" t="s">
        <v>445</v>
      </c>
      <c r="N110" s="4" t="s">
        <v>675</v>
      </c>
      <c r="O110" s="4" t="s">
        <v>470</v>
      </c>
      <c r="P110" s="4" t="s">
        <v>563</v>
      </c>
      <c r="Q110" s="4" t="str">
        <f>"8088218402"</f>
        <v>8088218402</v>
      </c>
      <c r="S110" s="4" t="str">
        <f>"00880882184025"</f>
        <v>00880882184025</v>
      </c>
      <c r="T110" s="24">
        <v>41320</v>
      </c>
      <c r="U110" s="24">
        <v>41320</v>
      </c>
      <c r="V110" s="24">
        <v>1</v>
      </c>
      <c r="W110" s="4" t="str">
        <f>"8088218402"</f>
        <v>8088218402</v>
      </c>
      <c r="X110" s="4" t="s">
        <v>563</v>
      </c>
      <c r="Y110" s="4" t="str">
        <f t="shared" si="14"/>
        <v>1010</v>
      </c>
      <c r="Z110" s="4" t="str">
        <f t="shared" si="21"/>
        <v>11</v>
      </c>
      <c r="AA110" s="4" t="s">
        <v>93</v>
      </c>
      <c r="AB110" s="4" t="s">
        <v>564</v>
      </c>
      <c r="AC110" s="4" t="s">
        <v>563</v>
      </c>
      <c r="AD110" s="4" t="s">
        <v>565</v>
      </c>
      <c r="AE110" s="4" t="s">
        <v>566</v>
      </c>
      <c r="AF110" s="4" t="s">
        <v>567</v>
      </c>
      <c r="AH110" s="4" t="s">
        <v>568</v>
      </c>
      <c r="AI110" s="4" t="s">
        <v>569</v>
      </c>
      <c r="AJ110" s="4" t="s">
        <v>570</v>
      </c>
      <c r="AK110" s="4" t="s">
        <v>577</v>
      </c>
      <c r="AL110" s="4" t="s">
        <v>578</v>
      </c>
      <c r="AN110" s="4" t="str">
        <f t="shared" si="22"/>
        <v>1</v>
      </c>
      <c r="AO110" s="4" t="s">
        <v>579</v>
      </c>
      <c r="AP110" s="4" t="s">
        <v>584</v>
      </c>
      <c r="AQ110" s="4" t="s">
        <v>580</v>
      </c>
      <c r="AR110" s="4" t="str">
        <f>".7500"</f>
        <v>.7500</v>
      </c>
      <c r="AS110" s="4" t="str">
        <f>"7.50"</f>
        <v>7.50</v>
      </c>
      <c r="AT110" s="4" t="s">
        <v>581</v>
      </c>
      <c r="AU110" s="4" t="str">
        <f>"7.50"</f>
        <v>7.50</v>
      </c>
      <c r="AV110" s="4">
        <v>6</v>
      </c>
      <c r="AW110" s="4">
        <v>-126</v>
      </c>
      <c r="AX110" s="4">
        <v>-902.65</v>
      </c>
      <c r="AY110" s="4">
        <v>-120</v>
      </c>
      <c r="AZ110" s="4">
        <v>1.73</v>
      </c>
      <c r="BA110" s="4">
        <v>41.01</v>
      </c>
      <c r="BB110" s="4">
        <v>-863.37</v>
      </c>
      <c r="BC110" s="4">
        <v>39.28</v>
      </c>
      <c r="BD110" s="4">
        <v>0</v>
      </c>
    </row>
    <row r="111" spans="1:56" x14ac:dyDescent="0.2">
      <c r="A111" s="4" t="s">
        <v>558</v>
      </c>
      <c r="B111" s="4" t="s">
        <v>559</v>
      </c>
      <c r="C111" s="4" t="s">
        <v>560</v>
      </c>
      <c r="D111" s="4" t="s">
        <v>445</v>
      </c>
      <c r="E111" s="4" t="s">
        <v>561</v>
      </c>
      <c r="F111" s="4" t="s">
        <v>559</v>
      </c>
      <c r="G111" s="4" t="s">
        <v>562</v>
      </c>
      <c r="H111" s="4" t="s">
        <v>445</v>
      </c>
      <c r="I111" s="4" t="str">
        <f t="shared" si="12"/>
        <v>1010</v>
      </c>
      <c r="J111" s="4" t="s">
        <v>444</v>
      </c>
      <c r="K111" s="4" t="s">
        <v>443</v>
      </c>
      <c r="L111" s="4" t="s">
        <v>444</v>
      </c>
      <c r="M111" s="4" t="s">
        <v>445</v>
      </c>
      <c r="N111" s="4" t="s">
        <v>484</v>
      </c>
      <c r="O111" s="4" t="s">
        <v>485</v>
      </c>
      <c r="P111" s="4" t="s">
        <v>563</v>
      </c>
      <c r="Q111" s="4" t="str">
        <f>"8088217861"</f>
        <v>8088217861</v>
      </c>
      <c r="S111" s="4" t="str">
        <f>"00880882178611"</f>
        <v>00880882178611</v>
      </c>
      <c r="T111" s="24">
        <v>40977</v>
      </c>
      <c r="U111" s="24">
        <v>40977</v>
      </c>
      <c r="V111" s="24">
        <v>1</v>
      </c>
      <c r="W111" s="4" t="str">
        <f>"8088217861"</f>
        <v>8088217861</v>
      </c>
      <c r="X111" s="4" t="s">
        <v>563</v>
      </c>
      <c r="Y111" s="4" t="str">
        <f t="shared" si="14"/>
        <v>1010</v>
      </c>
      <c r="Z111" s="4" t="str">
        <f t="shared" si="21"/>
        <v>11</v>
      </c>
      <c r="AA111" s="4" t="s">
        <v>93</v>
      </c>
      <c r="AB111" s="4" t="s">
        <v>564</v>
      </c>
      <c r="AC111" s="4" t="s">
        <v>563</v>
      </c>
      <c r="AD111" s="4" t="s">
        <v>565</v>
      </c>
      <c r="AE111" s="4" t="s">
        <v>566</v>
      </c>
      <c r="AF111" s="4" t="s">
        <v>567</v>
      </c>
      <c r="AH111" s="4" t="s">
        <v>568</v>
      </c>
      <c r="AI111" s="4" t="s">
        <v>569</v>
      </c>
      <c r="AJ111" s="4" t="s">
        <v>570</v>
      </c>
      <c r="AK111" s="4" t="s">
        <v>571</v>
      </c>
      <c r="AL111" s="4" t="s">
        <v>572</v>
      </c>
      <c r="AN111" s="4" t="str">
        <f t="shared" si="22"/>
        <v>1</v>
      </c>
      <c r="AO111" s="4" t="s">
        <v>573</v>
      </c>
      <c r="AP111" s="4" t="s">
        <v>574</v>
      </c>
      <c r="AQ111" s="4" t="s">
        <v>575</v>
      </c>
      <c r="AR111" s="4" t="str">
        <f>"1.8000"</f>
        <v>1.8000</v>
      </c>
      <c r="AS111" s="4" t="str">
        <f>"10.40"</f>
        <v>10.40</v>
      </c>
      <c r="AT111" s="4" t="s">
        <v>576</v>
      </c>
      <c r="AU111" s="4" t="str">
        <f>"10.40"</f>
        <v>10.40</v>
      </c>
      <c r="AV111" s="4">
        <v>23</v>
      </c>
      <c r="AW111" s="4">
        <v>0</v>
      </c>
      <c r="AX111" s="4">
        <v>0</v>
      </c>
      <c r="AY111" s="4">
        <v>23</v>
      </c>
      <c r="AZ111" s="4">
        <v>0</v>
      </c>
      <c r="BA111" s="4">
        <v>239.2</v>
      </c>
      <c r="BB111" s="4">
        <v>239.2</v>
      </c>
      <c r="BC111" s="4">
        <v>239.2</v>
      </c>
      <c r="BD111" s="4">
        <v>0</v>
      </c>
    </row>
    <row r="112" spans="1:56" x14ac:dyDescent="0.2">
      <c r="A112" s="4" t="s">
        <v>558</v>
      </c>
      <c r="B112" s="4" t="s">
        <v>559</v>
      </c>
      <c r="C112" s="4" t="s">
        <v>560</v>
      </c>
      <c r="D112" s="4" t="s">
        <v>445</v>
      </c>
      <c r="E112" s="4" t="s">
        <v>561</v>
      </c>
      <c r="F112" s="4" t="s">
        <v>559</v>
      </c>
      <c r="G112" s="4" t="s">
        <v>562</v>
      </c>
      <c r="H112" s="4" t="s">
        <v>445</v>
      </c>
      <c r="I112" s="4" t="str">
        <f t="shared" si="12"/>
        <v>1010</v>
      </c>
      <c r="J112" s="4" t="s">
        <v>444</v>
      </c>
      <c r="K112" s="4" t="s">
        <v>443</v>
      </c>
      <c r="L112" s="4" t="s">
        <v>444</v>
      </c>
      <c r="M112" s="4" t="s">
        <v>445</v>
      </c>
      <c r="N112" s="4" t="s">
        <v>484</v>
      </c>
      <c r="O112" s="4" t="s">
        <v>485</v>
      </c>
      <c r="P112" s="4" t="s">
        <v>563</v>
      </c>
      <c r="Q112" s="4" t="str">
        <f>"8088217862"</f>
        <v>8088217862</v>
      </c>
      <c r="S112" s="4" t="str">
        <f>"00880882178628"</f>
        <v>00880882178628</v>
      </c>
      <c r="T112" s="24">
        <v>40977</v>
      </c>
      <c r="U112" s="24">
        <v>40977</v>
      </c>
      <c r="V112" s="24">
        <v>1</v>
      </c>
      <c r="W112" s="4" t="str">
        <f>"8088217862"</f>
        <v>8088217862</v>
      </c>
      <c r="X112" s="4" t="s">
        <v>563</v>
      </c>
      <c r="Y112" s="4" t="str">
        <f t="shared" si="14"/>
        <v>1010</v>
      </c>
      <c r="Z112" s="4" t="str">
        <f t="shared" si="21"/>
        <v>11</v>
      </c>
      <c r="AA112" s="4" t="s">
        <v>93</v>
      </c>
      <c r="AB112" s="4" t="s">
        <v>564</v>
      </c>
      <c r="AC112" s="4" t="s">
        <v>563</v>
      </c>
      <c r="AD112" s="4" t="s">
        <v>565</v>
      </c>
      <c r="AE112" s="4" t="s">
        <v>566</v>
      </c>
      <c r="AF112" s="4" t="s">
        <v>567</v>
      </c>
      <c r="AH112" s="4" t="s">
        <v>568</v>
      </c>
      <c r="AI112" s="4" t="s">
        <v>569</v>
      </c>
      <c r="AJ112" s="4" t="s">
        <v>570</v>
      </c>
      <c r="AK112" s="4" t="s">
        <v>577</v>
      </c>
      <c r="AL112" s="4" t="s">
        <v>578</v>
      </c>
      <c r="AN112" s="4" t="str">
        <f t="shared" si="22"/>
        <v>1</v>
      </c>
      <c r="AO112" s="4" t="s">
        <v>606</v>
      </c>
      <c r="AP112" s="4" t="s">
        <v>574</v>
      </c>
      <c r="AQ112" s="4" t="s">
        <v>575</v>
      </c>
      <c r="AR112" s="4" t="str">
        <f>".7500"</f>
        <v>.7500</v>
      </c>
      <c r="AS112" s="4" t="str">
        <f>"9.07"</f>
        <v>9.07</v>
      </c>
      <c r="AT112" s="4" t="s">
        <v>607</v>
      </c>
      <c r="AU112" s="4" t="str">
        <f>"9.07"</f>
        <v>9.07</v>
      </c>
      <c r="AV112" s="4">
        <v>37</v>
      </c>
      <c r="AW112" s="4">
        <v>-53</v>
      </c>
      <c r="AX112" s="4">
        <v>-463.21</v>
      </c>
      <c r="AY112" s="4">
        <v>-16</v>
      </c>
      <c r="AZ112" s="4">
        <v>19.809999999999999</v>
      </c>
      <c r="BA112" s="4">
        <v>335.64</v>
      </c>
      <c r="BB112" s="4">
        <v>-147.38</v>
      </c>
      <c r="BC112" s="4">
        <v>315.83</v>
      </c>
      <c r="BD112" s="4">
        <v>0</v>
      </c>
    </row>
    <row r="113" spans="1:56" x14ac:dyDescent="0.2">
      <c r="A113" s="4" t="s">
        <v>558</v>
      </c>
      <c r="B113" s="4" t="s">
        <v>559</v>
      </c>
      <c r="C113" s="4" t="s">
        <v>560</v>
      </c>
      <c r="D113" s="4" t="s">
        <v>445</v>
      </c>
      <c r="E113" s="4" t="s">
        <v>561</v>
      </c>
      <c r="F113" s="4" t="s">
        <v>559</v>
      </c>
      <c r="G113" s="4" t="s">
        <v>562</v>
      </c>
      <c r="H113" s="4" t="s">
        <v>445</v>
      </c>
      <c r="I113" s="4" t="str">
        <f t="shared" si="12"/>
        <v>1010</v>
      </c>
      <c r="J113" s="4" t="s">
        <v>444</v>
      </c>
      <c r="K113" s="4" t="s">
        <v>443</v>
      </c>
      <c r="L113" s="4" t="s">
        <v>444</v>
      </c>
      <c r="M113" s="4" t="s">
        <v>445</v>
      </c>
      <c r="N113" s="4" t="s">
        <v>676</v>
      </c>
      <c r="O113" s="4" t="s">
        <v>677</v>
      </c>
      <c r="P113" s="4" t="s">
        <v>563</v>
      </c>
      <c r="Q113" s="4" t="s">
        <v>678</v>
      </c>
      <c r="S113" s="4" t="str">
        <f>"00880882156022"</f>
        <v>00880882156022</v>
      </c>
      <c r="T113" s="24">
        <v>39143</v>
      </c>
      <c r="U113" s="24">
        <v>39143</v>
      </c>
      <c r="V113" s="24">
        <v>1</v>
      </c>
      <c r="W113" s="4" t="s">
        <v>678</v>
      </c>
      <c r="X113" s="4" t="s">
        <v>563</v>
      </c>
      <c r="Y113" s="4" t="str">
        <f t="shared" si="14"/>
        <v>1010</v>
      </c>
      <c r="Z113" s="4" t="str">
        <f t="shared" si="21"/>
        <v>11</v>
      </c>
      <c r="AA113" s="4" t="s">
        <v>93</v>
      </c>
      <c r="AB113" s="4" t="s">
        <v>564</v>
      </c>
      <c r="AC113" s="4" t="s">
        <v>563</v>
      </c>
      <c r="AD113" s="4" t="s">
        <v>679</v>
      </c>
      <c r="AE113" s="4" t="s">
        <v>680</v>
      </c>
      <c r="AF113" s="4" t="s">
        <v>567</v>
      </c>
      <c r="AH113" s="4" t="s">
        <v>568</v>
      </c>
      <c r="AI113" s="4" t="s">
        <v>569</v>
      </c>
      <c r="AJ113" s="4" t="s">
        <v>570</v>
      </c>
      <c r="AK113" s="4" t="s">
        <v>577</v>
      </c>
      <c r="AL113" s="4" t="s">
        <v>578</v>
      </c>
      <c r="AN113" s="4" t="str">
        <f t="shared" si="22"/>
        <v>1</v>
      </c>
      <c r="AO113" s="4" t="s">
        <v>579</v>
      </c>
      <c r="AP113" s="4" t="s">
        <v>574</v>
      </c>
      <c r="AQ113" s="4" t="s">
        <v>580</v>
      </c>
      <c r="AR113" s="4" t="str">
        <f>".7500"</f>
        <v>.7500</v>
      </c>
      <c r="AS113" s="4" t="str">
        <f>"7.50"</f>
        <v>7.50</v>
      </c>
      <c r="AT113" s="4" t="s">
        <v>581</v>
      </c>
      <c r="AU113" s="4" t="str">
        <f>"7.50"</f>
        <v>7.50</v>
      </c>
      <c r="AV113" s="4">
        <v>6</v>
      </c>
      <c r="AW113" s="4">
        <v>-1</v>
      </c>
      <c r="AX113" s="4">
        <v>-7.15</v>
      </c>
      <c r="AY113" s="4">
        <v>5</v>
      </c>
      <c r="AZ113" s="4">
        <v>0</v>
      </c>
      <c r="BA113" s="4">
        <v>45</v>
      </c>
      <c r="BB113" s="4">
        <v>37.85</v>
      </c>
      <c r="BC113" s="4">
        <v>45</v>
      </c>
      <c r="BD113" s="4">
        <v>0</v>
      </c>
    </row>
    <row r="114" spans="1:56" x14ac:dyDescent="0.2">
      <c r="A114" s="4" t="s">
        <v>558</v>
      </c>
      <c r="B114" s="4" t="s">
        <v>559</v>
      </c>
      <c r="C114" s="4" t="s">
        <v>560</v>
      </c>
      <c r="D114" s="4" t="s">
        <v>445</v>
      </c>
      <c r="E114" s="4" t="s">
        <v>561</v>
      </c>
      <c r="F114" s="4" t="s">
        <v>559</v>
      </c>
      <c r="G114" s="4" t="s">
        <v>562</v>
      </c>
      <c r="H114" s="4" t="s">
        <v>445</v>
      </c>
      <c r="I114" s="4" t="str">
        <f t="shared" si="12"/>
        <v>1010</v>
      </c>
      <c r="J114" s="4" t="s">
        <v>444</v>
      </c>
      <c r="K114" s="4" t="s">
        <v>443</v>
      </c>
      <c r="L114" s="4" t="s">
        <v>444</v>
      </c>
      <c r="M114" s="4" t="s">
        <v>445</v>
      </c>
      <c r="N114" s="4" t="s">
        <v>676</v>
      </c>
      <c r="O114" s="4" t="s">
        <v>497</v>
      </c>
      <c r="P114" s="4" t="s">
        <v>563</v>
      </c>
      <c r="Q114" s="4" t="str">
        <f>"8088217222"</f>
        <v>8088217222</v>
      </c>
      <c r="S114" s="4" t="str">
        <f>"00880882172220"</f>
        <v>00880882172220</v>
      </c>
      <c r="T114" s="24">
        <v>40557</v>
      </c>
      <c r="U114" s="24">
        <v>40557</v>
      </c>
      <c r="V114" s="24">
        <v>1</v>
      </c>
      <c r="W114" s="4" t="str">
        <f>"8088217222"</f>
        <v>8088217222</v>
      </c>
      <c r="X114" s="4" t="s">
        <v>563</v>
      </c>
      <c r="Y114" s="4" t="str">
        <f t="shared" si="14"/>
        <v>1010</v>
      </c>
      <c r="Z114" s="4" t="str">
        <f t="shared" si="21"/>
        <v>11</v>
      </c>
      <c r="AA114" s="4" t="s">
        <v>93</v>
      </c>
      <c r="AB114" s="4" t="s">
        <v>564</v>
      </c>
      <c r="AC114" s="4" t="s">
        <v>563</v>
      </c>
      <c r="AD114" s="4" t="s">
        <v>679</v>
      </c>
      <c r="AE114" s="4" t="s">
        <v>680</v>
      </c>
      <c r="AF114" s="4" t="s">
        <v>567</v>
      </c>
      <c r="AH114" s="4" t="s">
        <v>568</v>
      </c>
      <c r="AI114" s="4" t="s">
        <v>569</v>
      </c>
      <c r="AJ114" s="4" t="s">
        <v>570</v>
      </c>
      <c r="AK114" s="4" t="s">
        <v>577</v>
      </c>
      <c r="AL114" s="4" t="s">
        <v>578</v>
      </c>
      <c r="AN114" s="4" t="str">
        <f t="shared" si="22"/>
        <v>1</v>
      </c>
      <c r="AO114" s="4" t="s">
        <v>579</v>
      </c>
      <c r="AP114" s="4" t="s">
        <v>574</v>
      </c>
      <c r="AQ114" s="4" t="s">
        <v>580</v>
      </c>
      <c r="AR114" s="4" t="str">
        <f>".7500"</f>
        <v>.7500</v>
      </c>
      <c r="AS114" s="4" t="str">
        <f>"7.50"</f>
        <v>7.50</v>
      </c>
      <c r="AT114" s="4" t="s">
        <v>581</v>
      </c>
      <c r="AU114" s="4" t="str">
        <f>"7.50"</f>
        <v>7.50</v>
      </c>
      <c r="AV114" s="4">
        <v>4</v>
      </c>
      <c r="AW114" s="4">
        <v>-4</v>
      </c>
      <c r="AX114" s="4">
        <v>-28.6</v>
      </c>
      <c r="AY114" s="4">
        <v>0</v>
      </c>
      <c r="AZ114" s="4">
        <v>3.45</v>
      </c>
      <c r="BA114" s="4">
        <v>30.01</v>
      </c>
      <c r="BB114" s="4">
        <v>-2.04</v>
      </c>
      <c r="BC114" s="4">
        <v>26.56</v>
      </c>
      <c r="BD114" s="4">
        <v>0</v>
      </c>
    </row>
    <row r="115" spans="1:56" x14ac:dyDescent="0.2">
      <c r="A115" s="4" t="s">
        <v>558</v>
      </c>
      <c r="B115" s="4" t="s">
        <v>559</v>
      </c>
      <c r="C115" s="4" t="s">
        <v>560</v>
      </c>
      <c r="D115" s="4" t="s">
        <v>445</v>
      </c>
      <c r="E115" s="4" t="s">
        <v>561</v>
      </c>
      <c r="F115" s="4" t="s">
        <v>559</v>
      </c>
      <c r="G115" s="4" t="s">
        <v>562</v>
      </c>
      <c r="H115" s="4" t="s">
        <v>445</v>
      </c>
      <c r="I115" s="4" t="str">
        <f t="shared" si="12"/>
        <v>1010</v>
      </c>
      <c r="J115" s="4" t="s">
        <v>444</v>
      </c>
      <c r="K115" s="4" t="s">
        <v>443</v>
      </c>
      <c r="L115" s="4" t="s">
        <v>444</v>
      </c>
      <c r="M115" s="4" t="s">
        <v>445</v>
      </c>
      <c r="N115" s="4" t="s">
        <v>676</v>
      </c>
      <c r="O115" s="4" t="s">
        <v>498</v>
      </c>
      <c r="P115" s="4" t="s">
        <v>563</v>
      </c>
      <c r="Q115" s="4" t="str">
        <f>"8088218342"</f>
        <v>8088218342</v>
      </c>
      <c r="S115" s="4" t="str">
        <f>"00880882183424"</f>
        <v>00880882183424</v>
      </c>
      <c r="T115" s="24">
        <v>41278</v>
      </c>
      <c r="U115" s="24">
        <v>41278</v>
      </c>
      <c r="V115" s="24">
        <v>1</v>
      </c>
      <c r="W115" s="4" t="str">
        <f>"8088218342"</f>
        <v>8088218342</v>
      </c>
      <c r="X115" s="4" t="s">
        <v>563</v>
      </c>
      <c r="Y115" s="4" t="str">
        <f t="shared" si="14"/>
        <v>1010</v>
      </c>
      <c r="Z115" s="4" t="str">
        <f t="shared" si="21"/>
        <v>11</v>
      </c>
      <c r="AA115" s="4" t="s">
        <v>93</v>
      </c>
      <c r="AB115" s="4" t="s">
        <v>564</v>
      </c>
      <c r="AC115" s="4" t="s">
        <v>563</v>
      </c>
      <c r="AD115" s="4" t="s">
        <v>679</v>
      </c>
      <c r="AE115" s="4" t="s">
        <v>680</v>
      </c>
      <c r="AF115" s="4" t="s">
        <v>567</v>
      </c>
      <c r="AH115" s="4" t="s">
        <v>568</v>
      </c>
      <c r="AI115" s="4" t="s">
        <v>569</v>
      </c>
      <c r="AJ115" s="4" t="s">
        <v>570</v>
      </c>
      <c r="AK115" s="4" t="s">
        <v>577</v>
      </c>
      <c r="AL115" s="4" t="s">
        <v>578</v>
      </c>
      <c r="AN115" s="4" t="str">
        <f t="shared" si="22"/>
        <v>1</v>
      </c>
      <c r="AO115" s="4" t="s">
        <v>606</v>
      </c>
      <c r="AP115" s="4" t="s">
        <v>584</v>
      </c>
      <c r="AQ115" s="4" t="s">
        <v>575</v>
      </c>
      <c r="AR115" s="4" t="str">
        <f>".7500"</f>
        <v>.7500</v>
      </c>
      <c r="AS115" s="4" t="str">
        <f>"9.07"</f>
        <v>9.07</v>
      </c>
      <c r="AT115" s="4" t="s">
        <v>607</v>
      </c>
      <c r="AU115" s="4" t="str">
        <f>"9.07"</f>
        <v>9.07</v>
      </c>
      <c r="AV115" s="4">
        <v>11</v>
      </c>
      <c r="AW115" s="4">
        <v>-11</v>
      </c>
      <c r="AX115" s="4">
        <v>-95.92</v>
      </c>
      <c r="AY115" s="4">
        <v>0</v>
      </c>
      <c r="AZ115" s="4">
        <v>0</v>
      </c>
      <c r="BA115" s="4">
        <v>98.06</v>
      </c>
      <c r="BB115" s="4">
        <v>2.14</v>
      </c>
      <c r="BC115" s="4">
        <v>98.06</v>
      </c>
      <c r="BD115" s="4">
        <v>0</v>
      </c>
    </row>
    <row r="116" spans="1:56" x14ac:dyDescent="0.2">
      <c r="A116" s="4" t="s">
        <v>558</v>
      </c>
      <c r="B116" s="4" t="s">
        <v>559</v>
      </c>
      <c r="C116" s="4" t="s">
        <v>560</v>
      </c>
      <c r="D116" s="4" t="s">
        <v>445</v>
      </c>
      <c r="E116" s="4" t="s">
        <v>561</v>
      </c>
      <c r="F116" s="4" t="s">
        <v>559</v>
      </c>
      <c r="G116" s="4" t="s">
        <v>562</v>
      </c>
      <c r="H116" s="4" t="s">
        <v>445</v>
      </c>
      <c r="I116" s="4" t="str">
        <f t="shared" si="12"/>
        <v>1010</v>
      </c>
      <c r="J116" s="4" t="s">
        <v>444</v>
      </c>
      <c r="K116" s="4" t="s">
        <v>443</v>
      </c>
      <c r="L116" s="4" t="s">
        <v>444</v>
      </c>
      <c r="M116" s="4" t="s">
        <v>445</v>
      </c>
      <c r="N116" s="4" t="s">
        <v>676</v>
      </c>
      <c r="O116" s="4" t="s">
        <v>681</v>
      </c>
      <c r="P116" s="4" t="s">
        <v>563</v>
      </c>
      <c r="Q116" s="4" t="str">
        <f>"9102215122"</f>
        <v>9102215122</v>
      </c>
      <c r="S116" s="4" t="str">
        <f>"00791022151220"</f>
        <v>00791022151220</v>
      </c>
      <c r="T116" s="24">
        <v>37820</v>
      </c>
      <c r="U116" s="24">
        <v>37820</v>
      </c>
      <c r="V116" s="24">
        <v>1</v>
      </c>
      <c r="W116" s="4" t="str">
        <f>"9102215122"</f>
        <v>9102215122</v>
      </c>
      <c r="X116" s="4" t="s">
        <v>563</v>
      </c>
      <c r="Y116" s="4" t="str">
        <f t="shared" si="14"/>
        <v>1010</v>
      </c>
      <c r="Z116" s="4" t="str">
        <f t="shared" si="21"/>
        <v>11</v>
      </c>
      <c r="AA116" s="4" t="s">
        <v>93</v>
      </c>
      <c r="AB116" s="4" t="s">
        <v>564</v>
      </c>
      <c r="AC116" s="4" t="s">
        <v>563</v>
      </c>
      <c r="AD116" s="4" t="s">
        <v>679</v>
      </c>
      <c r="AE116" s="4" t="s">
        <v>680</v>
      </c>
      <c r="AF116" s="4" t="s">
        <v>567</v>
      </c>
      <c r="AH116" s="4" t="s">
        <v>568</v>
      </c>
      <c r="AI116" s="4" t="s">
        <v>569</v>
      </c>
      <c r="AJ116" s="4" t="s">
        <v>570</v>
      </c>
      <c r="AK116" s="4" t="s">
        <v>577</v>
      </c>
      <c r="AL116" s="4" t="s">
        <v>578</v>
      </c>
      <c r="AN116" s="4" t="str">
        <f t="shared" si="22"/>
        <v>1</v>
      </c>
      <c r="AO116" s="4" t="s">
        <v>579</v>
      </c>
      <c r="AP116" s="4" t="s">
        <v>574</v>
      </c>
      <c r="AQ116" s="4" t="s">
        <v>580</v>
      </c>
      <c r="AR116" s="4" t="str">
        <f>".7500"</f>
        <v>.7500</v>
      </c>
      <c r="AS116" s="4" t="str">
        <f>"7.50"</f>
        <v>7.50</v>
      </c>
      <c r="AT116" s="4" t="s">
        <v>581</v>
      </c>
      <c r="AU116" s="4" t="str">
        <f>"7.50"</f>
        <v>7.50</v>
      </c>
      <c r="AV116" s="4">
        <v>2</v>
      </c>
      <c r="AW116" s="4">
        <v>0</v>
      </c>
      <c r="AX116" s="4">
        <v>0</v>
      </c>
      <c r="AY116" s="4">
        <v>2</v>
      </c>
      <c r="AZ116" s="4">
        <v>0</v>
      </c>
      <c r="BA116" s="4">
        <v>15</v>
      </c>
      <c r="BB116" s="4">
        <v>15</v>
      </c>
      <c r="BC116" s="4">
        <v>15</v>
      </c>
      <c r="BD116" s="4">
        <v>0</v>
      </c>
    </row>
    <row r="117" spans="1:56" x14ac:dyDescent="0.2">
      <c r="A117" s="4" t="s">
        <v>558</v>
      </c>
      <c r="B117" s="4" t="s">
        <v>559</v>
      </c>
      <c r="C117" s="4" t="s">
        <v>560</v>
      </c>
      <c r="D117" s="4" t="s">
        <v>445</v>
      </c>
      <c r="E117" s="4" t="s">
        <v>561</v>
      </c>
      <c r="F117" s="4" t="s">
        <v>559</v>
      </c>
      <c r="G117" s="4" t="s">
        <v>562</v>
      </c>
      <c r="H117" s="4" t="s">
        <v>445</v>
      </c>
      <c r="I117" s="4" t="str">
        <f t="shared" si="12"/>
        <v>1010</v>
      </c>
      <c r="J117" s="4" t="s">
        <v>444</v>
      </c>
      <c r="K117" s="4" t="s">
        <v>443</v>
      </c>
      <c r="L117" s="4" t="s">
        <v>444</v>
      </c>
      <c r="M117" s="4" t="s">
        <v>445</v>
      </c>
      <c r="N117" s="4" t="s">
        <v>682</v>
      </c>
      <c r="O117" s="4" t="s">
        <v>683</v>
      </c>
      <c r="P117" s="4" t="s">
        <v>563</v>
      </c>
      <c r="Q117" s="4" t="str">
        <f>"8088217531"</f>
        <v>8088217531</v>
      </c>
      <c r="S117" s="4" t="str">
        <f>"00880882175313"</f>
        <v>00880882175313</v>
      </c>
      <c r="T117" s="24">
        <v>40788</v>
      </c>
      <c r="U117" s="24">
        <v>40788</v>
      </c>
      <c r="V117" s="24">
        <v>1</v>
      </c>
      <c r="W117" s="4" t="str">
        <f>"8088217531"</f>
        <v>8088217531</v>
      </c>
      <c r="X117" s="4" t="s">
        <v>563</v>
      </c>
      <c r="Y117" s="4" t="str">
        <f t="shared" si="14"/>
        <v>1010</v>
      </c>
      <c r="Z117" s="4" t="str">
        <f t="shared" si="21"/>
        <v>11</v>
      </c>
      <c r="AA117" s="4" t="s">
        <v>93</v>
      </c>
      <c r="AB117" s="4" t="s">
        <v>564</v>
      </c>
      <c r="AC117" s="4" t="s">
        <v>563</v>
      </c>
      <c r="AD117" s="4" t="s">
        <v>565</v>
      </c>
      <c r="AE117" s="4" t="s">
        <v>566</v>
      </c>
      <c r="AF117" s="4" t="s">
        <v>567</v>
      </c>
      <c r="AH117" s="4" t="s">
        <v>568</v>
      </c>
      <c r="AI117" s="4" t="s">
        <v>569</v>
      </c>
      <c r="AJ117" s="4" t="s">
        <v>570</v>
      </c>
      <c r="AK117" s="4" t="s">
        <v>571</v>
      </c>
      <c r="AL117" s="4" t="s">
        <v>572</v>
      </c>
      <c r="AN117" s="4" t="str">
        <f t="shared" si="22"/>
        <v>1</v>
      </c>
      <c r="AO117" s="4" t="s">
        <v>583</v>
      </c>
      <c r="AP117" s="4" t="s">
        <v>574</v>
      </c>
      <c r="AQ117" s="4" t="s">
        <v>575</v>
      </c>
      <c r="AR117" s="4" t="str">
        <f>"1.8000"</f>
        <v>1.8000</v>
      </c>
      <c r="AS117" s="4" t="str">
        <f>"11.59"</f>
        <v>11.59</v>
      </c>
      <c r="AT117" s="4" t="s">
        <v>585</v>
      </c>
      <c r="AU117" s="4" t="str">
        <f>"11.59"</f>
        <v>11.59</v>
      </c>
      <c r="AV117" s="4">
        <v>25</v>
      </c>
      <c r="AW117" s="4">
        <v>0</v>
      </c>
      <c r="AX117" s="4">
        <v>0</v>
      </c>
      <c r="AY117" s="4">
        <v>25</v>
      </c>
      <c r="AZ117" s="4">
        <v>0</v>
      </c>
      <c r="BA117" s="4">
        <v>289.75</v>
      </c>
      <c r="BB117" s="4">
        <v>289.75</v>
      </c>
      <c r="BC117" s="4">
        <v>289.75</v>
      </c>
      <c r="BD117" s="4">
        <v>0</v>
      </c>
    </row>
    <row r="118" spans="1:56" x14ac:dyDescent="0.2">
      <c r="A118" s="4" t="s">
        <v>558</v>
      </c>
      <c r="B118" s="4" t="s">
        <v>559</v>
      </c>
      <c r="C118" s="4" t="s">
        <v>560</v>
      </c>
      <c r="D118" s="4" t="s">
        <v>445</v>
      </c>
      <c r="E118" s="4" t="s">
        <v>561</v>
      </c>
      <c r="F118" s="4" t="s">
        <v>559</v>
      </c>
      <c r="G118" s="4" t="s">
        <v>562</v>
      </c>
      <c r="H118" s="4" t="s">
        <v>445</v>
      </c>
      <c r="I118" s="4" t="str">
        <f t="shared" si="12"/>
        <v>1010</v>
      </c>
      <c r="J118" s="4" t="s">
        <v>444</v>
      </c>
      <c r="K118" s="4" t="s">
        <v>443</v>
      </c>
      <c r="L118" s="4" t="s">
        <v>444</v>
      </c>
      <c r="M118" s="4" t="s">
        <v>445</v>
      </c>
      <c r="N118" s="4" t="s">
        <v>682</v>
      </c>
      <c r="O118" s="4" t="s">
        <v>683</v>
      </c>
      <c r="P118" s="4" t="s">
        <v>563</v>
      </c>
      <c r="Q118" s="4" t="str">
        <f>"8088217532"</f>
        <v>8088217532</v>
      </c>
      <c r="S118" s="4" t="str">
        <f>"00880882175320"</f>
        <v>00880882175320</v>
      </c>
      <c r="T118" s="24">
        <v>40753</v>
      </c>
      <c r="U118" s="24">
        <v>40753</v>
      </c>
      <c r="V118" s="24">
        <v>1</v>
      </c>
      <c r="W118" s="4" t="str">
        <f>"8088217532"</f>
        <v>8088217532</v>
      </c>
      <c r="X118" s="4" t="s">
        <v>563</v>
      </c>
      <c r="Y118" s="4" t="str">
        <f t="shared" si="14"/>
        <v>1010</v>
      </c>
      <c r="Z118" s="4" t="str">
        <f t="shared" si="21"/>
        <v>11</v>
      </c>
      <c r="AA118" s="4" t="s">
        <v>93</v>
      </c>
      <c r="AB118" s="4" t="s">
        <v>564</v>
      </c>
      <c r="AC118" s="4" t="s">
        <v>563</v>
      </c>
      <c r="AD118" s="4" t="s">
        <v>565</v>
      </c>
      <c r="AE118" s="4" t="s">
        <v>566</v>
      </c>
      <c r="AF118" s="4" t="s">
        <v>567</v>
      </c>
      <c r="AH118" s="4" t="s">
        <v>568</v>
      </c>
      <c r="AI118" s="4" t="s">
        <v>569</v>
      </c>
      <c r="AJ118" s="4" t="s">
        <v>570</v>
      </c>
      <c r="AK118" s="4" t="s">
        <v>577</v>
      </c>
      <c r="AL118" s="4" t="s">
        <v>578</v>
      </c>
      <c r="AN118" s="4" t="str">
        <f t="shared" si="22"/>
        <v>1</v>
      </c>
      <c r="AO118" s="4" t="s">
        <v>579</v>
      </c>
      <c r="AP118" s="4" t="s">
        <v>574</v>
      </c>
      <c r="AQ118" s="4" t="s">
        <v>580</v>
      </c>
      <c r="AR118" s="4" t="str">
        <f>".7500"</f>
        <v>.7500</v>
      </c>
      <c r="AS118" s="4" t="str">
        <f>"7.50"</f>
        <v>7.50</v>
      </c>
      <c r="AT118" s="4" t="s">
        <v>581</v>
      </c>
      <c r="AU118" s="4" t="str">
        <f>"7.50"</f>
        <v>7.50</v>
      </c>
      <c r="AV118" s="4">
        <v>12</v>
      </c>
      <c r="AW118" s="4">
        <v>-1</v>
      </c>
      <c r="AX118" s="4">
        <v>-7.15</v>
      </c>
      <c r="AY118" s="4">
        <v>11</v>
      </c>
      <c r="AZ118" s="4">
        <v>6.05</v>
      </c>
      <c r="BA118" s="4">
        <v>90.03</v>
      </c>
      <c r="BB118" s="4">
        <v>76.83</v>
      </c>
      <c r="BC118" s="4">
        <v>83.98</v>
      </c>
      <c r="BD118" s="4">
        <v>0</v>
      </c>
    </row>
    <row r="119" spans="1:56" x14ac:dyDescent="0.2">
      <c r="A119" s="4" t="s">
        <v>558</v>
      </c>
      <c r="B119" s="4" t="s">
        <v>559</v>
      </c>
      <c r="C119" s="4" t="s">
        <v>560</v>
      </c>
      <c r="D119" s="4" t="s">
        <v>445</v>
      </c>
      <c r="E119" s="4" t="s">
        <v>561</v>
      </c>
      <c r="F119" s="4" t="s">
        <v>559</v>
      </c>
      <c r="G119" s="4" t="s">
        <v>562</v>
      </c>
      <c r="H119" s="4" t="s">
        <v>445</v>
      </c>
      <c r="I119" s="4" t="str">
        <f t="shared" si="12"/>
        <v>1010</v>
      </c>
      <c r="J119" s="4" t="s">
        <v>444</v>
      </c>
      <c r="K119" s="4" t="s">
        <v>443</v>
      </c>
      <c r="L119" s="4" t="s">
        <v>444</v>
      </c>
      <c r="M119" s="4" t="s">
        <v>445</v>
      </c>
      <c r="N119" s="4" t="s">
        <v>684</v>
      </c>
      <c r="O119" s="4" t="s">
        <v>685</v>
      </c>
      <c r="P119" s="4" t="s">
        <v>563</v>
      </c>
      <c r="Q119" s="4" t="str">
        <f>"8088216242"</f>
        <v>8088216242</v>
      </c>
      <c r="S119" s="4" t="str">
        <f>"00880882162429"</f>
        <v>00880882162429</v>
      </c>
      <c r="T119" s="24">
        <v>38107</v>
      </c>
      <c r="U119" s="24">
        <v>38107</v>
      </c>
      <c r="V119" s="24">
        <v>1</v>
      </c>
      <c r="W119" s="4" t="str">
        <f>"8088216242"</f>
        <v>8088216242</v>
      </c>
      <c r="X119" s="4" t="s">
        <v>563</v>
      </c>
      <c r="Y119" s="4" t="str">
        <f t="shared" si="14"/>
        <v>1010</v>
      </c>
      <c r="Z119" s="4" t="str">
        <f t="shared" si="21"/>
        <v>11</v>
      </c>
      <c r="AA119" s="4" t="s">
        <v>93</v>
      </c>
      <c r="AB119" s="4" t="s">
        <v>564</v>
      </c>
      <c r="AC119" s="4" t="s">
        <v>563</v>
      </c>
      <c r="AD119" s="4" t="s">
        <v>565</v>
      </c>
      <c r="AE119" s="4" t="s">
        <v>566</v>
      </c>
      <c r="AF119" s="4" t="s">
        <v>567</v>
      </c>
      <c r="AH119" s="4" t="s">
        <v>568</v>
      </c>
      <c r="AI119" s="4" t="s">
        <v>589</v>
      </c>
      <c r="AJ119" s="4" t="s">
        <v>590</v>
      </c>
      <c r="AK119" s="4" t="s">
        <v>577</v>
      </c>
      <c r="AL119" s="4" t="s">
        <v>578</v>
      </c>
      <c r="AN119" s="4" t="str">
        <f t="shared" si="22"/>
        <v>1</v>
      </c>
      <c r="AO119" s="4" t="s">
        <v>686</v>
      </c>
      <c r="AP119" s="4" t="s">
        <v>574</v>
      </c>
      <c r="AQ119" s="4" t="s">
        <v>687</v>
      </c>
      <c r="AR119" s="4" t="str">
        <f>".7500"</f>
        <v>.7500</v>
      </c>
      <c r="AS119" s="4" t="str">
        <f>"4.75"</f>
        <v>4.75</v>
      </c>
      <c r="AT119" s="4" t="s">
        <v>688</v>
      </c>
      <c r="AU119" s="4" t="str">
        <f>"4.75"</f>
        <v>4.75</v>
      </c>
      <c r="AV119" s="4">
        <v>31</v>
      </c>
      <c r="AW119" s="4">
        <v>-2</v>
      </c>
      <c r="AX119" s="4">
        <v>-8.8000000000000007</v>
      </c>
      <c r="AY119" s="4">
        <v>29</v>
      </c>
      <c r="AZ119" s="4">
        <v>0</v>
      </c>
      <c r="BA119" s="4">
        <v>147.25</v>
      </c>
      <c r="BB119" s="4">
        <v>138.44999999999999</v>
      </c>
      <c r="BC119" s="4">
        <v>147.25</v>
      </c>
      <c r="BD119" s="4">
        <v>0</v>
      </c>
    </row>
    <row r="120" spans="1:56" x14ac:dyDescent="0.2">
      <c r="A120" s="4" t="s">
        <v>558</v>
      </c>
      <c r="B120" s="4" t="s">
        <v>559</v>
      </c>
      <c r="C120" s="4" t="s">
        <v>560</v>
      </c>
      <c r="D120" s="4" t="s">
        <v>445</v>
      </c>
      <c r="E120" s="4" t="s">
        <v>561</v>
      </c>
      <c r="F120" s="4" t="s">
        <v>559</v>
      </c>
      <c r="G120" s="4" t="s">
        <v>562</v>
      </c>
      <c r="H120" s="4" t="s">
        <v>445</v>
      </c>
      <c r="I120" s="4" t="str">
        <f t="shared" si="12"/>
        <v>1010</v>
      </c>
      <c r="J120" s="4" t="s">
        <v>444</v>
      </c>
      <c r="K120" s="4" t="s">
        <v>443</v>
      </c>
      <c r="L120" s="4" t="s">
        <v>444</v>
      </c>
      <c r="M120" s="4" t="s">
        <v>445</v>
      </c>
      <c r="N120" s="4" t="s">
        <v>684</v>
      </c>
      <c r="O120" s="4" t="s">
        <v>689</v>
      </c>
      <c r="P120" s="4" t="s">
        <v>563</v>
      </c>
      <c r="Q120" s="4" t="str">
        <f>"8088216562"</f>
        <v>8088216562</v>
      </c>
      <c r="S120" s="4" t="str">
        <f>"00880882165628"</f>
        <v>00880882165628</v>
      </c>
      <c r="T120" s="24">
        <v>40641</v>
      </c>
      <c r="U120" s="24">
        <v>40641</v>
      </c>
      <c r="V120" s="24">
        <v>1</v>
      </c>
      <c r="W120" s="4" t="str">
        <f>"8088216562"</f>
        <v>8088216562</v>
      </c>
      <c r="X120" s="4" t="s">
        <v>563</v>
      </c>
      <c r="Y120" s="4" t="str">
        <f t="shared" si="14"/>
        <v>1010</v>
      </c>
      <c r="Z120" s="4" t="str">
        <f t="shared" si="21"/>
        <v>11</v>
      </c>
      <c r="AA120" s="4" t="s">
        <v>93</v>
      </c>
      <c r="AB120" s="4" t="s">
        <v>564</v>
      </c>
      <c r="AC120" s="4" t="s">
        <v>563</v>
      </c>
      <c r="AD120" s="4" t="s">
        <v>565</v>
      </c>
      <c r="AE120" s="4" t="s">
        <v>566</v>
      </c>
      <c r="AF120" s="4" t="s">
        <v>567</v>
      </c>
      <c r="AH120" s="4" t="s">
        <v>568</v>
      </c>
      <c r="AI120" s="4" t="s">
        <v>569</v>
      </c>
      <c r="AJ120" s="4" t="s">
        <v>570</v>
      </c>
      <c r="AK120" s="4" t="s">
        <v>577</v>
      </c>
      <c r="AL120" s="4" t="s">
        <v>578</v>
      </c>
      <c r="AN120" s="4" t="str">
        <f t="shared" si="22"/>
        <v>1</v>
      </c>
      <c r="AO120" s="4" t="s">
        <v>686</v>
      </c>
      <c r="AP120" s="4" t="s">
        <v>574</v>
      </c>
      <c r="AQ120" s="4" t="s">
        <v>687</v>
      </c>
      <c r="AR120" s="4" t="str">
        <f>".7500"</f>
        <v>.7500</v>
      </c>
      <c r="AS120" s="4" t="str">
        <f>"4.75"</f>
        <v>4.75</v>
      </c>
      <c r="AT120" s="4" t="s">
        <v>688</v>
      </c>
      <c r="AU120" s="4" t="str">
        <f>"4.75"</f>
        <v>4.75</v>
      </c>
      <c r="AV120" s="4">
        <v>30</v>
      </c>
      <c r="AW120" s="4">
        <v>-1</v>
      </c>
      <c r="AX120" s="4">
        <v>-4.4000000000000004</v>
      </c>
      <c r="AY120" s="4">
        <v>29</v>
      </c>
      <c r="AZ120" s="4">
        <v>0</v>
      </c>
      <c r="BA120" s="4">
        <v>142.5</v>
      </c>
      <c r="BB120" s="4">
        <v>138.1</v>
      </c>
      <c r="BC120" s="4">
        <v>142.5</v>
      </c>
      <c r="BD120" s="4">
        <v>0</v>
      </c>
    </row>
    <row r="121" spans="1:56" x14ac:dyDescent="0.2">
      <c r="A121" s="4" t="s">
        <v>558</v>
      </c>
      <c r="B121" s="4" t="s">
        <v>559</v>
      </c>
      <c r="C121" s="4" t="s">
        <v>560</v>
      </c>
      <c r="D121" s="4" t="s">
        <v>445</v>
      </c>
      <c r="E121" s="4" t="s">
        <v>561</v>
      </c>
      <c r="F121" s="4" t="s">
        <v>559</v>
      </c>
      <c r="G121" s="4" t="s">
        <v>562</v>
      </c>
      <c r="H121" s="4" t="s">
        <v>445</v>
      </c>
      <c r="I121" s="4" t="str">
        <f t="shared" si="12"/>
        <v>1010</v>
      </c>
      <c r="J121" s="4" t="s">
        <v>444</v>
      </c>
      <c r="K121" s="4" t="s">
        <v>443</v>
      </c>
      <c r="L121" s="4" t="s">
        <v>444</v>
      </c>
      <c r="M121" s="4" t="s">
        <v>445</v>
      </c>
      <c r="N121" s="4" t="s">
        <v>684</v>
      </c>
      <c r="O121" s="4" t="s">
        <v>690</v>
      </c>
      <c r="P121" s="4" t="s">
        <v>563</v>
      </c>
      <c r="Q121" s="4" t="str">
        <f>"8088217411"</f>
        <v>8088217411</v>
      </c>
      <c r="S121" s="4" t="str">
        <f>"00880882174118"</f>
        <v>00880882174118</v>
      </c>
      <c r="T121" s="24">
        <v>40864</v>
      </c>
      <c r="U121" s="24">
        <v>40864</v>
      </c>
      <c r="V121" s="24">
        <v>1</v>
      </c>
      <c r="W121" s="4" t="str">
        <f>"8088217411"</f>
        <v>8088217411</v>
      </c>
      <c r="X121" s="4" t="s">
        <v>563</v>
      </c>
      <c r="Y121" s="4" t="str">
        <f t="shared" si="14"/>
        <v>1010</v>
      </c>
      <c r="Z121" s="4" t="str">
        <f t="shared" si="21"/>
        <v>11</v>
      </c>
      <c r="AA121" s="4" t="s">
        <v>93</v>
      </c>
      <c r="AB121" s="4" t="s">
        <v>564</v>
      </c>
      <c r="AC121" s="4" t="s">
        <v>563</v>
      </c>
      <c r="AD121" s="4" t="s">
        <v>565</v>
      </c>
      <c r="AE121" s="4" t="s">
        <v>566</v>
      </c>
      <c r="AF121" s="4" t="s">
        <v>567</v>
      </c>
      <c r="AH121" s="4" t="s">
        <v>568</v>
      </c>
      <c r="AI121" s="4" t="s">
        <v>569</v>
      </c>
      <c r="AJ121" s="4" t="s">
        <v>570</v>
      </c>
      <c r="AK121" s="4" t="s">
        <v>571</v>
      </c>
      <c r="AL121" s="4" t="s">
        <v>572</v>
      </c>
      <c r="AN121" s="4" t="str">
        <f t="shared" si="22"/>
        <v>1</v>
      </c>
      <c r="AO121" s="4" t="s">
        <v>691</v>
      </c>
      <c r="AP121" s="4" t="s">
        <v>574</v>
      </c>
      <c r="AQ121" s="4" t="s">
        <v>575</v>
      </c>
      <c r="AR121" s="4" t="str">
        <f>"1.8000"</f>
        <v>1.8000</v>
      </c>
      <c r="AS121" s="4" t="str">
        <f>"51.18"</f>
        <v>51.18</v>
      </c>
      <c r="AT121" s="4" t="s">
        <v>692</v>
      </c>
      <c r="AU121" s="4" t="str">
        <f>"51.18"</f>
        <v>51.18</v>
      </c>
      <c r="AV121" s="4">
        <v>1</v>
      </c>
      <c r="AW121" s="4">
        <v>0</v>
      </c>
      <c r="AX121" s="4">
        <v>0</v>
      </c>
      <c r="AY121" s="4">
        <v>1</v>
      </c>
      <c r="AZ121" s="4">
        <v>0</v>
      </c>
      <c r="BA121" s="4">
        <v>51.18</v>
      </c>
      <c r="BB121" s="4">
        <v>51.18</v>
      </c>
      <c r="BC121" s="4">
        <v>51.18</v>
      </c>
      <c r="BD121" s="4">
        <v>0</v>
      </c>
    </row>
    <row r="122" spans="1:56" x14ac:dyDescent="0.2">
      <c r="A122" s="4" t="s">
        <v>558</v>
      </c>
      <c r="B122" s="4" t="s">
        <v>559</v>
      </c>
      <c r="C122" s="4" t="s">
        <v>560</v>
      </c>
      <c r="D122" s="4" t="s">
        <v>445</v>
      </c>
      <c r="E122" s="4" t="s">
        <v>561</v>
      </c>
      <c r="F122" s="4" t="s">
        <v>559</v>
      </c>
      <c r="G122" s="4" t="s">
        <v>562</v>
      </c>
      <c r="H122" s="4" t="s">
        <v>445</v>
      </c>
      <c r="I122" s="4" t="str">
        <f t="shared" si="12"/>
        <v>1010</v>
      </c>
      <c r="J122" s="4" t="s">
        <v>444</v>
      </c>
      <c r="K122" s="4" t="s">
        <v>443</v>
      </c>
      <c r="L122" s="4" t="s">
        <v>444</v>
      </c>
      <c r="M122" s="4" t="s">
        <v>445</v>
      </c>
      <c r="N122" s="4" t="s">
        <v>684</v>
      </c>
      <c r="O122" s="4" t="s">
        <v>486</v>
      </c>
      <c r="P122" s="4" t="s">
        <v>563</v>
      </c>
      <c r="Q122" s="4" t="str">
        <f>"8088217372"</f>
        <v>8088217372</v>
      </c>
      <c r="S122" s="4" t="str">
        <f>"00880882173722"</f>
        <v>00880882173722</v>
      </c>
      <c r="T122" s="24">
        <v>40690</v>
      </c>
      <c r="U122" s="24">
        <v>40690</v>
      </c>
      <c r="V122" s="24">
        <v>1</v>
      </c>
      <c r="W122" s="4" t="str">
        <f>"8088217372"</f>
        <v>8088217372</v>
      </c>
      <c r="X122" s="4" t="s">
        <v>563</v>
      </c>
      <c r="Y122" s="4" t="str">
        <f t="shared" si="14"/>
        <v>1010</v>
      </c>
      <c r="Z122" s="4" t="str">
        <f t="shared" si="21"/>
        <v>11</v>
      </c>
      <c r="AA122" s="4" t="s">
        <v>93</v>
      </c>
      <c r="AB122" s="4" t="s">
        <v>564</v>
      </c>
      <c r="AC122" s="4" t="s">
        <v>563</v>
      </c>
      <c r="AD122" s="4" t="s">
        <v>565</v>
      </c>
      <c r="AE122" s="4" t="s">
        <v>566</v>
      </c>
      <c r="AF122" s="4" t="s">
        <v>567</v>
      </c>
      <c r="AH122" s="4" t="s">
        <v>568</v>
      </c>
      <c r="AI122" s="4" t="s">
        <v>569</v>
      </c>
      <c r="AJ122" s="4" t="s">
        <v>570</v>
      </c>
      <c r="AK122" s="4" t="s">
        <v>577</v>
      </c>
      <c r="AL122" s="4" t="s">
        <v>578</v>
      </c>
      <c r="AN122" s="4" t="str">
        <f t="shared" si="22"/>
        <v>1</v>
      </c>
      <c r="AO122" s="4" t="s">
        <v>606</v>
      </c>
      <c r="AP122" s="4" t="s">
        <v>574</v>
      </c>
      <c r="AQ122" s="4" t="s">
        <v>575</v>
      </c>
      <c r="AR122" s="4" t="str">
        <f>".7500"</f>
        <v>.7500</v>
      </c>
      <c r="AS122" s="4" t="str">
        <f>"9.07"</f>
        <v>9.07</v>
      </c>
      <c r="AT122" s="4" t="s">
        <v>607</v>
      </c>
      <c r="AU122" s="4" t="str">
        <f>"9.07"</f>
        <v>9.07</v>
      </c>
      <c r="AV122" s="4">
        <v>359</v>
      </c>
      <c r="AW122" s="4">
        <v>-323</v>
      </c>
      <c r="AX122" s="4">
        <v>-2902.31</v>
      </c>
      <c r="AY122" s="4">
        <v>36</v>
      </c>
      <c r="AZ122" s="4">
        <v>163.81</v>
      </c>
      <c r="BA122" s="4">
        <v>3256.66</v>
      </c>
      <c r="BB122" s="4">
        <v>190.54</v>
      </c>
      <c r="BC122" s="4">
        <v>3092.85</v>
      </c>
      <c r="BD122" s="4">
        <v>0</v>
      </c>
    </row>
    <row r="123" spans="1:56" x14ac:dyDescent="0.2">
      <c r="A123" s="4" t="s">
        <v>558</v>
      </c>
      <c r="B123" s="4" t="s">
        <v>559</v>
      </c>
      <c r="C123" s="4" t="s">
        <v>560</v>
      </c>
      <c r="D123" s="4" t="s">
        <v>445</v>
      </c>
      <c r="E123" s="4" t="s">
        <v>561</v>
      </c>
      <c r="F123" s="4" t="s">
        <v>559</v>
      </c>
      <c r="G123" s="4" t="s">
        <v>562</v>
      </c>
      <c r="H123" s="4" t="s">
        <v>445</v>
      </c>
      <c r="I123" s="4" t="str">
        <f t="shared" si="12"/>
        <v>1010</v>
      </c>
      <c r="J123" s="4" t="s">
        <v>444</v>
      </c>
      <c r="K123" s="4" t="s">
        <v>443</v>
      </c>
      <c r="L123" s="4" t="s">
        <v>444</v>
      </c>
      <c r="M123" s="4" t="s">
        <v>445</v>
      </c>
      <c r="N123" s="4" t="s">
        <v>684</v>
      </c>
      <c r="O123" s="4" t="s">
        <v>486</v>
      </c>
      <c r="P123" s="4" t="s">
        <v>563</v>
      </c>
      <c r="Q123" s="4" t="str">
        <f>"8088217372"</f>
        <v>8088217372</v>
      </c>
      <c r="S123" s="4" t="str">
        <f>"00880882173722"</f>
        <v>00880882173722</v>
      </c>
      <c r="T123" s="24">
        <v>40690</v>
      </c>
      <c r="U123" s="24">
        <v>40690</v>
      </c>
      <c r="V123" s="24">
        <v>1</v>
      </c>
      <c r="W123" s="4" t="str">
        <f>"8088217372"</f>
        <v>8088217372</v>
      </c>
      <c r="X123" s="4" t="s">
        <v>563</v>
      </c>
      <c r="Y123" s="4" t="str">
        <f t="shared" si="14"/>
        <v>1010</v>
      </c>
      <c r="Z123" s="4" t="str">
        <f>"53"</f>
        <v>53</v>
      </c>
      <c r="AA123" s="4" t="s">
        <v>93</v>
      </c>
      <c r="AB123" s="4" t="s">
        <v>564</v>
      </c>
      <c r="AC123" s="4" t="s">
        <v>563</v>
      </c>
      <c r="AD123" s="4" t="s">
        <v>565</v>
      </c>
      <c r="AE123" s="4" t="s">
        <v>566</v>
      </c>
      <c r="AF123" s="4" t="s">
        <v>568</v>
      </c>
      <c r="AH123" s="4" t="s">
        <v>568</v>
      </c>
      <c r="AI123" s="4" t="s">
        <v>569</v>
      </c>
      <c r="AJ123" s="4" t="s">
        <v>570</v>
      </c>
      <c r="AK123" s="4" t="s">
        <v>577</v>
      </c>
      <c r="AL123" s="4" t="s">
        <v>578</v>
      </c>
      <c r="AN123" s="4" t="str">
        <f t="shared" si="22"/>
        <v>1</v>
      </c>
      <c r="AO123" s="4" t="s">
        <v>606</v>
      </c>
      <c r="AP123" s="4" t="s">
        <v>574</v>
      </c>
      <c r="AQ123" s="4" t="s">
        <v>575</v>
      </c>
      <c r="AR123" s="4" t="str">
        <f>".7500"</f>
        <v>.7500</v>
      </c>
      <c r="AS123" s="4" t="str">
        <f>"9.07"</f>
        <v>9.07</v>
      </c>
      <c r="AT123" s="4" t="s">
        <v>607</v>
      </c>
      <c r="AU123" s="4" t="str">
        <f>"9.07"</f>
        <v>9.07</v>
      </c>
      <c r="AV123" s="4">
        <v>50</v>
      </c>
      <c r="AW123" s="4">
        <v>0</v>
      </c>
      <c r="AX123" s="4">
        <v>0</v>
      </c>
      <c r="AY123" s="4">
        <v>50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</row>
    <row r="124" spans="1:56" x14ac:dyDescent="0.2">
      <c r="A124" s="4" t="s">
        <v>558</v>
      </c>
      <c r="B124" s="4" t="s">
        <v>559</v>
      </c>
      <c r="C124" s="4" t="s">
        <v>560</v>
      </c>
      <c r="D124" s="4" t="s">
        <v>445</v>
      </c>
      <c r="E124" s="4" t="s">
        <v>561</v>
      </c>
      <c r="F124" s="4" t="s">
        <v>559</v>
      </c>
      <c r="G124" s="4" t="s">
        <v>562</v>
      </c>
      <c r="H124" s="4" t="s">
        <v>445</v>
      </c>
      <c r="I124" s="4" t="str">
        <f t="shared" si="12"/>
        <v>1010</v>
      </c>
      <c r="J124" s="4" t="s">
        <v>444</v>
      </c>
      <c r="K124" s="4" t="s">
        <v>443</v>
      </c>
      <c r="L124" s="4" t="s">
        <v>444</v>
      </c>
      <c r="M124" s="4" t="s">
        <v>445</v>
      </c>
      <c r="N124" s="4" t="s">
        <v>684</v>
      </c>
      <c r="O124" s="4" t="s">
        <v>693</v>
      </c>
      <c r="P124" s="4" t="s">
        <v>563</v>
      </c>
      <c r="Q124" s="4" t="str">
        <f>"8088216261"</f>
        <v>8088216261</v>
      </c>
      <c r="S124" s="4" t="str">
        <f>"00880882162610"</f>
        <v>00880882162610</v>
      </c>
      <c r="T124" s="24">
        <v>39605</v>
      </c>
      <c r="U124" s="24">
        <v>39605</v>
      </c>
      <c r="V124" s="24">
        <v>1</v>
      </c>
      <c r="W124" s="4" t="str">
        <f>"8088216261"</f>
        <v>8088216261</v>
      </c>
      <c r="X124" s="4" t="s">
        <v>563</v>
      </c>
      <c r="Y124" s="4" t="str">
        <f t="shared" si="14"/>
        <v>1010</v>
      </c>
      <c r="Z124" s="4" t="str">
        <f t="shared" ref="Z124:Z135" si="23">"11"</f>
        <v>11</v>
      </c>
      <c r="AA124" s="4" t="s">
        <v>93</v>
      </c>
      <c r="AB124" s="4" t="s">
        <v>564</v>
      </c>
      <c r="AC124" s="4" t="s">
        <v>563</v>
      </c>
      <c r="AD124" s="4" t="s">
        <v>565</v>
      </c>
      <c r="AE124" s="4" t="s">
        <v>566</v>
      </c>
      <c r="AF124" s="4" t="s">
        <v>567</v>
      </c>
      <c r="AH124" s="4" t="s">
        <v>568</v>
      </c>
      <c r="AI124" s="4" t="s">
        <v>569</v>
      </c>
      <c r="AJ124" s="4" t="s">
        <v>570</v>
      </c>
      <c r="AK124" s="4" t="s">
        <v>571</v>
      </c>
      <c r="AL124" s="4" t="s">
        <v>572</v>
      </c>
      <c r="AN124" s="4" t="str">
        <f>"2"</f>
        <v>2</v>
      </c>
      <c r="AO124" s="4" t="s">
        <v>612</v>
      </c>
      <c r="AP124" s="4" t="s">
        <v>574</v>
      </c>
      <c r="AQ124" s="4" t="s">
        <v>575</v>
      </c>
      <c r="AR124" s="4" t="str">
        <f>"1.8000"</f>
        <v>1.8000</v>
      </c>
      <c r="AS124" s="4" t="str">
        <f>".00"</f>
        <v>.00</v>
      </c>
      <c r="AT124" s="4" t="s">
        <v>612</v>
      </c>
      <c r="AV124" s="4">
        <v>19</v>
      </c>
      <c r="AW124" s="4">
        <v>0</v>
      </c>
      <c r="AX124" s="4">
        <v>0</v>
      </c>
      <c r="AY124" s="4">
        <v>19</v>
      </c>
      <c r="AZ124" s="4">
        <v>0</v>
      </c>
      <c r="BA124" s="4">
        <v>247</v>
      </c>
      <c r="BB124" s="4">
        <v>247</v>
      </c>
      <c r="BC124" s="4">
        <v>247</v>
      </c>
      <c r="BD124" s="4">
        <v>0</v>
      </c>
    </row>
    <row r="125" spans="1:56" x14ac:dyDescent="0.2">
      <c r="A125" s="4" t="s">
        <v>558</v>
      </c>
      <c r="B125" s="4" t="s">
        <v>559</v>
      </c>
      <c r="C125" s="4" t="s">
        <v>560</v>
      </c>
      <c r="D125" s="4" t="s">
        <v>445</v>
      </c>
      <c r="E125" s="4" t="s">
        <v>561</v>
      </c>
      <c r="F125" s="4" t="s">
        <v>559</v>
      </c>
      <c r="G125" s="4" t="s">
        <v>562</v>
      </c>
      <c r="H125" s="4" t="s">
        <v>445</v>
      </c>
      <c r="I125" s="4" t="str">
        <f t="shared" si="12"/>
        <v>1010</v>
      </c>
      <c r="J125" s="4" t="s">
        <v>444</v>
      </c>
      <c r="K125" s="4" t="s">
        <v>443</v>
      </c>
      <c r="L125" s="4" t="s">
        <v>444</v>
      </c>
      <c r="M125" s="4" t="s">
        <v>445</v>
      </c>
      <c r="N125" s="4" t="s">
        <v>684</v>
      </c>
      <c r="O125" s="4" t="s">
        <v>693</v>
      </c>
      <c r="P125" s="4" t="s">
        <v>563</v>
      </c>
      <c r="Q125" s="4" t="str">
        <f>"8088216262"</f>
        <v>8088216262</v>
      </c>
      <c r="S125" s="4" t="str">
        <f>"00880882162627"</f>
        <v>00880882162627</v>
      </c>
      <c r="T125" s="24">
        <v>39605</v>
      </c>
      <c r="U125" s="24">
        <v>39605</v>
      </c>
      <c r="V125" s="24">
        <v>1</v>
      </c>
      <c r="W125" s="4" t="str">
        <f>"8088216262"</f>
        <v>8088216262</v>
      </c>
      <c r="X125" s="4" t="s">
        <v>563</v>
      </c>
      <c r="Y125" s="4" t="str">
        <f t="shared" si="14"/>
        <v>1010</v>
      </c>
      <c r="Z125" s="4" t="str">
        <f t="shared" si="23"/>
        <v>11</v>
      </c>
      <c r="AA125" s="4" t="s">
        <v>93</v>
      </c>
      <c r="AB125" s="4" t="s">
        <v>564</v>
      </c>
      <c r="AC125" s="4" t="s">
        <v>563</v>
      </c>
      <c r="AD125" s="4" t="s">
        <v>565</v>
      </c>
      <c r="AE125" s="4" t="s">
        <v>566</v>
      </c>
      <c r="AF125" s="4" t="s">
        <v>567</v>
      </c>
      <c r="AH125" s="4" t="s">
        <v>568</v>
      </c>
      <c r="AI125" s="4" t="s">
        <v>569</v>
      </c>
      <c r="AJ125" s="4" t="s">
        <v>570</v>
      </c>
      <c r="AK125" s="4" t="s">
        <v>577</v>
      </c>
      <c r="AL125" s="4" t="s">
        <v>578</v>
      </c>
      <c r="AN125" s="4" t="str">
        <f>"1"</f>
        <v>1</v>
      </c>
      <c r="AO125" s="4" t="s">
        <v>606</v>
      </c>
      <c r="AP125" s="4" t="s">
        <v>574</v>
      </c>
      <c r="AQ125" s="4" t="s">
        <v>575</v>
      </c>
      <c r="AR125" s="4" t="str">
        <f>".7500"</f>
        <v>.7500</v>
      </c>
      <c r="AS125" s="4" t="str">
        <f>"9.07"</f>
        <v>9.07</v>
      </c>
      <c r="AT125" s="4" t="s">
        <v>607</v>
      </c>
      <c r="AU125" s="4" t="str">
        <f>"9.07"</f>
        <v>9.07</v>
      </c>
      <c r="AV125" s="4">
        <v>112</v>
      </c>
      <c r="AW125" s="4">
        <v>-35</v>
      </c>
      <c r="AX125" s="4">
        <v>-308.7</v>
      </c>
      <c r="AY125" s="4">
        <v>77</v>
      </c>
      <c r="AZ125" s="4">
        <v>0</v>
      </c>
      <c r="BA125" s="4">
        <v>1014.7</v>
      </c>
      <c r="BB125" s="4">
        <v>706</v>
      </c>
      <c r="BC125" s="4">
        <v>1014.7</v>
      </c>
      <c r="BD125" s="4">
        <v>0</v>
      </c>
    </row>
    <row r="126" spans="1:56" x14ac:dyDescent="0.2">
      <c r="A126" s="4" t="s">
        <v>558</v>
      </c>
      <c r="B126" s="4" t="s">
        <v>559</v>
      </c>
      <c r="C126" s="4" t="s">
        <v>560</v>
      </c>
      <c r="D126" s="4" t="s">
        <v>445</v>
      </c>
      <c r="E126" s="4" t="s">
        <v>561</v>
      </c>
      <c r="F126" s="4" t="s">
        <v>559</v>
      </c>
      <c r="G126" s="4" t="s">
        <v>562</v>
      </c>
      <c r="H126" s="4" t="s">
        <v>445</v>
      </c>
      <c r="I126" s="4" t="str">
        <f t="shared" si="12"/>
        <v>1010</v>
      </c>
      <c r="J126" s="4" t="s">
        <v>444</v>
      </c>
      <c r="K126" s="4" t="s">
        <v>443</v>
      </c>
      <c r="L126" s="4" t="s">
        <v>444</v>
      </c>
      <c r="M126" s="4" t="s">
        <v>445</v>
      </c>
      <c r="N126" s="4" t="s">
        <v>684</v>
      </c>
      <c r="O126" s="4" t="s">
        <v>694</v>
      </c>
      <c r="P126" s="4" t="s">
        <v>563</v>
      </c>
      <c r="Q126" s="4" t="str">
        <f>"8088217822"</f>
        <v>8088217822</v>
      </c>
      <c r="S126" s="4" t="str">
        <f>"00880882178222"</f>
        <v>00880882178222</v>
      </c>
      <c r="T126" s="24">
        <v>40886</v>
      </c>
      <c r="U126" s="24">
        <v>40886</v>
      </c>
      <c r="V126" s="24">
        <v>1</v>
      </c>
      <c r="W126" s="4" t="str">
        <f>"8088217822"</f>
        <v>8088217822</v>
      </c>
      <c r="X126" s="4" t="s">
        <v>563</v>
      </c>
      <c r="Y126" s="4" t="str">
        <f t="shared" si="14"/>
        <v>1010</v>
      </c>
      <c r="Z126" s="4" t="str">
        <f t="shared" si="23"/>
        <v>11</v>
      </c>
      <c r="AA126" s="4" t="s">
        <v>93</v>
      </c>
      <c r="AB126" s="4" t="s">
        <v>564</v>
      </c>
      <c r="AC126" s="4" t="s">
        <v>563</v>
      </c>
      <c r="AD126" s="4" t="s">
        <v>565</v>
      </c>
      <c r="AE126" s="4" t="s">
        <v>566</v>
      </c>
      <c r="AF126" s="4" t="s">
        <v>567</v>
      </c>
      <c r="AH126" s="4" t="s">
        <v>568</v>
      </c>
      <c r="AI126" s="4" t="s">
        <v>569</v>
      </c>
      <c r="AJ126" s="4" t="s">
        <v>570</v>
      </c>
      <c r="AK126" s="4" t="s">
        <v>695</v>
      </c>
      <c r="AL126" s="4" t="s">
        <v>696</v>
      </c>
      <c r="AN126" s="4" t="str">
        <f>"1"</f>
        <v>1</v>
      </c>
      <c r="AO126" s="4" t="s">
        <v>697</v>
      </c>
      <c r="AP126" s="4" t="s">
        <v>574</v>
      </c>
      <c r="AQ126" s="4" t="s">
        <v>26</v>
      </c>
      <c r="AR126" s="4" t="str">
        <f>"1.8000"</f>
        <v>1.8000</v>
      </c>
      <c r="AS126" s="4" t="str">
        <f>"4.65"</f>
        <v>4.65</v>
      </c>
      <c r="AT126" s="4" t="s">
        <v>698</v>
      </c>
      <c r="AU126" s="4" t="str">
        <f>"4.65"</f>
        <v>4.65</v>
      </c>
      <c r="AV126" s="4">
        <v>4</v>
      </c>
      <c r="AW126" s="4">
        <v>0</v>
      </c>
      <c r="AX126" s="4">
        <v>0</v>
      </c>
      <c r="AY126" s="4">
        <v>4</v>
      </c>
      <c r="AZ126" s="4">
        <v>0</v>
      </c>
      <c r="BA126" s="4">
        <v>18.600000000000001</v>
      </c>
      <c r="BB126" s="4">
        <v>18.600000000000001</v>
      </c>
      <c r="BC126" s="4">
        <v>18.600000000000001</v>
      </c>
      <c r="BD126" s="4">
        <v>0</v>
      </c>
    </row>
    <row r="127" spans="1:56" x14ac:dyDescent="0.2">
      <c r="A127" s="4" t="s">
        <v>558</v>
      </c>
      <c r="B127" s="4" t="s">
        <v>559</v>
      </c>
      <c r="C127" s="4" t="s">
        <v>560</v>
      </c>
      <c r="D127" s="4" t="s">
        <v>445</v>
      </c>
      <c r="E127" s="4" t="s">
        <v>561</v>
      </c>
      <c r="F127" s="4" t="s">
        <v>559</v>
      </c>
      <c r="G127" s="4" t="s">
        <v>562</v>
      </c>
      <c r="H127" s="4" t="s">
        <v>445</v>
      </c>
      <c r="I127" s="4" t="str">
        <f t="shared" si="12"/>
        <v>1010</v>
      </c>
      <c r="J127" s="4" t="s">
        <v>444</v>
      </c>
      <c r="K127" s="4" t="s">
        <v>443</v>
      </c>
      <c r="L127" s="4" t="s">
        <v>444</v>
      </c>
      <c r="M127" s="4" t="s">
        <v>445</v>
      </c>
      <c r="N127" s="4" t="s">
        <v>684</v>
      </c>
      <c r="O127" s="4" t="s">
        <v>699</v>
      </c>
      <c r="P127" s="4" t="s">
        <v>563</v>
      </c>
      <c r="Q127" s="4" t="str">
        <f>"8088215992"</f>
        <v>8088215992</v>
      </c>
      <c r="S127" s="4" t="str">
        <f>"00880882159924"</f>
        <v>00880882159924</v>
      </c>
      <c r="T127" s="24">
        <v>37869</v>
      </c>
      <c r="U127" s="24">
        <v>37869</v>
      </c>
      <c r="V127" s="24">
        <v>1</v>
      </c>
      <c r="W127" s="4" t="str">
        <f>"8088215992"</f>
        <v>8088215992</v>
      </c>
      <c r="X127" s="4" t="s">
        <v>563</v>
      </c>
      <c r="Y127" s="4" t="str">
        <f t="shared" si="14"/>
        <v>1010</v>
      </c>
      <c r="Z127" s="4" t="str">
        <f t="shared" si="23"/>
        <v>11</v>
      </c>
      <c r="AA127" s="4" t="s">
        <v>93</v>
      </c>
      <c r="AB127" s="4" t="s">
        <v>564</v>
      </c>
      <c r="AC127" s="4" t="s">
        <v>563</v>
      </c>
      <c r="AD127" s="4" t="s">
        <v>565</v>
      </c>
      <c r="AE127" s="4" t="s">
        <v>566</v>
      </c>
      <c r="AF127" s="4" t="s">
        <v>567</v>
      </c>
      <c r="AH127" s="4" t="s">
        <v>568</v>
      </c>
      <c r="AI127" s="4" t="s">
        <v>569</v>
      </c>
      <c r="AJ127" s="4" t="s">
        <v>570</v>
      </c>
      <c r="AK127" s="4" t="s">
        <v>577</v>
      </c>
      <c r="AL127" s="4" t="s">
        <v>578</v>
      </c>
      <c r="AN127" s="4" t="str">
        <f>"1"</f>
        <v>1</v>
      </c>
      <c r="AO127" s="4" t="s">
        <v>586</v>
      </c>
      <c r="AP127" s="4" t="s">
        <v>574</v>
      </c>
      <c r="AQ127" s="4" t="s">
        <v>575</v>
      </c>
      <c r="AR127" s="4" t="str">
        <f>".7500"</f>
        <v>.7500</v>
      </c>
      <c r="AS127" s="4" t="str">
        <f>"8.00"</f>
        <v>8.00</v>
      </c>
      <c r="AT127" s="4" t="s">
        <v>587</v>
      </c>
      <c r="AU127" s="4" t="str">
        <f>"8.00"</f>
        <v>8.00</v>
      </c>
      <c r="AV127" s="4">
        <v>259</v>
      </c>
      <c r="AW127" s="4">
        <v>-82</v>
      </c>
      <c r="AX127" s="4">
        <v>-651.1</v>
      </c>
      <c r="AY127" s="4">
        <v>177</v>
      </c>
      <c r="AZ127" s="4">
        <v>55.2</v>
      </c>
      <c r="BA127" s="4">
        <v>2069</v>
      </c>
      <c r="BB127" s="4">
        <v>1362.7</v>
      </c>
      <c r="BC127" s="4">
        <v>2013.8</v>
      </c>
      <c r="BD127" s="4">
        <v>0</v>
      </c>
    </row>
    <row r="128" spans="1:56" x14ac:dyDescent="0.2">
      <c r="A128" s="4" t="s">
        <v>558</v>
      </c>
      <c r="B128" s="4" t="s">
        <v>559</v>
      </c>
      <c r="C128" s="4" t="s">
        <v>560</v>
      </c>
      <c r="D128" s="4" t="s">
        <v>445</v>
      </c>
      <c r="E128" s="4" t="s">
        <v>561</v>
      </c>
      <c r="F128" s="4" t="s">
        <v>559</v>
      </c>
      <c r="G128" s="4" t="s">
        <v>562</v>
      </c>
      <c r="H128" s="4" t="s">
        <v>445</v>
      </c>
      <c r="I128" s="4" t="str">
        <f t="shared" si="12"/>
        <v>1010</v>
      </c>
      <c r="J128" s="4" t="s">
        <v>444</v>
      </c>
      <c r="K128" s="4" t="s">
        <v>443</v>
      </c>
      <c r="L128" s="4" t="s">
        <v>444</v>
      </c>
      <c r="M128" s="4" t="s">
        <v>445</v>
      </c>
      <c r="N128" s="4" t="s">
        <v>684</v>
      </c>
      <c r="O128" s="4" t="s">
        <v>446</v>
      </c>
      <c r="P128" s="4" t="s">
        <v>563</v>
      </c>
      <c r="Q128" s="4" t="str">
        <f>"8088216032"</f>
        <v>8088216032</v>
      </c>
      <c r="S128" s="4" t="str">
        <f>"00880882160326"</f>
        <v>00880882160326</v>
      </c>
      <c r="T128" s="24">
        <v>38982</v>
      </c>
      <c r="U128" s="24">
        <v>38982</v>
      </c>
      <c r="V128" s="24">
        <v>1</v>
      </c>
      <c r="W128" s="4" t="str">
        <f>"8088216032"</f>
        <v>8088216032</v>
      </c>
      <c r="X128" s="4" t="s">
        <v>563</v>
      </c>
      <c r="Y128" s="4" t="str">
        <f t="shared" si="14"/>
        <v>1010</v>
      </c>
      <c r="Z128" s="4" t="str">
        <f t="shared" si="23"/>
        <v>11</v>
      </c>
      <c r="AA128" s="4" t="s">
        <v>93</v>
      </c>
      <c r="AB128" s="4" t="s">
        <v>564</v>
      </c>
      <c r="AC128" s="4" t="s">
        <v>563</v>
      </c>
      <c r="AD128" s="4" t="s">
        <v>565</v>
      </c>
      <c r="AE128" s="4" t="s">
        <v>566</v>
      </c>
      <c r="AF128" s="4" t="s">
        <v>567</v>
      </c>
      <c r="AH128" s="4" t="s">
        <v>568</v>
      </c>
      <c r="AI128" s="4" t="s">
        <v>569</v>
      </c>
      <c r="AJ128" s="4" t="s">
        <v>570</v>
      </c>
      <c r="AK128" s="4" t="s">
        <v>577</v>
      </c>
      <c r="AL128" s="4" t="s">
        <v>578</v>
      </c>
      <c r="AN128" s="4" t="str">
        <f>"2"</f>
        <v>2</v>
      </c>
      <c r="AO128" s="4" t="s">
        <v>636</v>
      </c>
      <c r="AP128" s="4" t="s">
        <v>574</v>
      </c>
      <c r="AQ128" s="4" t="s">
        <v>575</v>
      </c>
      <c r="AR128" s="4" t="str">
        <f>".7500"</f>
        <v>.7500</v>
      </c>
      <c r="AS128" s="4" t="str">
        <f>"12.65"</f>
        <v>12.65</v>
      </c>
      <c r="AT128" s="4" t="s">
        <v>637</v>
      </c>
      <c r="AU128" s="4" t="str">
        <f>"12.65"</f>
        <v>12.65</v>
      </c>
      <c r="AV128" s="4">
        <v>64</v>
      </c>
      <c r="AW128" s="4">
        <v>-7</v>
      </c>
      <c r="AX128" s="4">
        <v>-86.1</v>
      </c>
      <c r="AY128" s="4">
        <v>57</v>
      </c>
      <c r="AZ128" s="4">
        <v>65.489999999999995</v>
      </c>
      <c r="BA128" s="4">
        <v>809.84</v>
      </c>
      <c r="BB128" s="4">
        <v>658.25</v>
      </c>
      <c r="BC128" s="4">
        <v>744.35</v>
      </c>
      <c r="BD128" s="4">
        <v>0</v>
      </c>
    </row>
    <row r="129" spans="1:56" x14ac:dyDescent="0.2">
      <c r="A129" s="4" t="s">
        <v>558</v>
      </c>
      <c r="B129" s="4" t="s">
        <v>559</v>
      </c>
      <c r="C129" s="4" t="s">
        <v>560</v>
      </c>
      <c r="D129" s="4" t="s">
        <v>445</v>
      </c>
      <c r="E129" s="4" t="s">
        <v>561</v>
      </c>
      <c r="F129" s="4" t="s">
        <v>559</v>
      </c>
      <c r="G129" s="4" t="s">
        <v>562</v>
      </c>
      <c r="H129" s="4" t="s">
        <v>445</v>
      </c>
      <c r="I129" s="4" t="str">
        <f t="shared" si="12"/>
        <v>1010</v>
      </c>
      <c r="J129" s="4" t="s">
        <v>444</v>
      </c>
      <c r="K129" s="4" t="s">
        <v>443</v>
      </c>
      <c r="L129" s="4" t="s">
        <v>444</v>
      </c>
      <c r="M129" s="4" t="s">
        <v>445</v>
      </c>
      <c r="N129" s="4" t="s">
        <v>684</v>
      </c>
      <c r="O129" s="4" t="s">
        <v>700</v>
      </c>
      <c r="P129" s="4" t="s">
        <v>563</v>
      </c>
      <c r="Q129" s="4" t="str">
        <f>"8088216049"</f>
        <v>8088216049</v>
      </c>
      <c r="S129" s="4" t="str">
        <f>"00880882160494"</f>
        <v>00880882160494</v>
      </c>
      <c r="T129" s="24">
        <v>39017</v>
      </c>
      <c r="U129" s="24">
        <v>39017</v>
      </c>
      <c r="V129" s="24">
        <v>1</v>
      </c>
      <c r="W129" s="4" t="str">
        <f>"8088216049"</f>
        <v>8088216049</v>
      </c>
      <c r="X129" s="4" t="s">
        <v>563</v>
      </c>
      <c r="Y129" s="4" t="str">
        <f t="shared" si="14"/>
        <v>1010</v>
      </c>
      <c r="Z129" s="4" t="str">
        <f t="shared" si="23"/>
        <v>11</v>
      </c>
      <c r="AA129" s="4" t="s">
        <v>93</v>
      </c>
      <c r="AB129" s="4" t="s">
        <v>564</v>
      </c>
      <c r="AC129" s="4" t="s">
        <v>563</v>
      </c>
      <c r="AD129" s="4" t="s">
        <v>565</v>
      </c>
      <c r="AE129" s="4" t="s">
        <v>566</v>
      </c>
      <c r="AF129" s="4" t="s">
        <v>567</v>
      </c>
      <c r="AH129" s="4" t="s">
        <v>568</v>
      </c>
      <c r="AI129" s="4" t="s">
        <v>569</v>
      </c>
      <c r="AJ129" s="4" t="s">
        <v>570</v>
      </c>
      <c r="AK129" s="4" t="s">
        <v>614</v>
      </c>
      <c r="AL129" s="4" t="s">
        <v>615</v>
      </c>
      <c r="AN129" s="4" t="str">
        <f t="shared" ref="AN129:AN134" si="24">"1"</f>
        <v>1</v>
      </c>
      <c r="AO129" s="4" t="s">
        <v>701</v>
      </c>
      <c r="AP129" s="4" t="s">
        <v>574</v>
      </c>
      <c r="AQ129" s="4" t="s">
        <v>575</v>
      </c>
      <c r="AR129" s="4" t="str">
        <f>".7500"</f>
        <v>.7500</v>
      </c>
      <c r="AS129" s="4" t="str">
        <f>"10.78"</f>
        <v>10.78</v>
      </c>
      <c r="AT129" s="4" t="s">
        <v>702</v>
      </c>
      <c r="AU129" s="4" t="str">
        <f>"10.78"</f>
        <v>10.78</v>
      </c>
      <c r="AV129" s="4">
        <v>56</v>
      </c>
      <c r="AW129" s="4">
        <v>-25</v>
      </c>
      <c r="AX129" s="4">
        <v>-263.5</v>
      </c>
      <c r="AY129" s="4">
        <v>31</v>
      </c>
      <c r="AZ129" s="4">
        <v>40.92</v>
      </c>
      <c r="BA129" s="4">
        <v>603.67999999999995</v>
      </c>
      <c r="BB129" s="4">
        <v>299.26</v>
      </c>
      <c r="BC129" s="4">
        <v>562.76</v>
      </c>
      <c r="BD129" s="4">
        <v>0</v>
      </c>
    </row>
    <row r="130" spans="1:56" x14ac:dyDescent="0.2">
      <c r="A130" s="4" t="s">
        <v>558</v>
      </c>
      <c r="B130" s="4" t="s">
        <v>559</v>
      </c>
      <c r="C130" s="4" t="s">
        <v>560</v>
      </c>
      <c r="D130" s="4" t="s">
        <v>445</v>
      </c>
      <c r="E130" s="4" t="s">
        <v>561</v>
      </c>
      <c r="F130" s="4" t="s">
        <v>559</v>
      </c>
      <c r="G130" s="4" t="s">
        <v>562</v>
      </c>
      <c r="H130" s="4" t="s">
        <v>445</v>
      </c>
      <c r="I130" s="4" t="str">
        <f t="shared" si="12"/>
        <v>1010</v>
      </c>
      <c r="J130" s="4" t="s">
        <v>444</v>
      </c>
      <c r="K130" s="4" t="s">
        <v>443</v>
      </c>
      <c r="L130" s="4" t="s">
        <v>444</v>
      </c>
      <c r="M130" s="4" t="s">
        <v>445</v>
      </c>
      <c r="N130" s="4" t="s">
        <v>684</v>
      </c>
      <c r="O130" s="4" t="s">
        <v>703</v>
      </c>
      <c r="P130" s="4" t="s">
        <v>563</v>
      </c>
      <c r="Q130" s="4" t="str">
        <f>"8088218241"</f>
        <v>8088218241</v>
      </c>
      <c r="S130" s="4" t="str">
        <f>"00880882182410"</f>
        <v>00880882182410</v>
      </c>
      <c r="T130" s="24">
        <v>41159</v>
      </c>
      <c r="U130" s="24">
        <v>41159</v>
      </c>
      <c r="V130" s="24">
        <v>1</v>
      </c>
      <c r="W130" s="4" t="str">
        <f>"8088218241"</f>
        <v>8088218241</v>
      </c>
      <c r="X130" s="4" t="s">
        <v>563</v>
      </c>
      <c r="Y130" s="4" t="str">
        <f t="shared" si="14"/>
        <v>1010</v>
      </c>
      <c r="Z130" s="4" t="str">
        <f t="shared" si="23"/>
        <v>11</v>
      </c>
      <c r="AA130" s="4" t="s">
        <v>93</v>
      </c>
      <c r="AB130" s="4" t="s">
        <v>564</v>
      </c>
      <c r="AC130" s="4" t="s">
        <v>563</v>
      </c>
      <c r="AD130" s="4" t="s">
        <v>565</v>
      </c>
      <c r="AE130" s="4" t="s">
        <v>566</v>
      </c>
      <c r="AF130" s="4" t="s">
        <v>567</v>
      </c>
      <c r="AH130" s="4" t="s">
        <v>568</v>
      </c>
      <c r="AI130" s="4" t="s">
        <v>589</v>
      </c>
      <c r="AJ130" s="4" t="s">
        <v>590</v>
      </c>
      <c r="AK130" s="4" t="s">
        <v>695</v>
      </c>
      <c r="AL130" s="4" t="s">
        <v>696</v>
      </c>
      <c r="AN130" s="4" t="str">
        <f t="shared" si="24"/>
        <v>1</v>
      </c>
      <c r="AO130" s="4" t="s">
        <v>704</v>
      </c>
      <c r="AP130" s="4" t="s">
        <v>584</v>
      </c>
      <c r="AQ130" s="4" t="s">
        <v>575</v>
      </c>
      <c r="AR130" s="4" t="str">
        <f>"1.8000"</f>
        <v>1.8000</v>
      </c>
      <c r="AS130" s="4" t="str">
        <f>"7.00"</f>
        <v>7.00</v>
      </c>
      <c r="AT130" s="4" t="s">
        <v>705</v>
      </c>
      <c r="AU130" s="4" t="str">
        <f>"7.00"</f>
        <v>7.00</v>
      </c>
      <c r="AV130" s="4">
        <v>1</v>
      </c>
      <c r="AW130" s="4">
        <v>0</v>
      </c>
      <c r="AX130" s="4">
        <v>0</v>
      </c>
      <c r="AY130" s="4">
        <v>1</v>
      </c>
      <c r="AZ130" s="4">
        <v>0</v>
      </c>
      <c r="BA130" s="4">
        <v>7</v>
      </c>
      <c r="BB130" s="4">
        <v>7</v>
      </c>
      <c r="BC130" s="4">
        <v>7</v>
      </c>
      <c r="BD130" s="4">
        <v>0</v>
      </c>
    </row>
    <row r="131" spans="1:56" x14ac:dyDescent="0.2">
      <c r="A131" s="4" t="s">
        <v>558</v>
      </c>
      <c r="B131" s="4" t="s">
        <v>559</v>
      </c>
      <c r="C131" s="4" t="s">
        <v>560</v>
      </c>
      <c r="D131" s="4" t="s">
        <v>445</v>
      </c>
      <c r="E131" s="4" t="s">
        <v>561</v>
      </c>
      <c r="F131" s="4" t="s">
        <v>559</v>
      </c>
      <c r="G131" s="4" t="s">
        <v>562</v>
      </c>
      <c r="H131" s="4" t="s">
        <v>445</v>
      </c>
      <c r="I131" s="4" t="str">
        <f t="shared" si="12"/>
        <v>1010</v>
      </c>
      <c r="J131" s="4" t="s">
        <v>444</v>
      </c>
      <c r="K131" s="4" t="s">
        <v>443</v>
      </c>
      <c r="L131" s="4" t="s">
        <v>444</v>
      </c>
      <c r="M131" s="4" t="s">
        <v>445</v>
      </c>
      <c r="N131" s="4" t="s">
        <v>684</v>
      </c>
      <c r="O131" s="4" t="s">
        <v>706</v>
      </c>
      <c r="P131" s="4" t="s">
        <v>563</v>
      </c>
      <c r="Q131" s="4" t="str">
        <f>"8088216011"</f>
        <v>8088216011</v>
      </c>
      <c r="S131" s="4" t="str">
        <f>"00880882160111"</f>
        <v>00880882160111</v>
      </c>
      <c r="T131" s="24">
        <v>39689</v>
      </c>
      <c r="U131" s="24">
        <v>39689</v>
      </c>
      <c r="V131" s="24">
        <v>1</v>
      </c>
      <c r="W131" s="4" t="str">
        <f>"8088216011"</f>
        <v>8088216011</v>
      </c>
      <c r="X131" s="4" t="s">
        <v>563</v>
      </c>
      <c r="Y131" s="4" t="str">
        <f t="shared" si="14"/>
        <v>1010</v>
      </c>
      <c r="Z131" s="4" t="str">
        <f t="shared" si="23"/>
        <v>11</v>
      </c>
      <c r="AA131" s="4" t="s">
        <v>93</v>
      </c>
      <c r="AB131" s="4" t="s">
        <v>564</v>
      </c>
      <c r="AC131" s="4" t="s">
        <v>563</v>
      </c>
      <c r="AD131" s="4" t="s">
        <v>565</v>
      </c>
      <c r="AE131" s="4" t="s">
        <v>566</v>
      </c>
      <c r="AF131" s="4" t="s">
        <v>567</v>
      </c>
      <c r="AH131" s="4" t="s">
        <v>568</v>
      </c>
      <c r="AI131" s="4" t="s">
        <v>569</v>
      </c>
      <c r="AJ131" s="4" t="s">
        <v>570</v>
      </c>
      <c r="AK131" s="4" t="s">
        <v>571</v>
      </c>
      <c r="AL131" s="4" t="s">
        <v>572</v>
      </c>
      <c r="AN131" s="4" t="str">
        <f t="shared" si="24"/>
        <v>1</v>
      </c>
      <c r="AO131" s="4" t="s">
        <v>612</v>
      </c>
      <c r="AP131" s="4" t="s">
        <v>574</v>
      </c>
      <c r="AQ131" s="4" t="s">
        <v>575</v>
      </c>
      <c r="AR131" s="4" t="str">
        <f>"1.8000"</f>
        <v>1.8000</v>
      </c>
      <c r="AS131" s="4" t="str">
        <f>".00"</f>
        <v>.00</v>
      </c>
      <c r="AT131" s="4" t="s">
        <v>612</v>
      </c>
      <c r="AV131" s="4">
        <v>3</v>
      </c>
      <c r="AW131" s="4">
        <v>0</v>
      </c>
      <c r="AX131" s="4">
        <v>0</v>
      </c>
      <c r="AY131" s="4">
        <v>3</v>
      </c>
      <c r="AZ131" s="4">
        <v>0</v>
      </c>
      <c r="BA131" s="4">
        <v>39</v>
      </c>
      <c r="BB131" s="4">
        <v>39</v>
      </c>
      <c r="BC131" s="4">
        <v>39</v>
      </c>
      <c r="BD131" s="4">
        <v>0</v>
      </c>
    </row>
    <row r="132" spans="1:56" x14ac:dyDescent="0.2">
      <c r="A132" s="4" t="s">
        <v>558</v>
      </c>
      <c r="B132" s="4" t="s">
        <v>559</v>
      </c>
      <c r="C132" s="4" t="s">
        <v>560</v>
      </c>
      <c r="D132" s="4" t="s">
        <v>445</v>
      </c>
      <c r="E132" s="4" t="s">
        <v>561</v>
      </c>
      <c r="F132" s="4" t="s">
        <v>559</v>
      </c>
      <c r="G132" s="4" t="s">
        <v>562</v>
      </c>
      <c r="H132" s="4" t="s">
        <v>445</v>
      </c>
      <c r="I132" s="4" t="str">
        <f t="shared" si="12"/>
        <v>1010</v>
      </c>
      <c r="J132" s="4" t="s">
        <v>444</v>
      </c>
      <c r="K132" s="4" t="s">
        <v>443</v>
      </c>
      <c r="L132" s="4" t="s">
        <v>444</v>
      </c>
      <c r="M132" s="4" t="s">
        <v>445</v>
      </c>
      <c r="N132" s="4" t="s">
        <v>684</v>
      </c>
      <c r="O132" s="4" t="s">
        <v>706</v>
      </c>
      <c r="P132" s="4" t="s">
        <v>563</v>
      </c>
      <c r="Q132" s="4" t="str">
        <f>"8088216012"</f>
        <v>8088216012</v>
      </c>
      <c r="S132" s="4" t="str">
        <f>"00880882160128"</f>
        <v>00880882160128</v>
      </c>
      <c r="T132" s="24">
        <v>38626</v>
      </c>
      <c r="U132" s="24">
        <v>38626</v>
      </c>
      <c r="V132" s="24">
        <v>1</v>
      </c>
      <c r="W132" s="4" t="str">
        <f>"8088216012"</f>
        <v>8088216012</v>
      </c>
      <c r="X132" s="4" t="s">
        <v>563</v>
      </c>
      <c r="Y132" s="4" t="str">
        <f t="shared" si="14"/>
        <v>1010</v>
      </c>
      <c r="Z132" s="4" t="str">
        <f t="shared" si="23"/>
        <v>11</v>
      </c>
      <c r="AA132" s="4" t="s">
        <v>93</v>
      </c>
      <c r="AB132" s="4" t="s">
        <v>564</v>
      </c>
      <c r="AC132" s="4" t="s">
        <v>563</v>
      </c>
      <c r="AD132" s="4" t="s">
        <v>565</v>
      </c>
      <c r="AE132" s="4" t="s">
        <v>566</v>
      </c>
      <c r="AF132" s="4" t="s">
        <v>567</v>
      </c>
      <c r="AH132" s="4" t="s">
        <v>568</v>
      </c>
      <c r="AI132" s="4" t="s">
        <v>569</v>
      </c>
      <c r="AJ132" s="4" t="s">
        <v>570</v>
      </c>
      <c r="AK132" s="4" t="s">
        <v>577</v>
      </c>
      <c r="AL132" s="4" t="s">
        <v>578</v>
      </c>
      <c r="AN132" s="4" t="str">
        <f t="shared" si="24"/>
        <v>1</v>
      </c>
      <c r="AO132" s="4" t="s">
        <v>586</v>
      </c>
      <c r="AP132" s="4" t="s">
        <v>574</v>
      </c>
      <c r="AQ132" s="4" t="s">
        <v>575</v>
      </c>
      <c r="AR132" s="4" t="str">
        <f>".7500"</f>
        <v>.7500</v>
      </c>
      <c r="AS132" s="4" t="str">
        <f>"8.00"</f>
        <v>8.00</v>
      </c>
      <c r="AT132" s="4" t="s">
        <v>587</v>
      </c>
      <c r="AU132" s="4" t="str">
        <f>"8.00"</f>
        <v>8.00</v>
      </c>
      <c r="AV132" s="4">
        <v>241</v>
      </c>
      <c r="AW132" s="4">
        <v>-18</v>
      </c>
      <c r="AX132" s="4">
        <v>-142.25</v>
      </c>
      <c r="AY132" s="4">
        <v>223</v>
      </c>
      <c r="AZ132" s="4">
        <v>27.6</v>
      </c>
      <c r="BA132" s="4">
        <v>1925</v>
      </c>
      <c r="BB132" s="4">
        <v>1755.15</v>
      </c>
      <c r="BC132" s="4">
        <v>1897.4</v>
      </c>
      <c r="BD132" s="4">
        <v>0</v>
      </c>
    </row>
    <row r="133" spans="1:56" x14ac:dyDescent="0.2">
      <c r="A133" s="4" t="s">
        <v>558</v>
      </c>
      <c r="B133" s="4" t="s">
        <v>559</v>
      </c>
      <c r="C133" s="4" t="s">
        <v>560</v>
      </c>
      <c r="D133" s="4" t="s">
        <v>445</v>
      </c>
      <c r="E133" s="4" t="s">
        <v>561</v>
      </c>
      <c r="F133" s="4" t="s">
        <v>559</v>
      </c>
      <c r="G133" s="4" t="s">
        <v>562</v>
      </c>
      <c r="H133" s="4" t="s">
        <v>445</v>
      </c>
      <c r="I133" s="4" t="str">
        <f t="shared" si="12"/>
        <v>1010</v>
      </c>
      <c r="J133" s="4" t="s">
        <v>444</v>
      </c>
      <c r="K133" s="4" t="s">
        <v>443</v>
      </c>
      <c r="L133" s="4" t="s">
        <v>444</v>
      </c>
      <c r="M133" s="4" t="s">
        <v>445</v>
      </c>
      <c r="N133" s="4" t="s">
        <v>707</v>
      </c>
      <c r="O133" s="4" t="s">
        <v>708</v>
      </c>
      <c r="P133" s="4" t="s">
        <v>563</v>
      </c>
      <c r="Q133" s="4" t="str">
        <f>"8088215412"</f>
        <v>8088215412</v>
      </c>
      <c r="S133" s="4" t="str">
        <f>"00880882154127"</f>
        <v>00880882154127</v>
      </c>
      <c r="T133" s="24">
        <v>38597</v>
      </c>
      <c r="U133" s="24">
        <v>38597</v>
      </c>
      <c r="V133" s="24">
        <v>1</v>
      </c>
      <c r="W133" s="4" t="str">
        <f>"8088215412"</f>
        <v>8088215412</v>
      </c>
      <c r="X133" s="4" t="s">
        <v>563</v>
      </c>
      <c r="Y133" s="4" t="str">
        <f t="shared" si="14"/>
        <v>1010</v>
      </c>
      <c r="Z133" s="4" t="str">
        <f t="shared" si="23"/>
        <v>11</v>
      </c>
      <c r="AA133" s="4" t="s">
        <v>93</v>
      </c>
      <c r="AB133" s="4" t="s">
        <v>564</v>
      </c>
      <c r="AC133" s="4" t="s">
        <v>563</v>
      </c>
      <c r="AD133" s="4" t="s">
        <v>565</v>
      </c>
      <c r="AE133" s="4" t="s">
        <v>566</v>
      </c>
      <c r="AF133" s="4" t="s">
        <v>567</v>
      </c>
      <c r="AH133" s="4" t="s">
        <v>568</v>
      </c>
      <c r="AI133" s="4" t="s">
        <v>569</v>
      </c>
      <c r="AJ133" s="4" t="s">
        <v>570</v>
      </c>
      <c r="AK133" s="4" t="s">
        <v>577</v>
      </c>
      <c r="AL133" s="4" t="s">
        <v>578</v>
      </c>
      <c r="AN133" s="4" t="str">
        <f t="shared" si="24"/>
        <v>1</v>
      </c>
      <c r="AO133" s="4" t="s">
        <v>579</v>
      </c>
      <c r="AP133" s="4" t="s">
        <v>574</v>
      </c>
      <c r="AQ133" s="4" t="s">
        <v>580</v>
      </c>
      <c r="AR133" s="4" t="str">
        <f>".7500"</f>
        <v>.7500</v>
      </c>
      <c r="AS133" s="4" t="str">
        <f>"7.50"</f>
        <v>7.50</v>
      </c>
      <c r="AT133" s="4" t="s">
        <v>581</v>
      </c>
      <c r="AU133" s="4" t="str">
        <f>"7.50"</f>
        <v>7.50</v>
      </c>
      <c r="AV133" s="4">
        <v>20</v>
      </c>
      <c r="AW133" s="4">
        <v>-32</v>
      </c>
      <c r="AX133" s="4">
        <v>-228.8</v>
      </c>
      <c r="AY133" s="4">
        <v>-12</v>
      </c>
      <c r="AZ133" s="4">
        <v>6.91</v>
      </c>
      <c r="BA133" s="4">
        <v>147.03</v>
      </c>
      <c r="BB133" s="4">
        <v>-88.68</v>
      </c>
      <c r="BC133" s="4">
        <v>140.12</v>
      </c>
      <c r="BD133" s="4">
        <v>0</v>
      </c>
    </row>
    <row r="134" spans="1:56" x14ac:dyDescent="0.2">
      <c r="A134" s="4" t="s">
        <v>558</v>
      </c>
      <c r="B134" s="4" t="s">
        <v>559</v>
      </c>
      <c r="C134" s="4" t="s">
        <v>560</v>
      </c>
      <c r="D134" s="4" t="s">
        <v>445</v>
      </c>
      <c r="E134" s="4" t="s">
        <v>561</v>
      </c>
      <c r="F134" s="4" t="s">
        <v>559</v>
      </c>
      <c r="G134" s="4" t="s">
        <v>562</v>
      </c>
      <c r="H134" s="4" t="s">
        <v>445</v>
      </c>
      <c r="I134" s="4" t="str">
        <f t="shared" si="12"/>
        <v>1010</v>
      </c>
      <c r="J134" s="4" t="s">
        <v>444</v>
      </c>
      <c r="K134" s="4" t="s">
        <v>443</v>
      </c>
      <c r="L134" s="4" t="s">
        <v>444</v>
      </c>
      <c r="M134" s="4" t="s">
        <v>445</v>
      </c>
      <c r="N134" s="4" t="s">
        <v>707</v>
      </c>
      <c r="O134" s="4" t="s">
        <v>709</v>
      </c>
      <c r="P134" s="4" t="s">
        <v>563</v>
      </c>
      <c r="Q134" s="4" t="str">
        <f>"9102215132"</f>
        <v>9102215132</v>
      </c>
      <c r="S134" s="4" t="str">
        <f>"00791022151329"</f>
        <v>00791022151329</v>
      </c>
      <c r="T134" s="24">
        <v>37869</v>
      </c>
      <c r="U134" s="24">
        <v>37869</v>
      </c>
      <c r="V134" s="24">
        <v>1</v>
      </c>
      <c r="W134" s="4" t="str">
        <f>"9102215132"</f>
        <v>9102215132</v>
      </c>
      <c r="X134" s="4" t="s">
        <v>563</v>
      </c>
      <c r="Y134" s="4" t="str">
        <f t="shared" si="14"/>
        <v>1010</v>
      </c>
      <c r="Z134" s="4" t="str">
        <f t="shared" si="23"/>
        <v>11</v>
      </c>
      <c r="AA134" s="4" t="s">
        <v>93</v>
      </c>
      <c r="AB134" s="4" t="s">
        <v>564</v>
      </c>
      <c r="AC134" s="4" t="s">
        <v>563</v>
      </c>
      <c r="AD134" s="4" t="s">
        <v>565</v>
      </c>
      <c r="AE134" s="4" t="s">
        <v>566</v>
      </c>
      <c r="AF134" s="4" t="s">
        <v>567</v>
      </c>
      <c r="AH134" s="4" t="s">
        <v>568</v>
      </c>
      <c r="AI134" s="4" t="s">
        <v>569</v>
      </c>
      <c r="AJ134" s="4" t="s">
        <v>570</v>
      </c>
      <c r="AK134" s="4" t="s">
        <v>577</v>
      </c>
      <c r="AL134" s="4" t="s">
        <v>578</v>
      </c>
      <c r="AN134" s="4" t="str">
        <f t="shared" si="24"/>
        <v>1</v>
      </c>
      <c r="AO134" s="4" t="s">
        <v>579</v>
      </c>
      <c r="AP134" s="4" t="s">
        <v>574</v>
      </c>
      <c r="AQ134" s="4" t="s">
        <v>580</v>
      </c>
      <c r="AR134" s="4" t="str">
        <f>".7500"</f>
        <v>.7500</v>
      </c>
      <c r="AS134" s="4" t="str">
        <f>"7.50"</f>
        <v>7.50</v>
      </c>
      <c r="AT134" s="4" t="s">
        <v>581</v>
      </c>
      <c r="AU134" s="4" t="str">
        <f>"7.50"</f>
        <v>7.50</v>
      </c>
      <c r="AV134" s="4">
        <v>6</v>
      </c>
      <c r="AW134" s="4">
        <v>-31</v>
      </c>
      <c r="AX134" s="4">
        <v>-221.65</v>
      </c>
      <c r="AY134" s="4">
        <v>-25</v>
      </c>
      <c r="AZ134" s="4">
        <v>2.58</v>
      </c>
      <c r="BA134" s="4">
        <v>42</v>
      </c>
      <c r="BB134" s="4">
        <v>-182.23</v>
      </c>
      <c r="BC134" s="4">
        <v>39.42</v>
      </c>
      <c r="BD134" s="4">
        <v>0</v>
      </c>
    </row>
    <row r="135" spans="1:56" x14ac:dyDescent="0.2">
      <c r="A135" s="4" t="s">
        <v>558</v>
      </c>
      <c r="B135" s="4" t="s">
        <v>559</v>
      </c>
      <c r="C135" s="4" t="s">
        <v>560</v>
      </c>
      <c r="D135" s="4" t="s">
        <v>445</v>
      </c>
      <c r="E135" s="4" t="s">
        <v>561</v>
      </c>
      <c r="F135" s="4" t="s">
        <v>559</v>
      </c>
      <c r="G135" s="4" t="s">
        <v>562</v>
      </c>
      <c r="H135" s="4" t="s">
        <v>445</v>
      </c>
      <c r="I135" s="4" t="str">
        <f t="shared" si="12"/>
        <v>1010</v>
      </c>
      <c r="J135" s="4" t="s">
        <v>444</v>
      </c>
      <c r="K135" s="4" t="s">
        <v>443</v>
      </c>
      <c r="L135" s="4" t="s">
        <v>444</v>
      </c>
      <c r="M135" s="4" t="s">
        <v>445</v>
      </c>
      <c r="N135" s="4" t="s">
        <v>500</v>
      </c>
      <c r="O135" s="4" t="s">
        <v>502</v>
      </c>
      <c r="P135" s="4" t="s">
        <v>563</v>
      </c>
      <c r="Q135" s="4" t="str">
        <f>"0882188115"</f>
        <v>0882188115</v>
      </c>
      <c r="S135" s="4" t="str">
        <f>"00880882188115"</f>
        <v>00880882188115</v>
      </c>
      <c r="T135" s="24">
        <v>41520</v>
      </c>
      <c r="U135" s="24">
        <v>41520</v>
      </c>
      <c r="V135" s="24">
        <v>1</v>
      </c>
      <c r="W135" s="4" t="str">
        <f>"0882188115"</f>
        <v>0882188115</v>
      </c>
      <c r="X135" s="4" t="s">
        <v>563</v>
      </c>
      <c r="Y135" s="4" t="str">
        <f t="shared" ref="Y135:Y141" si="25">"9000"</f>
        <v>9000</v>
      </c>
      <c r="Z135" s="4" t="str">
        <f t="shared" si="23"/>
        <v>11</v>
      </c>
      <c r="AA135" s="4" t="s">
        <v>568</v>
      </c>
      <c r="AB135" s="4" t="s">
        <v>619</v>
      </c>
      <c r="AC135" s="4" t="s">
        <v>563</v>
      </c>
      <c r="AD135" s="4" t="s">
        <v>565</v>
      </c>
      <c r="AE135" s="4" t="s">
        <v>566</v>
      </c>
      <c r="AF135" s="4" t="s">
        <v>567</v>
      </c>
      <c r="AH135" s="4" t="s">
        <v>568</v>
      </c>
      <c r="AI135" s="4" t="s">
        <v>589</v>
      </c>
      <c r="AJ135" s="4" t="s">
        <v>590</v>
      </c>
      <c r="AK135" s="4" t="s">
        <v>571</v>
      </c>
      <c r="AL135" s="4" t="s">
        <v>572</v>
      </c>
      <c r="AN135" s="4" t="str">
        <f>"2"</f>
        <v>2</v>
      </c>
      <c r="AO135" s="4" t="s">
        <v>611</v>
      </c>
      <c r="AP135" s="4" t="s">
        <v>584</v>
      </c>
      <c r="AQ135" s="4" t="s">
        <v>575</v>
      </c>
      <c r="AR135" s="4" t="str">
        <f>"5.6800"</f>
        <v>5.6800</v>
      </c>
      <c r="AS135" s="4" t="str">
        <f>".00"</f>
        <v>.00</v>
      </c>
      <c r="AT135" s="4" t="s">
        <v>611</v>
      </c>
      <c r="AV135" s="4">
        <v>825</v>
      </c>
      <c r="AW135" s="4">
        <v>0</v>
      </c>
      <c r="AX135" s="4">
        <v>0</v>
      </c>
      <c r="AY135" s="4">
        <v>825</v>
      </c>
      <c r="AZ135" s="4">
        <v>1173.77</v>
      </c>
      <c r="BA135" s="4">
        <v>13018.34</v>
      </c>
      <c r="BB135" s="4">
        <v>11844.57</v>
      </c>
      <c r="BC135" s="4">
        <v>11844.57</v>
      </c>
      <c r="BD135" s="4">
        <v>0</v>
      </c>
    </row>
    <row r="136" spans="1:56" x14ac:dyDescent="0.2">
      <c r="A136" s="4" t="s">
        <v>558</v>
      </c>
      <c r="B136" s="4" t="s">
        <v>559</v>
      </c>
      <c r="C136" s="4" t="s">
        <v>560</v>
      </c>
      <c r="D136" s="4" t="s">
        <v>445</v>
      </c>
      <c r="E136" s="4" t="s">
        <v>561</v>
      </c>
      <c r="F136" s="4" t="s">
        <v>559</v>
      </c>
      <c r="G136" s="4" t="s">
        <v>562</v>
      </c>
      <c r="H136" s="4" t="s">
        <v>445</v>
      </c>
      <c r="I136" s="4" t="str">
        <f t="shared" si="12"/>
        <v>1010</v>
      </c>
      <c r="J136" s="4" t="s">
        <v>444</v>
      </c>
      <c r="K136" s="4" t="s">
        <v>443</v>
      </c>
      <c r="L136" s="4" t="s">
        <v>444</v>
      </c>
      <c r="M136" s="4" t="s">
        <v>445</v>
      </c>
      <c r="N136" s="4" t="s">
        <v>500</v>
      </c>
      <c r="O136" s="4" t="s">
        <v>502</v>
      </c>
      <c r="P136" s="4" t="s">
        <v>563</v>
      </c>
      <c r="Q136" s="4" t="str">
        <f>"0882188115"</f>
        <v>0882188115</v>
      </c>
      <c r="S136" s="4" t="str">
        <f>"00880882188115"</f>
        <v>00880882188115</v>
      </c>
      <c r="T136" s="24">
        <v>41520</v>
      </c>
      <c r="U136" s="24">
        <v>41520</v>
      </c>
      <c r="V136" s="24">
        <v>1</v>
      </c>
      <c r="W136" s="4" t="str">
        <f>"0882188115"</f>
        <v>0882188115</v>
      </c>
      <c r="X136" s="4" t="s">
        <v>563</v>
      </c>
      <c r="Y136" s="4" t="str">
        <f t="shared" si="25"/>
        <v>9000</v>
      </c>
      <c r="Z136" s="4" t="str">
        <f>"29"</f>
        <v>29</v>
      </c>
      <c r="AA136" s="4" t="s">
        <v>568</v>
      </c>
      <c r="AB136" s="4" t="s">
        <v>619</v>
      </c>
      <c r="AC136" s="4" t="s">
        <v>563</v>
      </c>
      <c r="AD136" s="4" t="s">
        <v>565</v>
      </c>
      <c r="AE136" s="4" t="s">
        <v>566</v>
      </c>
      <c r="AF136" s="4" t="s">
        <v>568</v>
      </c>
      <c r="AH136" s="4" t="s">
        <v>568</v>
      </c>
      <c r="AI136" s="4" t="s">
        <v>589</v>
      </c>
      <c r="AJ136" s="4" t="s">
        <v>590</v>
      </c>
      <c r="AK136" s="4" t="s">
        <v>571</v>
      </c>
      <c r="AL136" s="4" t="s">
        <v>572</v>
      </c>
      <c r="AN136" s="4" t="str">
        <f>"2"</f>
        <v>2</v>
      </c>
      <c r="AO136" s="4" t="s">
        <v>611</v>
      </c>
      <c r="AP136" s="4" t="s">
        <v>584</v>
      </c>
      <c r="AQ136" s="4" t="s">
        <v>575</v>
      </c>
      <c r="AR136" s="4" t="str">
        <f>"5.6800"</f>
        <v>5.6800</v>
      </c>
      <c r="AS136" s="4" t="str">
        <f>".00"</f>
        <v>.00</v>
      </c>
      <c r="AT136" s="4" t="s">
        <v>611</v>
      </c>
      <c r="AV136" s="4">
        <v>10</v>
      </c>
      <c r="AW136" s="4">
        <v>0</v>
      </c>
      <c r="AX136" s="4">
        <v>0</v>
      </c>
      <c r="AY136" s="4">
        <v>10</v>
      </c>
      <c r="AZ136" s="4">
        <v>0</v>
      </c>
      <c r="BA136" s="4">
        <v>148.1</v>
      </c>
      <c r="BB136" s="4">
        <v>148.1</v>
      </c>
      <c r="BC136" s="4">
        <v>148.1</v>
      </c>
      <c r="BD136" s="4">
        <v>0</v>
      </c>
    </row>
    <row r="137" spans="1:56" x14ac:dyDescent="0.2">
      <c r="A137" s="4" t="s">
        <v>558</v>
      </c>
      <c r="B137" s="4" t="s">
        <v>559</v>
      </c>
      <c r="C137" s="4" t="s">
        <v>560</v>
      </c>
      <c r="D137" s="4" t="s">
        <v>445</v>
      </c>
      <c r="E137" s="4" t="s">
        <v>561</v>
      </c>
      <c r="F137" s="4" t="s">
        <v>559</v>
      </c>
      <c r="G137" s="4" t="s">
        <v>562</v>
      </c>
      <c r="H137" s="4" t="s">
        <v>445</v>
      </c>
      <c r="I137" s="4" t="str">
        <f t="shared" si="12"/>
        <v>1010</v>
      </c>
      <c r="J137" s="4" t="s">
        <v>444</v>
      </c>
      <c r="K137" s="4" t="s">
        <v>443</v>
      </c>
      <c r="L137" s="4" t="s">
        <v>444</v>
      </c>
      <c r="M137" s="4" t="s">
        <v>445</v>
      </c>
      <c r="N137" s="4" t="s">
        <v>500</v>
      </c>
      <c r="O137" s="4" t="s">
        <v>502</v>
      </c>
      <c r="P137" s="4" t="s">
        <v>563</v>
      </c>
      <c r="Q137" s="4" t="str">
        <f>"0882188115"</f>
        <v>0882188115</v>
      </c>
      <c r="S137" s="4" t="str">
        <f>"00880882188115"</f>
        <v>00880882188115</v>
      </c>
      <c r="T137" s="24">
        <v>41520</v>
      </c>
      <c r="U137" s="24">
        <v>41520</v>
      </c>
      <c r="V137" s="24">
        <v>1</v>
      </c>
      <c r="W137" s="4" t="str">
        <f>"0882188115"</f>
        <v>0882188115</v>
      </c>
      <c r="X137" s="4" t="s">
        <v>563</v>
      </c>
      <c r="Y137" s="4" t="str">
        <f t="shared" si="25"/>
        <v>9000</v>
      </c>
      <c r="Z137" s="4" t="str">
        <f>"53"</f>
        <v>53</v>
      </c>
      <c r="AA137" s="4" t="s">
        <v>568</v>
      </c>
      <c r="AB137" s="4" t="s">
        <v>619</v>
      </c>
      <c r="AC137" s="4" t="s">
        <v>563</v>
      </c>
      <c r="AD137" s="4" t="s">
        <v>565</v>
      </c>
      <c r="AE137" s="4" t="s">
        <v>566</v>
      </c>
      <c r="AF137" s="4" t="s">
        <v>568</v>
      </c>
      <c r="AH137" s="4" t="s">
        <v>568</v>
      </c>
      <c r="AI137" s="4" t="s">
        <v>589</v>
      </c>
      <c r="AJ137" s="4" t="s">
        <v>590</v>
      </c>
      <c r="AK137" s="4" t="s">
        <v>571</v>
      </c>
      <c r="AL137" s="4" t="s">
        <v>572</v>
      </c>
      <c r="AN137" s="4" t="str">
        <f>"2"</f>
        <v>2</v>
      </c>
      <c r="AO137" s="4" t="s">
        <v>611</v>
      </c>
      <c r="AP137" s="4" t="s">
        <v>584</v>
      </c>
      <c r="AQ137" s="4" t="s">
        <v>575</v>
      </c>
      <c r="AR137" s="4" t="str">
        <f>"5.6800"</f>
        <v>5.6800</v>
      </c>
      <c r="AS137" s="4" t="str">
        <f>".00"</f>
        <v>.00</v>
      </c>
      <c r="AT137" s="4" t="s">
        <v>611</v>
      </c>
      <c r="AV137" s="4">
        <v>6</v>
      </c>
      <c r="AW137" s="4">
        <v>0</v>
      </c>
      <c r="AX137" s="4">
        <v>0</v>
      </c>
      <c r="AY137" s="4">
        <v>6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</row>
    <row r="138" spans="1:56" x14ac:dyDescent="0.2">
      <c r="A138" s="4" t="s">
        <v>558</v>
      </c>
      <c r="B138" s="4" t="s">
        <v>559</v>
      </c>
      <c r="C138" s="4" t="s">
        <v>560</v>
      </c>
      <c r="D138" s="4" t="s">
        <v>445</v>
      </c>
      <c r="E138" s="4" t="s">
        <v>561</v>
      </c>
      <c r="F138" s="4" t="s">
        <v>559</v>
      </c>
      <c r="G138" s="4" t="s">
        <v>562</v>
      </c>
      <c r="H138" s="4" t="s">
        <v>445</v>
      </c>
      <c r="I138" s="4" t="str">
        <f t="shared" ref="I138:I201" si="26">"1010"</f>
        <v>1010</v>
      </c>
      <c r="J138" s="4" t="s">
        <v>444</v>
      </c>
      <c r="K138" s="4" t="s">
        <v>443</v>
      </c>
      <c r="L138" s="4" t="s">
        <v>444</v>
      </c>
      <c r="M138" s="4" t="s">
        <v>445</v>
      </c>
      <c r="N138" s="4" t="s">
        <v>500</v>
      </c>
      <c r="O138" s="4" t="s">
        <v>502</v>
      </c>
      <c r="P138" s="4" t="s">
        <v>563</v>
      </c>
      <c r="Q138" s="4" t="str">
        <f>"0882188122"</f>
        <v>0882188122</v>
      </c>
      <c r="S138" s="4" t="str">
        <f>"00880882188122"</f>
        <v>00880882188122</v>
      </c>
      <c r="T138" s="24">
        <v>41520</v>
      </c>
      <c r="U138" s="24">
        <v>41520</v>
      </c>
      <c r="V138" s="24">
        <v>1</v>
      </c>
      <c r="W138" s="4" t="str">
        <f>"0882188122"</f>
        <v>0882188122</v>
      </c>
      <c r="X138" s="4" t="s">
        <v>563</v>
      </c>
      <c r="Y138" s="4" t="str">
        <f t="shared" si="25"/>
        <v>9000</v>
      </c>
      <c r="Z138" s="4" t="str">
        <f>"11"</f>
        <v>11</v>
      </c>
      <c r="AA138" s="4" t="s">
        <v>568</v>
      </c>
      <c r="AB138" s="4" t="s">
        <v>619</v>
      </c>
      <c r="AC138" s="4" t="s">
        <v>563</v>
      </c>
      <c r="AD138" s="4" t="s">
        <v>565</v>
      </c>
      <c r="AE138" s="4" t="s">
        <v>566</v>
      </c>
      <c r="AF138" s="4" t="s">
        <v>567</v>
      </c>
      <c r="AH138" s="4" t="s">
        <v>568</v>
      </c>
      <c r="AI138" s="4" t="s">
        <v>589</v>
      </c>
      <c r="AJ138" s="4" t="s">
        <v>590</v>
      </c>
      <c r="AK138" s="4" t="s">
        <v>577</v>
      </c>
      <c r="AL138" s="4" t="s">
        <v>578</v>
      </c>
      <c r="AM138" s="4" t="str">
        <f>"86"</f>
        <v>86</v>
      </c>
      <c r="AN138" s="4" t="str">
        <f>"1"</f>
        <v>1</v>
      </c>
      <c r="AO138" s="4" t="s">
        <v>606</v>
      </c>
      <c r="AP138" s="4" t="s">
        <v>584</v>
      </c>
      <c r="AQ138" s="4" t="s">
        <v>575</v>
      </c>
      <c r="AR138" s="4" t="str">
        <f>"1.8100"</f>
        <v>1.8100</v>
      </c>
      <c r="AS138" s="4" t="str">
        <f>"9.07"</f>
        <v>9.07</v>
      </c>
      <c r="AT138" s="4" t="s">
        <v>607</v>
      </c>
      <c r="AU138" s="4" t="str">
        <f>"9.07"</f>
        <v>9.07</v>
      </c>
      <c r="AV138" s="4">
        <v>8310</v>
      </c>
      <c r="AW138" s="4">
        <v>0</v>
      </c>
      <c r="AX138" s="4">
        <v>0</v>
      </c>
      <c r="AY138" s="4">
        <v>8310</v>
      </c>
      <c r="AZ138" s="4">
        <v>9509.89</v>
      </c>
      <c r="BA138" s="4">
        <v>78037.69</v>
      </c>
      <c r="BB138" s="4">
        <v>68527.8</v>
      </c>
      <c r="BC138" s="4">
        <v>68527.8</v>
      </c>
      <c r="BD138" s="4">
        <v>0</v>
      </c>
    </row>
    <row r="139" spans="1:56" x14ac:dyDescent="0.2">
      <c r="A139" s="4" t="s">
        <v>558</v>
      </c>
      <c r="B139" s="4" t="s">
        <v>559</v>
      </c>
      <c r="C139" s="4" t="s">
        <v>560</v>
      </c>
      <c r="D139" s="4" t="s">
        <v>445</v>
      </c>
      <c r="E139" s="4" t="s">
        <v>561</v>
      </c>
      <c r="F139" s="4" t="s">
        <v>559</v>
      </c>
      <c r="G139" s="4" t="s">
        <v>562</v>
      </c>
      <c r="H139" s="4" t="s">
        <v>445</v>
      </c>
      <c r="I139" s="4" t="str">
        <f t="shared" si="26"/>
        <v>1010</v>
      </c>
      <c r="J139" s="4" t="s">
        <v>444</v>
      </c>
      <c r="K139" s="4" t="s">
        <v>443</v>
      </c>
      <c r="L139" s="4" t="s">
        <v>444</v>
      </c>
      <c r="M139" s="4" t="s">
        <v>445</v>
      </c>
      <c r="N139" s="4" t="s">
        <v>500</v>
      </c>
      <c r="O139" s="4" t="s">
        <v>502</v>
      </c>
      <c r="P139" s="4" t="s">
        <v>563</v>
      </c>
      <c r="Q139" s="4" t="str">
        <f>"0882188122"</f>
        <v>0882188122</v>
      </c>
      <c r="S139" s="4" t="str">
        <f>"00880882188122"</f>
        <v>00880882188122</v>
      </c>
      <c r="T139" s="24">
        <v>41520</v>
      </c>
      <c r="U139" s="24">
        <v>41520</v>
      </c>
      <c r="V139" s="24">
        <v>1</v>
      </c>
      <c r="W139" s="4" t="str">
        <f>"0882188122"</f>
        <v>0882188122</v>
      </c>
      <c r="X139" s="4" t="s">
        <v>563</v>
      </c>
      <c r="Y139" s="4" t="str">
        <f t="shared" si="25"/>
        <v>9000</v>
      </c>
      <c r="Z139" s="4" t="str">
        <f>"53"</f>
        <v>53</v>
      </c>
      <c r="AA139" s="4" t="s">
        <v>568</v>
      </c>
      <c r="AB139" s="4" t="s">
        <v>619</v>
      </c>
      <c r="AC139" s="4" t="s">
        <v>563</v>
      </c>
      <c r="AD139" s="4" t="s">
        <v>565</v>
      </c>
      <c r="AE139" s="4" t="s">
        <v>566</v>
      </c>
      <c r="AF139" s="4" t="s">
        <v>568</v>
      </c>
      <c r="AH139" s="4" t="s">
        <v>568</v>
      </c>
      <c r="AI139" s="4" t="s">
        <v>589</v>
      </c>
      <c r="AJ139" s="4" t="s">
        <v>590</v>
      </c>
      <c r="AK139" s="4" t="s">
        <v>577</v>
      </c>
      <c r="AL139" s="4" t="s">
        <v>578</v>
      </c>
      <c r="AM139" s="4" t="str">
        <f>"86"</f>
        <v>86</v>
      </c>
      <c r="AN139" s="4" t="str">
        <f>"1"</f>
        <v>1</v>
      </c>
      <c r="AO139" s="4" t="s">
        <v>606</v>
      </c>
      <c r="AP139" s="4" t="s">
        <v>584</v>
      </c>
      <c r="AQ139" s="4" t="s">
        <v>575</v>
      </c>
      <c r="AR139" s="4" t="str">
        <f>"1.8100"</f>
        <v>1.8100</v>
      </c>
      <c r="AS139" s="4" t="str">
        <f>"9.07"</f>
        <v>9.07</v>
      </c>
      <c r="AT139" s="4" t="s">
        <v>607</v>
      </c>
      <c r="AU139" s="4" t="str">
        <f>"9.07"</f>
        <v>9.07</v>
      </c>
      <c r="AV139" s="4">
        <v>3268</v>
      </c>
      <c r="AW139" s="4">
        <v>0</v>
      </c>
      <c r="AX139" s="4">
        <v>0</v>
      </c>
      <c r="AY139" s="4">
        <v>3268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</row>
    <row r="140" spans="1:56" x14ac:dyDescent="0.2">
      <c r="A140" s="4" t="s">
        <v>558</v>
      </c>
      <c r="B140" s="4" t="s">
        <v>559</v>
      </c>
      <c r="C140" s="4" t="s">
        <v>560</v>
      </c>
      <c r="D140" s="4" t="s">
        <v>445</v>
      </c>
      <c r="E140" s="4" t="s">
        <v>561</v>
      </c>
      <c r="F140" s="4" t="s">
        <v>559</v>
      </c>
      <c r="G140" s="4" t="s">
        <v>562</v>
      </c>
      <c r="H140" s="4" t="s">
        <v>445</v>
      </c>
      <c r="I140" s="4" t="str">
        <f t="shared" si="26"/>
        <v>1010</v>
      </c>
      <c r="J140" s="4" t="s">
        <v>444</v>
      </c>
      <c r="K140" s="4" t="s">
        <v>443</v>
      </c>
      <c r="L140" s="4" t="s">
        <v>444</v>
      </c>
      <c r="M140" s="4" t="s">
        <v>445</v>
      </c>
      <c r="N140" s="4" t="s">
        <v>500</v>
      </c>
      <c r="O140" s="4" t="s">
        <v>502</v>
      </c>
      <c r="P140" s="4" t="s">
        <v>563</v>
      </c>
      <c r="Q140" s="4" t="str">
        <f>"0882190316"</f>
        <v>0882190316</v>
      </c>
      <c r="S140" s="4" t="str">
        <f>"00880882190316"</f>
        <v>00880882190316</v>
      </c>
      <c r="T140" s="24">
        <v>41513</v>
      </c>
      <c r="U140" s="24">
        <v>41513</v>
      </c>
      <c r="V140" s="24">
        <v>1</v>
      </c>
      <c r="W140" s="4" t="str">
        <f>"0882190316"</f>
        <v>0882190316</v>
      </c>
      <c r="X140" s="4" t="s">
        <v>563</v>
      </c>
      <c r="Y140" s="4" t="str">
        <f t="shared" si="25"/>
        <v>9000</v>
      </c>
      <c r="Z140" s="4" t="str">
        <f>"11"</f>
        <v>11</v>
      </c>
      <c r="AA140" s="4" t="s">
        <v>98</v>
      </c>
      <c r="AB140" s="4" t="s">
        <v>619</v>
      </c>
      <c r="AC140" s="4" t="s">
        <v>563</v>
      </c>
      <c r="AD140" s="4" t="s">
        <v>565</v>
      </c>
      <c r="AE140" s="4" t="s">
        <v>566</v>
      </c>
      <c r="AF140" s="4" t="s">
        <v>567</v>
      </c>
      <c r="AH140" s="4" t="s">
        <v>568</v>
      </c>
      <c r="AI140" s="4" t="s">
        <v>589</v>
      </c>
      <c r="AJ140" s="4" t="s">
        <v>590</v>
      </c>
      <c r="AK140" s="4" t="s">
        <v>571</v>
      </c>
      <c r="AL140" s="4" t="s">
        <v>572</v>
      </c>
      <c r="AN140" s="4" t="str">
        <f>"2"</f>
        <v>2</v>
      </c>
      <c r="AO140" s="4" t="s">
        <v>611</v>
      </c>
      <c r="AP140" s="4" t="s">
        <v>584</v>
      </c>
      <c r="AQ140" s="4" t="s">
        <v>575</v>
      </c>
      <c r="AR140" s="4" t="str">
        <f>"3.6000"</f>
        <v>3.6000</v>
      </c>
      <c r="AS140" s="4" t="str">
        <f>".00"</f>
        <v>.00</v>
      </c>
      <c r="AT140" s="4" t="s">
        <v>611</v>
      </c>
      <c r="AV140" s="4">
        <v>1</v>
      </c>
      <c r="AW140" s="4">
        <v>0</v>
      </c>
      <c r="AX140" s="4">
        <v>0</v>
      </c>
      <c r="AY140" s="4">
        <v>1</v>
      </c>
      <c r="AZ140" s="4">
        <v>0</v>
      </c>
      <c r="BA140" s="4">
        <v>14.81</v>
      </c>
      <c r="BB140" s="4">
        <v>14.81</v>
      </c>
      <c r="BC140" s="4">
        <v>14.81</v>
      </c>
      <c r="BD140" s="4">
        <v>0</v>
      </c>
    </row>
    <row r="141" spans="1:56" x14ac:dyDescent="0.2">
      <c r="A141" s="4" t="s">
        <v>558</v>
      </c>
      <c r="B141" s="4" t="s">
        <v>559</v>
      </c>
      <c r="C141" s="4" t="s">
        <v>560</v>
      </c>
      <c r="D141" s="4" t="s">
        <v>445</v>
      </c>
      <c r="E141" s="4" t="s">
        <v>561</v>
      </c>
      <c r="F141" s="4" t="s">
        <v>559</v>
      </c>
      <c r="G141" s="4" t="s">
        <v>562</v>
      </c>
      <c r="H141" s="4" t="s">
        <v>445</v>
      </c>
      <c r="I141" s="4" t="str">
        <f t="shared" si="26"/>
        <v>1010</v>
      </c>
      <c r="J141" s="4" t="s">
        <v>444</v>
      </c>
      <c r="K141" s="4" t="s">
        <v>443</v>
      </c>
      <c r="L141" s="4" t="s">
        <v>444</v>
      </c>
      <c r="M141" s="4" t="s">
        <v>445</v>
      </c>
      <c r="N141" s="4" t="s">
        <v>500</v>
      </c>
      <c r="O141" s="4" t="s">
        <v>502</v>
      </c>
      <c r="P141" s="4" t="s">
        <v>563</v>
      </c>
      <c r="Q141" s="4" t="str">
        <f>"0882190316"</f>
        <v>0882190316</v>
      </c>
      <c r="S141" s="4" t="str">
        <f>"00880882190316"</f>
        <v>00880882190316</v>
      </c>
      <c r="T141" s="24">
        <v>41513</v>
      </c>
      <c r="U141" s="24">
        <v>41513</v>
      </c>
      <c r="V141" s="24">
        <v>1</v>
      </c>
      <c r="W141" s="4" t="str">
        <f>"0882190316"</f>
        <v>0882190316</v>
      </c>
      <c r="X141" s="4" t="s">
        <v>563</v>
      </c>
      <c r="Y141" s="4" t="str">
        <f t="shared" si="25"/>
        <v>9000</v>
      </c>
      <c r="Z141" s="4" t="str">
        <f>"11"</f>
        <v>11</v>
      </c>
      <c r="AA141" s="4" t="s">
        <v>568</v>
      </c>
      <c r="AB141" s="4" t="s">
        <v>619</v>
      </c>
      <c r="AC141" s="4" t="s">
        <v>563</v>
      </c>
      <c r="AD141" s="4" t="s">
        <v>565</v>
      </c>
      <c r="AE141" s="4" t="s">
        <v>566</v>
      </c>
      <c r="AF141" s="4" t="s">
        <v>567</v>
      </c>
      <c r="AH141" s="4" t="s">
        <v>568</v>
      </c>
      <c r="AI141" s="4" t="s">
        <v>589</v>
      </c>
      <c r="AJ141" s="4" t="s">
        <v>590</v>
      </c>
      <c r="AK141" s="4" t="s">
        <v>571</v>
      </c>
      <c r="AL141" s="4" t="s">
        <v>572</v>
      </c>
      <c r="AN141" s="4" t="str">
        <f>"2"</f>
        <v>2</v>
      </c>
      <c r="AO141" s="4" t="s">
        <v>611</v>
      </c>
      <c r="AP141" s="4" t="s">
        <v>584</v>
      </c>
      <c r="AQ141" s="4" t="s">
        <v>575</v>
      </c>
      <c r="AR141" s="4" t="str">
        <f>"3.6000"</f>
        <v>3.6000</v>
      </c>
      <c r="AS141" s="4" t="str">
        <f>".00"</f>
        <v>.00</v>
      </c>
      <c r="AT141" s="4" t="s">
        <v>611</v>
      </c>
      <c r="AV141" s="4">
        <v>740</v>
      </c>
      <c r="AW141" s="4">
        <v>0</v>
      </c>
      <c r="AX141" s="4">
        <v>0</v>
      </c>
      <c r="AY141" s="4">
        <v>740</v>
      </c>
      <c r="AZ141" s="4">
        <v>0</v>
      </c>
      <c r="BA141" s="4">
        <v>10959.4</v>
      </c>
      <c r="BB141" s="4">
        <v>10959.4</v>
      </c>
      <c r="BC141" s="4">
        <v>10959.4</v>
      </c>
      <c r="BD141" s="4">
        <v>0</v>
      </c>
    </row>
    <row r="142" spans="1:56" x14ac:dyDescent="0.2">
      <c r="A142" s="4" t="s">
        <v>558</v>
      </c>
      <c r="B142" s="4" t="s">
        <v>559</v>
      </c>
      <c r="C142" s="4" t="s">
        <v>560</v>
      </c>
      <c r="D142" s="4" t="s">
        <v>445</v>
      </c>
      <c r="E142" s="4" t="s">
        <v>561</v>
      </c>
      <c r="F142" s="4" t="s">
        <v>559</v>
      </c>
      <c r="G142" s="4" t="s">
        <v>562</v>
      </c>
      <c r="H142" s="4" t="s">
        <v>445</v>
      </c>
      <c r="I142" s="4" t="str">
        <f t="shared" si="26"/>
        <v>1010</v>
      </c>
      <c r="J142" s="4" t="s">
        <v>444</v>
      </c>
      <c r="K142" s="4" t="s">
        <v>443</v>
      </c>
      <c r="L142" s="4" t="s">
        <v>444</v>
      </c>
      <c r="M142" s="4" t="s">
        <v>445</v>
      </c>
      <c r="N142" s="4" t="s">
        <v>710</v>
      </c>
      <c r="O142" s="4" t="s">
        <v>452</v>
      </c>
      <c r="P142" s="4" t="s">
        <v>563</v>
      </c>
      <c r="Q142" s="4" t="str">
        <f>"8088218071"</f>
        <v>8088218071</v>
      </c>
      <c r="S142" s="4" t="str">
        <f>"00880882180713"</f>
        <v>00880882180713</v>
      </c>
      <c r="T142" s="24">
        <v>41103</v>
      </c>
      <c r="U142" s="24">
        <v>41103</v>
      </c>
      <c r="V142" s="24">
        <v>1</v>
      </c>
      <c r="W142" s="4" t="str">
        <f>"8088218071"</f>
        <v>8088218071</v>
      </c>
      <c r="X142" s="4" t="s">
        <v>563</v>
      </c>
      <c r="Y142" s="4" t="str">
        <f>"1010"</f>
        <v>1010</v>
      </c>
      <c r="Z142" s="4" t="str">
        <f>"11"</f>
        <v>11</v>
      </c>
      <c r="AA142" s="4" t="s">
        <v>93</v>
      </c>
      <c r="AB142" s="4" t="s">
        <v>564</v>
      </c>
      <c r="AC142" s="4" t="s">
        <v>563</v>
      </c>
      <c r="AD142" s="4" t="s">
        <v>565</v>
      </c>
      <c r="AE142" s="4" t="s">
        <v>566</v>
      </c>
      <c r="AF142" s="4" t="s">
        <v>567</v>
      </c>
      <c r="AH142" s="4" t="s">
        <v>568</v>
      </c>
      <c r="AI142" s="4" t="s">
        <v>569</v>
      </c>
      <c r="AJ142" s="4" t="s">
        <v>570</v>
      </c>
      <c r="AK142" s="4" t="s">
        <v>571</v>
      </c>
      <c r="AL142" s="4" t="s">
        <v>572</v>
      </c>
      <c r="AN142" s="4" t="str">
        <f t="shared" ref="AN142:AN149" si="27">"1"</f>
        <v>1</v>
      </c>
      <c r="AO142" s="4" t="s">
        <v>583</v>
      </c>
      <c r="AP142" s="4" t="s">
        <v>584</v>
      </c>
      <c r="AQ142" s="4" t="s">
        <v>575</v>
      </c>
      <c r="AR142" s="4" t="str">
        <f>"1.8000"</f>
        <v>1.8000</v>
      </c>
      <c r="AS142" s="4" t="str">
        <f>"11.59"</f>
        <v>11.59</v>
      </c>
      <c r="AT142" s="4" t="s">
        <v>585</v>
      </c>
      <c r="AU142" s="4" t="str">
        <f>"11.59"</f>
        <v>11.59</v>
      </c>
      <c r="AV142" s="4">
        <v>122</v>
      </c>
      <c r="AW142" s="4">
        <v>0</v>
      </c>
      <c r="AX142" s="4">
        <v>0</v>
      </c>
      <c r="AY142" s="4">
        <v>122</v>
      </c>
      <c r="AZ142" s="4">
        <v>0</v>
      </c>
      <c r="BA142" s="4">
        <v>1408.76</v>
      </c>
      <c r="BB142" s="4">
        <v>1408.76</v>
      </c>
      <c r="BC142" s="4">
        <v>1408.76</v>
      </c>
      <c r="BD142" s="4">
        <v>0</v>
      </c>
    </row>
    <row r="143" spans="1:56" x14ac:dyDescent="0.2">
      <c r="A143" s="4" t="s">
        <v>558</v>
      </c>
      <c r="B143" s="4" t="s">
        <v>559</v>
      </c>
      <c r="C143" s="4" t="s">
        <v>560</v>
      </c>
      <c r="D143" s="4" t="s">
        <v>445</v>
      </c>
      <c r="E143" s="4" t="s">
        <v>561</v>
      </c>
      <c r="F143" s="4" t="s">
        <v>559</v>
      </c>
      <c r="G143" s="4" t="s">
        <v>562</v>
      </c>
      <c r="H143" s="4" t="s">
        <v>445</v>
      </c>
      <c r="I143" s="4" t="str">
        <f t="shared" si="26"/>
        <v>1010</v>
      </c>
      <c r="J143" s="4" t="s">
        <v>444</v>
      </c>
      <c r="K143" s="4" t="s">
        <v>443</v>
      </c>
      <c r="L143" s="4" t="s">
        <v>444</v>
      </c>
      <c r="M143" s="4" t="s">
        <v>445</v>
      </c>
      <c r="N143" s="4" t="s">
        <v>710</v>
      </c>
      <c r="O143" s="4" t="s">
        <v>452</v>
      </c>
      <c r="P143" s="4" t="s">
        <v>563</v>
      </c>
      <c r="Q143" s="4" t="str">
        <f>"8088218071"</f>
        <v>8088218071</v>
      </c>
      <c r="S143" s="4" t="str">
        <f>"00880882180713"</f>
        <v>00880882180713</v>
      </c>
      <c r="T143" s="24">
        <v>41103</v>
      </c>
      <c r="U143" s="24">
        <v>41103</v>
      </c>
      <c r="V143" s="24">
        <v>1</v>
      </c>
      <c r="W143" s="4" t="str">
        <f>"8088218071"</f>
        <v>8088218071</v>
      </c>
      <c r="X143" s="4" t="s">
        <v>563</v>
      </c>
      <c r="Y143" s="4" t="str">
        <f>"1010"</f>
        <v>1010</v>
      </c>
      <c r="Z143" s="4" t="str">
        <f>"53"</f>
        <v>53</v>
      </c>
      <c r="AA143" s="4" t="s">
        <v>93</v>
      </c>
      <c r="AB143" s="4" t="s">
        <v>564</v>
      </c>
      <c r="AC143" s="4" t="s">
        <v>563</v>
      </c>
      <c r="AD143" s="4" t="s">
        <v>565</v>
      </c>
      <c r="AE143" s="4" t="s">
        <v>566</v>
      </c>
      <c r="AF143" s="4" t="s">
        <v>568</v>
      </c>
      <c r="AH143" s="4" t="s">
        <v>568</v>
      </c>
      <c r="AI143" s="4" t="s">
        <v>569</v>
      </c>
      <c r="AJ143" s="4" t="s">
        <v>570</v>
      </c>
      <c r="AK143" s="4" t="s">
        <v>571</v>
      </c>
      <c r="AL143" s="4" t="s">
        <v>572</v>
      </c>
      <c r="AN143" s="4" t="str">
        <f t="shared" si="27"/>
        <v>1</v>
      </c>
      <c r="AO143" s="4" t="s">
        <v>583</v>
      </c>
      <c r="AP143" s="4" t="s">
        <v>584</v>
      </c>
      <c r="AQ143" s="4" t="s">
        <v>575</v>
      </c>
      <c r="AR143" s="4" t="str">
        <f>"1.8000"</f>
        <v>1.8000</v>
      </c>
      <c r="AS143" s="4" t="str">
        <f>"11.59"</f>
        <v>11.59</v>
      </c>
      <c r="AT143" s="4" t="s">
        <v>585</v>
      </c>
      <c r="AU143" s="4" t="str">
        <f>"11.59"</f>
        <v>11.59</v>
      </c>
      <c r="AV143" s="4">
        <v>2</v>
      </c>
      <c r="AW143" s="4">
        <v>0</v>
      </c>
      <c r="AX143" s="4">
        <v>0</v>
      </c>
      <c r="AY143" s="4">
        <v>2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</row>
    <row r="144" spans="1:56" x14ac:dyDescent="0.2">
      <c r="A144" s="4" t="s">
        <v>558</v>
      </c>
      <c r="B144" s="4" t="s">
        <v>559</v>
      </c>
      <c r="C144" s="4" t="s">
        <v>560</v>
      </c>
      <c r="D144" s="4" t="s">
        <v>445</v>
      </c>
      <c r="E144" s="4" t="s">
        <v>561</v>
      </c>
      <c r="F144" s="4" t="s">
        <v>559</v>
      </c>
      <c r="G144" s="4" t="s">
        <v>562</v>
      </c>
      <c r="H144" s="4" t="s">
        <v>445</v>
      </c>
      <c r="I144" s="4" t="str">
        <f t="shared" si="26"/>
        <v>1010</v>
      </c>
      <c r="J144" s="4" t="s">
        <v>444</v>
      </c>
      <c r="K144" s="4" t="s">
        <v>443</v>
      </c>
      <c r="L144" s="4" t="s">
        <v>444</v>
      </c>
      <c r="M144" s="4" t="s">
        <v>445</v>
      </c>
      <c r="N144" s="4" t="s">
        <v>710</v>
      </c>
      <c r="O144" s="4" t="s">
        <v>452</v>
      </c>
      <c r="P144" s="4" t="s">
        <v>563</v>
      </c>
      <c r="Q144" s="4" t="str">
        <f>"8088218072"</f>
        <v>8088218072</v>
      </c>
      <c r="S144" s="4" t="str">
        <f>"00880882180720"</f>
        <v>00880882180720</v>
      </c>
      <c r="T144" s="24">
        <v>41103</v>
      </c>
      <c r="U144" s="24">
        <v>41103</v>
      </c>
      <c r="V144" s="24">
        <v>1</v>
      </c>
      <c r="W144" s="4" t="str">
        <f>"8088218072"</f>
        <v>8088218072</v>
      </c>
      <c r="X144" s="4" t="s">
        <v>563</v>
      </c>
      <c r="Y144" s="4" t="str">
        <f>"1010"</f>
        <v>1010</v>
      </c>
      <c r="Z144" s="4" t="str">
        <f>"11"</f>
        <v>11</v>
      </c>
      <c r="AA144" s="4" t="s">
        <v>93</v>
      </c>
      <c r="AB144" s="4" t="s">
        <v>564</v>
      </c>
      <c r="AC144" s="4" t="s">
        <v>563</v>
      </c>
      <c r="AD144" s="4" t="s">
        <v>565</v>
      </c>
      <c r="AE144" s="4" t="s">
        <v>566</v>
      </c>
      <c r="AF144" s="4" t="s">
        <v>567</v>
      </c>
      <c r="AH144" s="4" t="s">
        <v>568</v>
      </c>
      <c r="AI144" s="4" t="s">
        <v>569</v>
      </c>
      <c r="AJ144" s="4" t="s">
        <v>570</v>
      </c>
      <c r="AK144" s="4" t="s">
        <v>577</v>
      </c>
      <c r="AL144" s="4" t="s">
        <v>578</v>
      </c>
      <c r="AN144" s="4" t="str">
        <f t="shared" si="27"/>
        <v>1</v>
      </c>
      <c r="AO144" s="4" t="s">
        <v>579</v>
      </c>
      <c r="AP144" s="4" t="s">
        <v>584</v>
      </c>
      <c r="AQ144" s="4" t="s">
        <v>580</v>
      </c>
      <c r="AR144" s="4" t="str">
        <f t="shared" ref="AR144:AR149" si="28">".7500"</f>
        <v>.7500</v>
      </c>
      <c r="AS144" s="4" t="str">
        <f>"7.50"</f>
        <v>7.50</v>
      </c>
      <c r="AT144" s="4" t="s">
        <v>581</v>
      </c>
      <c r="AU144" s="4" t="str">
        <f>"7.50"</f>
        <v>7.50</v>
      </c>
      <c r="AV144" s="4">
        <v>1015</v>
      </c>
      <c r="AW144" s="4">
        <v>-82</v>
      </c>
      <c r="AX144" s="4">
        <v>-596.45000000000005</v>
      </c>
      <c r="AY144" s="4">
        <v>933</v>
      </c>
      <c r="AZ144" s="4">
        <v>266.94</v>
      </c>
      <c r="BA144" s="4">
        <v>7608.94</v>
      </c>
      <c r="BB144" s="4">
        <v>6745.55</v>
      </c>
      <c r="BC144" s="4">
        <v>7342</v>
      </c>
      <c r="BD144" s="4">
        <v>0</v>
      </c>
    </row>
    <row r="145" spans="1:56" x14ac:dyDescent="0.2">
      <c r="A145" s="4" t="s">
        <v>558</v>
      </c>
      <c r="B145" s="4" t="s">
        <v>559</v>
      </c>
      <c r="C145" s="4" t="s">
        <v>560</v>
      </c>
      <c r="D145" s="4" t="s">
        <v>445</v>
      </c>
      <c r="E145" s="4" t="s">
        <v>561</v>
      </c>
      <c r="F145" s="4" t="s">
        <v>559</v>
      </c>
      <c r="G145" s="4" t="s">
        <v>562</v>
      </c>
      <c r="H145" s="4" t="s">
        <v>445</v>
      </c>
      <c r="I145" s="4" t="str">
        <f t="shared" si="26"/>
        <v>1010</v>
      </c>
      <c r="J145" s="4" t="s">
        <v>444</v>
      </c>
      <c r="K145" s="4" t="s">
        <v>443</v>
      </c>
      <c r="L145" s="4" t="s">
        <v>444</v>
      </c>
      <c r="M145" s="4" t="s">
        <v>445</v>
      </c>
      <c r="N145" s="4" t="s">
        <v>710</v>
      </c>
      <c r="O145" s="4" t="s">
        <v>452</v>
      </c>
      <c r="P145" s="4" t="s">
        <v>563</v>
      </c>
      <c r="Q145" s="4" t="str">
        <f>"8088218072"</f>
        <v>8088218072</v>
      </c>
      <c r="S145" s="4" t="str">
        <f>"00880882180720"</f>
        <v>00880882180720</v>
      </c>
      <c r="T145" s="24">
        <v>41103</v>
      </c>
      <c r="U145" s="24">
        <v>41103</v>
      </c>
      <c r="V145" s="24">
        <v>1</v>
      </c>
      <c r="W145" s="4" t="str">
        <f>"8088218072"</f>
        <v>8088218072</v>
      </c>
      <c r="X145" s="4" t="s">
        <v>563</v>
      </c>
      <c r="Y145" s="4" t="str">
        <f>"1010"</f>
        <v>1010</v>
      </c>
      <c r="Z145" s="4" t="str">
        <f>"53"</f>
        <v>53</v>
      </c>
      <c r="AA145" s="4" t="s">
        <v>93</v>
      </c>
      <c r="AB145" s="4" t="s">
        <v>564</v>
      </c>
      <c r="AC145" s="4" t="s">
        <v>563</v>
      </c>
      <c r="AD145" s="4" t="s">
        <v>565</v>
      </c>
      <c r="AE145" s="4" t="s">
        <v>566</v>
      </c>
      <c r="AF145" s="4" t="s">
        <v>568</v>
      </c>
      <c r="AH145" s="4" t="s">
        <v>568</v>
      </c>
      <c r="AI145" s="4" t="s">
        <v>569</v>
      </c>
      <c r="AJ145" s="4" t="s">
        <v>570</v>
      </c>
      <c r="AK145" s="4" t="s">
        <v>577</v>
      </c>
      <c r="AL145" s="4" t="s">
        <v>578</v>
      </c>
      <c r="AN145" s="4" t="str">
        <f t="shared" si="27"/>
        <v>1</v>
      </c>
      <c r="AO145" s="4" t="s">
        <v>579</v>
      </c>
      <c r="AP145" s="4" t="s">
        <v>584</v>
      </c>
      <c r="AQ145" s="4" t="s">
        <v>580</v>
      </c>
      <c r="AR145" s="4" t="str">
        <f t="shared" si="28"/>
        <v>.7500</v>
      </c>
      <c r="AS145" s="4" t="str">
        <f>"7.50"</f>
        <v>7.50</v>
      </c>
      <c r="AT145" s="4" t="s">
        <v>581</v>
      </c>
      <c r="AU145" s="4" t="str">
        <f>"7.50"</f>
        <v>7.50</v>
      </c>
      <c r="AV145" s="4">
        <v>2</v>
      </c>
      <c r="AW145" s="4">
        <v>0</v>
      </c>
      <c r="AX145" s="4">
        <v>0</v>
      </c>
      <c r="AY145" s="4">
        <v>2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</row>
    <row r="146" spans="1:56" x14ac:dyDescent="0.2">
      <c r="A146" s="4" t="s">
        <v>558</v>
      </c>
      <c r="B146" s="4" t="s">
        <v>559</v>
      </c>
      <c r="C146" s="4" t="s">
        <v>560</v>
      </c>
      <c r="D146" s="4" t="s">
        <v>445</v>
      </c>
      <c r="E146" s="4" t="s">
        <v>561</v>
      </c>
      <c r="F146" s="4" t="s">
        <v>559</v>
      </c>
      <c r="G146" s="4" t="s">
        <v>562</v>
      </c>
      <c r="H146" s="4" t="s">
        <v>445</v>
      </c>
      <c r="I146" s="4" t="str">
        <f t="shared" si="26"/>
        <v>1010</v>
      </c>
      <c r="J146" s="4" t="s">
        <v>444</v>
      </c>
      <c r="K146" s="4" t="s">
        <v>443</v>
      </c>
      <c r="L146" s="4" t="s">
        <v>444</v>
      </c>
      <c r="M146" s="4" t="s">
        <v>445</v>
      </c>
      <c r="N146" s="4" t="s">
        <v>711</v>
      </c>
      <c r="O146" s="4" t="s">
        <v>712</v>
      </c>
      <c r="P146" s="4" t="s">
        <v>563</v>
      </c>
      <c r="Q146" s="4" t="str">
        <f>"0882188726"</f>
        <v>0882188726</v>
      </c>
      <c r="S146" s="4" t="str">
        <f>"00880882188726"</f>
        <v>00880882188726</v>
      </c>
      <c r="T146" s="24">
        <v>41492</v>
      </c>
      <c r="U146" s="24">
        <v>41492</v>
      </c>
      <c r="V146" s="24">
        <v>1</v>
      </c>
      <c r="W146" s="4" t="str">
        <f>"0882188726"</f>
        <v>0882188726</v>
      </c>
      <c r="X146" s="4" t="s">
        <v>563</v>
      </c>
      <c r="Y146" s="4" t="str">
        <f>"9000"</f>
        <v>9000</v>
      </c>
      <c r="Z146" s="4" t="str">
        <f>"11"</f>
        <v>11</v>
      </c>
      <c r="AA146" s="4" t="s">
        <v>93</v>
      </c>
      <c r="AB146" s="4" t="s">
        <v>619</v>
      </c>
      <c r="AC146" s="4" t="s">
        <v>563</v>
      </c>
      <c r="AD146" s="4" t="s">
        <v>565</v>
      </c>
      <c r="AE146" s="4" t="s">
        <v>566</v>
      </c>
      <c r="AF146" s="4" t="s">
        <v>567</v>
      </c>
      <c r="AH146" s="4" t="s">
        <v>568</v>
      </c>
      <c r="AI146" s="4" t="s">
        <v>589</v>
      </c>
      <c r="AJ146" s="4" t="s">
        <v>590</v>
      </c>
      <c r="AK146" s="4" t="s">
        <v>577</v>
      </c>
      <c r="AL146" s="4" t="s">
        <v>578</v>
      </c>
      <c r="AN146" s="4" t="str">
        <f t="shared" si="27"/>
        <v>1</v>
      </c>
      <c r="AO146" s="4" t="s">
        <v>713</v>
      </c>
      <c r="AP146" s="4" t="s">
        <v>584</v>
      </c>
      <c r="AQ146" s="4" t="s">
        <v>687</v>
      </c>
      <c r="AR146" s="4" t="str">
        <f t="shared" si="28"/>
        <v>.7500</v>
      </c>
      <c r="AS146" s="4" t="str">
        <f>"3.65"</f>
        <v>3.65</v>
      </c>
      <c r="AT146" s="4" t="s">
        <v>714</v>
      </c>
      <c r="AU146" s="4" t="str">
        <f>"3.65"</f>
        <v>3.65</v>
      </c>
      <c r="AV146" s="4">
        <v>3425</v>
      </c>
      <c r="AW146" s="4">
        <v>-1</v>
      </c>
      <c r="AX146" s="4">
        <v>-3.3</v>
      </c>
      <c r="AY146" s="4">
        <v>3424</v>
      </c>
      <c r="AZ146" s="4">
        <v>1152.1500000000001</v>
      </c>
      <c r="BA146" s="4">
        <v>13225.02</v>
      </c>
      <c r="BB146" s="4">
        <v>12069.57</v>
      </c>
      <c r="BC146" s="4">
        <v>12072.87</v>
      </c>
      <c r="BD146" s="4">
        <v>0</v>
      </c>
    </row>
    <row r="147" spans="1:56" x14ac:dyDescent="0.2">
      <c r="A147" s="4" t="s">
        <v>558</v>
      </c>
      <c r="B147" s="4" t="s">
        <v>559</v>
      </c>
      <c r="C147" s="4" t="s">
        <v>560</v>
      </c>
      <c r="D147" s="4" t="s">
        <v>445</v>
      </c>
      <c r="E147" s="4" t="s">
        <v>561</v>
      </c>
      <c r="F147" s="4" t="s">
        <v>559</v>
      </c>
      <c r="G147" s="4" t="s">
        <v>562</v>
      </c>
      <c r="H147" s="4" t="s">
        <v>445</v>
      </c>
      <c r="I147" s="4" t="str">
        <f t="shared" si="26"/>
        <v>1010</v>
      </c>
      <c r="J147" s="4" t="s">
        <v>444</v>
      </c>
      <c r="K147" s="4" t="s">
        <v>443</v>
      </c>
      <c r="L147" s="4" t="s">
        <v>444</v>
      </c>
      <c r="M147" s="4" t="s">
        <v>445</v>
      </c>
      <c r="N147" s="4" t="s">
        <v>711</v>
      </c>
      <c r="O147" s="4" t="s">
        <v>712</v>
      </c>
      <c r="P147" s="4" t="s">
        <v>563</v>
      </c>
      <c r="Q147" s="4" t="str">
        <f>"0882188726"</f>
        <v>0882188726</v>
      </c>
      <c r="S147" s="4" t="str">
        <f>"00880882188726"</f>
        <v>00880882188726</v>
      </c>
      <c r="T147" s="24">
        <v>41492</v>
      </c>
      <c r="U147" s="24">
        <v>41492</v>
      </c>
      <c r="V147" s="24">
        <v>1</v>
      </c>
      <c r="W147" s="4" t="str">
        <f>"0882188726"</f>
        <v>0882188726</v>
      </c>
      <c r="X147" s="4" t="s">
        <v>563</v>
      </c>
      <c r="Y147" s="4" t="str">
        <f>"9000"</f>
        <v>9000</v>
      </c>
      <c r="Z147" s="4" t="str">
        <f>"53"</f>
        <v>53</v>
      </c>
      <c r="AA147" s="4" t="s">
        <v>93</v>
      </c>
      <c r="AB147" s="4" t="s">
        <v>619</v>
      </c>
      <c r="AC147" s="4" t="s">
        <v>563</v>
      </c>
      <c r="AD147" s="4" t="s">
        <v>565</v>
      </c>
      <c r="AE147" s="4" t="s">
        <v>566</v>
      </c>
      <c r="AF147" s="4" t="s">
        <v>568</v>
      </c>
      <c r="AH147" s="4" t="s">
        <v>568</v>
      </c>
      <c r="AI147" s="4" t="s">
        <v>589</v>
      </c>
      <c r="AJ147" s="4" t="s">
        <v>590</v>
      </c>
      <c r="AK147" s="4" t="s">
        <v>577</v>
      </c>
      <c r="AL147" s="4" t="s">
        <v>578</v>
      </c>
      <c r="AN147" s="4" t="str">
        <f t="shared" si="27"/>
        <v>1</v>
      </c>
      <c r="AO147" s="4" t="s">
        <v>713</v>
      </c>
      <c r="AP147" s="4" t="s">
        <v>584</v>
      </c>
      <c r="AQ147" s="4" t="s">
        <v>687</v>
      </c>
      <c r="AR147" s="4" t="str">
        <f t="shared" si="28"/>
        <v>.7500</v>
      </c>
      <c r="AS147" s="4" t="str">
        <f>"3.65"</f>
        <v>3.65</v>
      </c>
      <c r="AT147" s="4" t="s">
        <v>714</v>
      </c>
      <c r="AU147" s="4" t="str">
        <f>"3.65"</f>
        <v>3.65</v>
      </c>
      <c r="AV147" s="4">
        <v>122</v>
      </c>
      <c r="AW147" s="4">
        <v>0</v>
      </c>
      <c r="AX147" s="4">
        <v>0</v>
      </c>
      <c r="AY147" s="4">
        <v>122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</row>
    <row r="148" spans="1:56" x14ac:dyDescent="0.2">
      <c r="A148" s="4" t="s">
        <v>558</v>
      </c>
      <c r="B148" s="4" t="s">
        <v>559</v>
      </c>
      <c r="C148" s="4" t="s">
        <v>560</v>
      </c>
      <c r="D148" s="4" t="s">
        <v>445</v>
      </c>
      <c r="E148" s="4" t="s">
        <v>561</v>
      </c>
      <c r="F148" s="4" t="s">
        <v>559</v>
      </c>
      <c r="G148" s="4" t="s">
        <v>562</v>
      </c>
      <c r="H148" s="4" t="s">
        <v>445</v>
      </c>
      <c r="I148" s="4" t="str">
        <f t="shared" si="26"/>
        <v>1010</v>
      </c>
      <c r="J148" s="4" t="s">
        <v>444</v>
      </c>
      <c r="K148" s="4" t="s">
        <v>443</v>
      </c>
      <c r="L148" s="4" t="s">
        <v>444</v>
      </c>
      <c r="M148" s="4" t="s">
        <v>445</v>
      </c>
      <c r="N148" s="4" t="s">
        <v>715</v>
      </c>
      <c r="O148" s="4" t="s">
        <v>716</v>
      </c>
      <c r="P148" s="4" t="s">
        <v>563</v>
      </c>
      <c r="Q148" s="4" t="str">
        <f>"8088215272"</f>
        <v>8088215272</v>
      </c>
      <c r="S148" s="4" t="str">
        <f>"00880882152727"</f>
        <v>00880882152727</v>
      </c>
      <c r="T148" s="24">
        <v>38205</v>
      </c>
      <c r="U148" s="24">
        <v>38205</v>
      </c>
      <c r="V148" s="24">
        <v>1</v>
      </c>
      <c r="W148" s="4" t="str">
        <f>"8088215272"</f>
        <v>8088215272</v>
      </c>
      <c r="X148" s="4" t="s">
        <v>563</v>
      </c>
      <c r="Y148" s="4" t="str">
        <f t="shared" ref="Y148:Y210" si="29">"1010"</f>
        <v>1010</v>
      </c>
      <c r="Z148" s="4" t="str">
        <f>"11"</f>
        <v>11</v>
      </c>
      <c r="AA148" s="4" t="s">
        <v>93</v>
      </c>
      <c r="AB148" s="4" t="s">
        <v>564</v>
      </c>
      <c r="AC148" s="4" t="s">
        <v>563</v>
      </c>
      <c r="AD148" s="4" t="s">
        <v>565</v>
      </c>
      <c r="AE148" s="4" t="s">
        <v>566</v>
      </c>
      <c r="AF148" s="4" t="s">
        <v>567</v>
      </c>
      <c r="AH148" s="4" t="s">
        <v>568</v>
      </c>
      <c r="AI148" s="4" t="s">
        <v>569</v>
      </c>
      <c r="AJ148" s="4" t="s">
        <v>570</v>
      </c>
      <c r="AK148" s="4" t="s">
        <v>577</v>
      </c>
      <c r="AL148" s="4" t="s">
        <v>578</v>
      </c>
      <c r="AN148" s="4" t="str">
        <f t="shared" si="27"/>
        <v>1</v>
      </c>
      <c r="AO148" s="4" t="s">
        <v>579</v>
      </c>
      <c r="AP148" s="4" t="s">
        <v>574</v>
      </c>
      <c r="AQ148" s="4" t="s">
        <v>580</v>
      </c>
      <c r="AR148" s="4" t="str">
        <f t="shared" si="28"/>
        <v>.7500</v>
      </c>
      <c r="AS148" s="4" t="str">
        <f>"7.50"</f>
        <v>7.50</v>
      </c>
      <c r="AT148" s="4" t="s">
        <v>581</v>
      </c>
      <c r="AU148" s="4" t="str">
        <f>"7.50"</f>
        <v>7.50</v>
      </c>
      <c r="AV148" s="4">
        <v>3</v>
      </c>
      <c r="AW148" s="4">
        <v>0</v>
      </c>
      <c r="AX148" s="4">
        <v>0</v>
      </c>
      <c r="AY148" s="4">
        <v>3</v>
      </c>
      <c r="AZ148" s="4">
        <v>2.58</v>
      </c>
      <c r="BA148" s="4">
        <v>22.5</v>
      </c>
      <c r="BB148" s="4">
        <v>19.920000000000002</v>
      </c>
      <c r="BC148" s="4">
        <v>19.920000000000002</v>
      </c>
      <c r="BD148" s="4">
        <v>0</v>
      </c>
    </row>
    <row r="149" spans="1:56" x14ac:dyDescent="0.2">
      <c r="A149" s="4" t="s">
        <v>558</v>
      </c>
      <c r="B149" s="4" t="s">
        <v>559</v>
      </c>
      <c r="C149" s="4" t="s">
        <v>560</v>
      </c>
      <c r="D149" s="4" t="s">
        <v>445</v>
      </c>
      <c r="E149" s="4" t="s">
        <v>561</v>
      </c>
      <c r="F149" s="4" t="s">
        <v>559</v>
      </c>
      <c r="G149" s="4" t="s">
        <v>562</v>
      </c>
      <c r="H149" s="4" t="s">
        <v>445</v>
      </c>
      <c r="I149" s="4" t="str">
        <f t="shared" si="26"/>
        <v>1010</v>
      </c>
      <c r="J149" s="4" t="s">
        <v>444</v>
      </c>
      <c r="K149" s="4" t="s">
        <v>443</v>
      </c>
      <c r="L149" s="4" t="s">
        <v>444</v>
      </c>
      <c r="M149" s="4" t="s">
        <v>445</v>
      </c>
      <c r="N149" s="4" t="s">
        <v>717</v>
      </c>
      <c r="O149" s="4" t="s">
        <v>465</v>
      </c>
      <c r="P149" s="4" t="s">
        <v>563</v>
      </c>
      <c r="Q149" s="4" t="str">
        <f>"8088217272"</f>
        <v>8088217272</v>
      </c>
      <c r="S149" s="4" t="str">
        <f>"00880882172725"</f>
        <v>00880882172725</v>
      </c>
      <c r="T149" s="24">
        <v>40585</v>
      </c>
      <c r="U149" s="24">
        <v>40585</v>
      </c>
      <c r="V149" s="24">
        <v>1</v>
      </c>
      <c r="W149" s="4" t="str">
        <f>"8088217272"</f>
        <v>8088217272</v>
      </c>
      <c r="X149" s="4" t="s">
        <v>563</v>
      </c>
      <c r="Y149" s="4" t="str">
        <f t="shared" si="29"/>
        <v>1010</v>
      </c>
      <c r="Z149" s="4" t="str">
        <f>"11"</f>
        <v>11</v>
      </c>
      <c r="AA149" s="4" t="s">
        <v>93</v>
      </c>
      <c r="AB149" s="4" t="s">
        <v>564</v>
      </c>
      <c r="AC149" s="4" t="s">
        <v>563</v>
      </c>
      <c r="AD149" s="4" t="s">
        <v>565</v>
      </c>
      <c r="AE149" s="4" t="s">
        <v>566</v>
      </c>
      <c r="AF149" s="4" t="s">
        <v>567</v>
      </c>
      <c r="AH149" s="4" t="s">
        <v>568</v>
      </c>
      <c r="AI149" s="4" t="s">
        <v>569</v>
      </c>
      <c r="AJ149" s="4" t="s">
        <v>570</v>
      </c>
      <c r="AK149" s="4" t="s">
        <v>577</v>
      </c>
      <c r="AL149" s="4" t="s">
        <v>578</v>
      </c>
      <c r="AN149" s="4" t="str">
        <f t="shared" si="27"/>
        <v>1</v>
      </c>
      <c r="AO149" s="4" t="s">
        <v>579</v>
      </c>
      <c r="AP149" s="4" t="s">
        <v>574</v>
      </c>
      <c r="AQ149" s="4" t="s">
        <v>580</v>
      </c>
      <c r="AR149" s="4" t="str">
        <f t="shared" si="28"/>
        <v>.7500</v>
      </c>
      <c r="AS149" s="4" t="str">
        <f>"7.50"</f>
        <v>7.50</v>
      </c>
      <c r="AT149" s="4" t="s">
        <v>581</v>
      </c>
      <c r="AU149" s="4" t="str">
        <f>"7.50"</f>
        <v>7.50</v>
      </c>
      <c r="AV149" s="4">
        <v>1</v>
      </c>
      <c r="AW149" s="4">
        <v>-1</v>
      </c>
      <c r="AX149" s="4">
        <v>-7.15</v>
      </c>
      <c r="AY149" s="4">
        <v>0</v>
      </c>
      <c r="AZ149" s="4">
        <v>0</v>
      </c>
      <c r="BA149" s="4">
        <v>7.5</v>
      </c>
      <c r="BB149" s="4">
        <v>0.35</v>
      </c>
      <c r="BC149" s="4">
        <v>7.5</v>
      </c>
      <c r="BD149" s="4">
        <v>0</v>
      </c>
    </row>
    <row r="150" spans="1:56" x14ac:dyDescent="0.2">
      <c r="A150" s="4" t="s">
        <v>558</v>
      </c>
      <c r="B150" s="4" t="s">
        <v>559</v>
      </c>
      <c r="C150" s="4" t="s">
        <v>560</v>
      </c>
      <c r="D150" s="4" t="s">
        <v>445</v>
      </c>
      <c r="E150" s="4" t="s">
        <v>561</v>
      </c>
      <c r="F150" s="4" t="s">
        <v>559</v>
      </c>
      <c r="G150" s="4" t="s">
        <v>562</v>
      </c>
      <c r="H150" s="4" t="s">
        <v>445</v>
      </c>
      <c r="I150" s="4" t="str">
        <f t="shared" si="26"/>
        <v>1010</v>
      </c>
      <c r="J150" s="4" t="s">
        <v>444</v>
      </c>
      <c r="K150" s="4" t="s">
        <v>443</v>
      </c>
      <c r="L150" s="4" t="s">
        <v>444</v>
      </c>
      <c r="M150" s="4" t="s">
        <v>445</v>
      </c>
      <c r="N150" s="4" t="s">
        <v>718</v>
      </c>
      <c r="O150" s="4" t="s">
        <v>719</v>
      </c>
      <c r="P150" s="4" t="s">
        <v>563</v>
      </c>
      <c r="Q150" s="4" t="str">
        <f>"8088216271"</f>
        <v>8088216271</v>
      </c>
      <c r="S150" s="4" t="str">
        <f>"00880882162719"</f>
        <v>00880882162719</v>
      </c>
      <c r="T150" s="24">
        <v>39619</v>
      </c>
      <c r="U150" s="24">
        <v>39619</v>
      </c>
      <c r="V150" s="24">
        <v>1</v>
      </c>
      <c r="W150" s="4" t="str">
        <f>"8088216271"</f>
        <v>8088216271</v>
      </c>
      <c r="X150" s="4" t="s">
        <v>563</v>
      </c>
      <c r="Y150" s="4" t="str">
        <f t="shared" si="29"/>
        <v>1010</v>
      </c>
      <c r="Z150" s="4" t="str">
        <f>"11"</f>
        <v>11</v>
      </c>
      <c r="AA150" s="4" t="s">
        <v>93</v>
      </c>
      <c r="AB150" s="4" t="s">
        <v>564</v>
      </c>
      <c r="AC150" s="4" t="s">
        <v>563</v>
      </c>
      <c r="AD150" s="4" t="s">
        <v>565</v>
      </c>
      <c r="AE150" s="4" t="s">
        <v>566</v>
      </c>
      <c r="AF150" s="4" t="s">
        <v>567</v>
      </c>
      <c r="AH150" s="4" t="s">
        <v>568</v>
      </c>
      <c r="AI150" s="4" t="s">
        <v>569</v>
      </c>
      <c r="AJ150" s="4" t="s">
        <v>570</v>
      </c>
      <c r="AK150" s="4" t="s">
        <v>571</v>
      </c>
      <c r="AL150" s="4" t="s">
        <v>572</v>
      </c>
      <c r="AN150" s="4" t="str">
        <f>"4"</f>
        <v>4</v>
      </c>
      <c r="AO150" s="4" t="s">
        <v>611</v>
      </c>
      <c r="AP150" s="4" t="s">
        <v>574</v>
      </c>
      <c r="AQ150" s="4" t="s">
        <v>575</v>
      </c>
      <c r="AR150" s="4" t="str">
        <f>"1.8000"</f>
        <v>1.8000</v>
      </c>
      <c r="AS150" s="4" t="str">
        <f>".00"</f>
        <v>.00</v>
      </c>
      <c r="AT150" s="4" t="s">
        <v>611</v>
      </c>
      <c r="AV150" s="4">
        <v>48</v>
      </c>
      <c r="AW150" s="4">
        <v>0</v>
      </c>
      <c r="AX150" s="4">
        <v>0</v>
      </c>
      <c r="AY150" s="4">
        <v>48</v>
      </c>
      <c r="AZ150" s="4">
        <v>0</v>
      </c>
      <c r="BA150" s="4">
        <v>710.88</v>
      </c>
      <c r="BB150" s="4">
        <v>710.88</v>
      </c>
      <c r="BC150" s="4">
        <v>710.88</v>
      </c>
      <c r="BD150" s="4">
        <v>0</v>
      </c>
    </row>
    <row r="151" spans="1:56" x14ac:dyDescent="0.2">
      <c r="A151" s="4" t="s">
        <v>558</v>
      </c>
      <c r="B151" s="4" t="s">
        <v>559</v>
      </c>
      <c r="C151" s="4" t="s">
        <v>560</v>
      </c>
      <c r="D151" s="4" t="s">
        <v>445</v>
      </c>
      <c r="E151" s="4" t="s">
        <v>561</v>
      </c>
      <c r="F151" s="4" t="s">
        <v>559</v>
      </c>
      <c r="G151" s="4" t="s">
        <v>562</v>
      </c>
      <c r="H151" s="4" t="s">
        <v>445</v>
      </c>
      <c r="I151" s="4" t="str">
        <f t="shared" si="26"/>
        <v>1010</v>
      </c>
      <c r="J151" s="4" t="s">
        <v>444</v>
      </c>
      <c r="K151" s="4" t="s">
        <v>443</v>
      </c>
      <c r="L151" s="4" t="s">
        <v>444</v>
      </c>
      <c r="M151" s="4" t="s">
        <v>445</v>
      </c>
      <c r="N151" s="4" t="s">
        <v>718</v>
      </c>
      <c r="O151" s="4" t="s">
        <v>719</v>
      </c>
      <c r="P151" s="4" t="s">
        <v>563</v>
      </c>
      <c r="Q151" s="4" t="str">
        <f>"8088216271"</f>
        <v>8088216271</v>
      </c>
      <c r="S151" s="4" t="str">
        <f>"00880882162719"</f>
        <v>00880882162719</v>
      </c>
      <c r="T151" s="24">
        <v>39619</v>
      </c>
      <c r="U151" s="24">
        <v>39619</v>
      </c>
      <c r="V151" s="24">
        <v>1</v>
      </c>
      <c r="W151" s="4" t="str">
        <f>"8088216271"</f>
        <v>8088216271</v>
      </c>
      <c r="X151" s="4" t="s">
        <v>563</v>
      </c>
      <c r="Y151" s="4" t="str">
        <f t="shared" si="29"/>
        <v>1010</v>
      </c>
      <c r="Z151" s="4" t="str">
        <f>"29"</f>
        <v>29</v>
      </c>
      <c r="AA151" s="4" t="s">
        <v>93</v>
      </c>
      <c r="AB151" s="4" t="s">
        <v>564</v>
      </c>
      <c r="AC151" s="4" t="s">
        <v>563</v>
      </c>
      <c r="AD151" s="4" t="s">
        <v>565</v>
      </c>
      <c r="AE151" s="4" t="s">
        <v>566</v>
      </c>
      <c r="AF151" s="4" t="s">
        <v>568</v>
      </c>
      <c r="AH151" s="4" t="s">
        <v>568</v>
      </c>
      <c r="AI151" s="4" t="s">
        <v>569</v>
      </c>
      <c r="AJ151" s="4" t="s">
        <v>570</v>
      </c>
      <c r="AK151" s="4" t="s">
        <v>571</v>
      </c>
      <c r="AL151" s="4" t="s">
        <v>572</v>
      </c>
      <c r="AN151" s="4" t="str">
        <f>"4"</f>
        <v>4</v>
      </c>
      <c r="AO151" s="4" t="s">
        <v>611</v>
      </c>
      <c r="AP151" s="4" t="s">
        <v>574</v>
      </c>
      <c r="AQ151" s="4" t="s">
        <v>575</v>
      </c>
      <c r="AR151" s="4" t="str">
        <f>"1.8000"</f>
        <v>1.8000</v>
      </c>
      <c r="AS151" s="4" t="str">
        <f>".00"</f>
        <v>.00</v>
      </c>
      <c r="AT151" s="4" t="s">
        <v>611</v>
      </c>
      <c r="AV151" s="4">
        <v>4</v>
      </c>
      <c r="AW151" s="4">
        <v>0</v>
      </c>
      <c r="AX151" s="4">
        <v>0</v>
      </c>
      <c r="AY151" s="4">
        <v>4</v>
      </c>
      <c r="AZ151" s="4">
        <v>0</v>
      </c>
      <c r="BA151" s="4">
        <v>59.24</v>
      </c>
      <c r="BB151" s="4">
        <v>59.24</v>
      </c>
      <c r="BC151" s="4">
        <v>59.24</v>
      </c>
      <c r="BD151" s="4">
        <v>0</v>
      </c>
    </row>
    <row r="152" spans="1:56" x14ac:dyDescent="0.2">
      <c r="A152" s="4" t="s">
        <v>558</v>
      </c>
      <c r="B152" s="4" t="s">
        <v>559</v>
      </c>
      <c r="C152" s="4" t="s">
        <v>560</v>
      </c>
      <c r="D152" s="4" t="s">
        <v>445</v>
      </c>
      <c r="E152" s="4" t="s">
        <v>561</v>
      </c>
      <c r="F152" s="4" t="s">
        <v>559</v>
      </c>
      <c r="G152" s="4" t="s">
        <v>562</v>
      </c>
      <c r="H152" s="4" t="s">
        <v>445</v>
      </c>
      <c r="I152" s="4" t="str">
        <f t="shared" si="26"/>
        <v>1010</v>
      </c>
      <c r="J152" s="4" t="s">
        <v>444</v>
      </c>
      <c r="K152" s="4" t="s">
        <v>443</v>
      </c>
      <c r="L152" s="4" t="s">
        <v>444</v>
      </c>
      <c r="M152" s="4" t="s">
        <v>445</v>
      </c>
      <c r="N152" s="4" t="s">
        <v>718</v>
      </c>
      <c r="O152" s="4" t="s">
        <v>719</v>
      </c>
      <c r="P152" s="4" t="s">
        <v>563</v>
      </c>
      <c r="Q152" s="4" t="str">
        <f>"8088216272"</f>
        <v>8088216272</v>
      </c>
      <c r="S152" s="4" t="str">
        <f>"00880882162726"</f>
        <v>00880882162726</v>
      </c>
      <c r="T152" s="24">
        <v>39619</v>
      </c>
      <c r="U152" s="24">
        <v>39619</v>
      </c>
      <c r="V152" s="24">
        <v>1</v>
      </c>
      <c r="W152" s="4" t="str">
        <f>"8088216272"</f>
        <v>8088216272</v>
      </c>
      <c r="X152" s="4" t="s">
        <v>563</v>
      </c>
      <c r="Y152" s="4" t="str">
        <f t="shared" si="29"/>
        <v>1010</v>
      </c>
      <c r="Z152" s="4" t="str">
        <f>"11"</f>
        <v>11</v>
      </c>
      <c r="AA152" s="4" t="s">
        <v>93</v>
      </c>
      <c r="AB152" s="4" t="s">
        <v>564</v>
      </c>
      <c r="AC152" s="4" t="s">
        <v>563</v>
      </c>
      <c r="AD152" s="4" t="s">
        <v>565</v>
      </c>
      <c r="AE152" s="4" t="s">
        <v>566</v>
      </c>
      <c r="AF152" s="4" t="s">
        <v>567</v>
      </c>
      <c r="AH152" s="4" t="s">
        <v>568</v>
      </c>
      <c r="AI152" s="4" t="s">
        <v>569</v>
      </c>
      <c r="AJ152" s="4" t="s">
        <v>570</v>
      </c>
      <c r="AK152" s="4" t="s">
        <v>577</v>
      </c>
      <c r="AL152" s="4" t="s">
        <v>578</v>
      </c>
      <c r="AN152" s="4" t="str">
        <f>"2"</f>
        <v>2</v>
      </c>
      <c r="AO152" s="4" t="s">
        <v>606</v>
      </c>
      <c r="AP152" s="4" t="s">
        <v>574</v>
      </c>
      <c r="AQ152" s="4" t="s">
        <v>575</v>
      </c>
      <c r="AR152" s="4" t="str">
        <f>".7500"</f>
        <v>.7500</v>
      </c>
      <c r="AS152" s="4" t="str">
        <f>"9.07"</f>
        <v>9.07</v>
      </c>
      <c r="AT152" s="4" t="s">
        <v>607</v>
      </c>
      <c r="AU152" s="4" t="str">
        <f>"9.07"</f>
        <v>9.07</v>
      </c>
      <c r="AV152" s="4">
        <v>34</v>
      </c>
      <c r="AW152" s="4">
        <v>-1</v>
      </c>
      <c r="AX152" s="4">
        <v>-8.7200000000000006</v>
      </c>
      <c r="AY152" s="4">
        <v>33</v>
      </c>
      <c r="AZ152" s="4">
        <v>4.17</v>
      </c>
      <c r="BA152" s="4">
        <v>308.39</v>
      </c>
      <c r="BB152" s="4">
        <v>295.5</v>
      </c>
      <c r="BC152" s="4">
        <v>304.22000000000003</v>
      </c>
      <c r="BD152" s="4">
        <v>0</v>
      </c>
    </row>
    <row r="153" spans="1:56" x14ac:dyDescent="0.2">
      <c r="A153" s="4" t="s">
        <v>558</v>
      </c>
      <c r="B153" s="4" t="s">
        <v>559</v>
      </c>
      <c r="C153" s="4" t="s">
        <v>560</v>
      </c>
      <c r="D153" s="4" t="s">
        <v>445</v>
      </c>
      <c r="E153" s="4" t="s">
        <v>561</v>
      </c>
      <c r="F153" s="4" t="s">
        <v>559</v>
      </c>
      <c r="G153" s="4" t="s">
        <v>562</v>
      </c>
      <c r="H153" s="4" t="s">
        <v>445</v>
      </c>
      <c r="I153" s="4" t="str">
        <f t="shared" si="26"/>
        <v>1010</v>
      </c>
      <c r="J153" s="4" t="s">
        <v>444</v>
      </c>
      <c r="K153" s="4" t="s">
        <v>443</v>
      </c>
      <c r="L153" s="4" t="s">
        <v>444</v>
      </c>
      <c r="M153" s="4" t="s">
        <v>445</v>
      </c>
      <c r="N153" s="4" t="s">
        <v>487</v>
      </c>
      <c r="O153" s="4" t="s">
        <v>488</v>
      </c>
      <c r="P153" s="4" t="s">
        <v>488</v>
      </c>
      <c r="Q153" s="4" t="str">
        <f>"8088217501"</f>
        <v>8088217501</v>
      </c>
      <c r="S153" s="4" t="str">
        <f>"00880882175016"</f>
        <v>00880882175016</v>
      </c>
      <c r="T153" s="24">
        <v>40795</v>
      </c>
      <c r="U153" s="24">
        <v>40795</v>
      </c>
      <c r="V153" s="24">
        <v>40795</v>
      </c>
      <c r="W153" s="4" t="str">
        <f>"8088217501"</f>
        <v>8088217501</v>
      </c>
      <c r="X153" s="4" t="s">
        <v>720</v>
      </c>
      <c r="Y153" s="4" t="str">
        <f t="shared" si="29"/>
        <v>1010</v>
      </c>
      <c r="Z153" s="4" t="str">
        <f>"11"</f>
        <v>11</v>
      </c>
      <c r="AA153" s="4" t="s">
        <v>93</v>
      </c>
      <c r="AB153" s="4" t="s">
        <v>564</v>
      </c>
      <c r="AC153" s="4" t="s">
        <v>564</v>
      </c>
      <c r="AD153" s="4" t="s">
        <v>565</v>
      </c>
      <c r="AE153" s="4" t="s">
        <v>566</v>
      </c>
      <c r="AF153" s="4" t="s">
        <v>567</v>
      </c>
      <c r="AH153" s="4" t="s">
        <v>568</v>
      </c>
      <c r="AI153" s="4" t="s">
        <v>569</v>
      </c>
      <c r="AJ153" s="4" t="s">
        <v>570</v>
      </c>
      <c r="AK153" s="4" t="s">
        <v>571</v>
      </c>
      <c r="AL153" s="4" t="s">
        <v>572</v>
      </c>
      <c r="AN153" s="4" t="str">
        <f>"2"</f>
        <v>2</v>
      </c>
      <c r="AO153" s="4" t="s">
        <v>583</v>
      </c>
      <c r="AP153" s="4" t="s">
        <v>574</v>
      </c>
      <c r="AQ153" s="4" t="s">
        <v>575</v>
      </c>
      <c r="AR153" s="4" t="str">
        <f>"1.8000"</f>
        <v>1.8000</v>
      </c>
      <c r="AS153" s="4" t="str">
        <f>"11.59"</f>
        <v>11.59</v>
      </c>
      <c r="AT153" s="4" t="s">
        <v>585</v>
      </c>
      <c r="AU153" s="4" t="str">
        <f>"11.59"</f>
        <v>11.59</v>
      </c>
      <c r="AV153" s="4">
        <v>155</v>
      </c>
      <c r="AW153" s="4">
        <v>0</v>
      </c>
      <c r="AX153" s="4">
        <v>0</v>
      </c>
      <c r="AY153" s="4">
        <v>155</v>
      </c>
      <c r="AZ153" s="4">
        <v>0</v>
      </c>
      <c r="BA153" s="4">
        <v>1796.45</v>
      </c>
      <c r="BB153" s="4">
        <v>1796.45</v>
      </c>
      <c r="BC153" s="4">
        <v>1796.45</v>
      </c>
      <c r="BD153" s="4">
        <v>0</v>
      </c>
    </row>
    <row r="154" spans="1:56" x14ac:dyDescent="0.2">
      <c r="A154" s="4" t="s">
        <v>558</v>
      </c>
      <c r="B154" s="4" t="s">
        <v>559</v>
      </c>
      <c r="C154" s="4" t="s">
        <v>560</v>
      </c>
      <c r="D154" s="4" t="s">
        <v>445</v>
      </c>
      <c r="E154" s="4" t="s">
        <v>561</v>
      </c>
      <c r="F154" s="4" t="s">
        <v>559</v>
      </c>
      <c r="G154" s="4" t="s">
        <v>562</v>
      </c>
      <c r="H154" s="4" t="s">
        <v>445</v>
      </c>
      <c r="I154" s="4" t="str">
        <f t="shared" si="26"/>
        <v>1010</v>
      </c>
      <c r="J154" s="4" t="s">
        <v>444</v>
      </c>
      <c r="K154" s="4" t="s">
        <v>443</v>
      </c>
      <c r="L154" s="4" t="s">
        <v>444</v>
      </c>
      <c r="M154" s="4" t="s">
        <v>445</v>
      </c>
      <c r="N154" s="4" t="s">
        <v>487</v>
      </c>
      <c r="O154" s="4" t="s">
        <v>488</v>
      </c>
      <c r="P154" s="4" t="s">
        <v>488</v>
      </c>
      <c r="Q154" s="4" t="str">
        <f>"8088217502"</f>
        <v>8088217502</v>
      </c>
      <c r="S154" s="4" t="str">
        <f>"00880882175023"</f>
        <v>00880882175023</v>
      </c>
      <c r="T154" s="24">
        <v>40795</v>
      </c>
      <c r="U154" s="24">
        <v>40795</v>
      </c>
      <c r="V154" s="24">
        <v>40795</v>
      </c>
      <c r="W154" s="4" t="str">
        <f>"8088217502"</f>
        <v>8088217502</v>
      </c>
      <c r="X154" s="4" t="s">
        <v>720</v>
      </c>
      <c r="Y154" s="4" t="str">
        <f t="shared" si="29"/>
        <v>1010</v>
      </c>
      <c r="Z154" s="4" t="str">
        <f>"11"</f>
        <v>11</v>
      </c>
      <c r="AA154" s="4" t="s">
        <v>93</v>
      </c>
      <c r="AB154" s="4" t="s">
        <v>564</v>
      </c>
      <c r="AC154" s="4" t="s">
        <v>564</v>
      </c>
      <c r="AD154" s="4" t="s">
        <v>565</v>
      </c>
      <c r="AE154" s="4" t="s">
        <v>566</v>
      </c>
      <c r="AF154" s="4" t="s">
        <v>567</v>
      </c>
      <c r="AH154" s="4" t="s">
        <v>568</v>
      </c>
      <c r="AI154" s="4" t="s">
        <v>569</v>
      </c>
      <c r="AJ154" s="4" t="s">
        <v>570</v>
      </c>
      <c r="AK154" s="4" t="s">
        <v>577</v>
      </c>
      <c r="AL154" s="4" t="s">
        <v>578</v>
      </c>
      <c r="AN154" s="4" t="str">
        <f>"1"</f>
        <v>1</v>
      </c>
      <c r="AO154" s="4" t="s">
        <v>606</v>
      </c>
      <c r="AP154" s="4" t="s">
        <v>574</v>
      </c>
      <c r="AQ154" s="4" t="s">
        <v>575</v>
      </c>
      <c r="AR154" s="4" t="str">
        <f t="shared" ref="AR154:AR161" si="30">".7500"</f>
        <v>.7500</v>
      </c>
      <c r="AS154" s="4" t="str">
        <f>"9.07"</f>
        <v>9.07</v>
      </c>
      <c r="AT154" s="4" t="s">
        <v>607</v>
      </c>
      <c r="AU154" s="4" t="str">
        <f>"9.07"</f>
        <v>9.07</v>
      </c>
      <c r="AV154" s="4">
        <v>67</v>
      </c>
      <c r="AW154" s="4">
        <v>-276</v>
      </c>
      <c r="AX154" s="4">
        <v>-2441.77</v>
      </c>
      <c r="AY154" s="4">
        <v>-209</v>
      </c>
      <c r="AZ154" s="4">
        <v>12.52</v>
      </c>
      <c r="BA154" s="4">
        <v>607.16</v>
      </c>
      <c r="BB154" s="4">
        <v>-1847.13</v>
      </c>
      <c r="BC154" s="4">
        <v>594.64</v>
      </c>
      <c r="BD154" s="4">
        <v>0</v>
      </c>
    </row>
    <row r="155" spans="1:56" x14ac:dyDescent="0.2">
      <c r="A155" s="4" t="s">
        <v>558</v>
      </c>
      <c r="B155" s="4" t="s">
        <v>559</v>
      </c>
      <c r="C155" s="4" t="s">
        <v>560</v>
      </c>
      <c r="D155" s="4" t="s">
        <v>445</v>
      </c>
      <c r="E155" s="4" t="s">
        <v>561</v>
      </c>
      <c r="F155" s="4" t="s">
        <v>559</v>
      </c>
      <c r="G155" s="4" t="s">
        <v>562</v>
      </c>
      <c r="H155" s="4" t="s">
        <v>445</v>
      </c>
      <c r="I155" s="4" t="str">
        <f t="shared" si="26"/>
        <v>1010</v>
      </c>
      <c r="J155" s="4" t="s">
        <v>444</v>
      </c>
      <c r="K155" s="4" t="s">
        <v>443</v>
      </c>
      <c r="L155" s="4" t="s">
        <v>444</v>
      </c>
      <c r="M155" s="4" t="s">
        <v>445</v>
      </c>
      <c r="N155" s="4" t="s">
        <v>721</v>
      </c>
      <c r="O155" s="4" t="s">
        <v>722</v>
      </c>
      <c r="P155" s="4" t="s">
        <v>563</v>
      </c>
      <c r="Q155" s="4" t="str">
        <f>"8088216782"</f>
        <v>8088216782</v>
      </c>
      <c r="S155" s="4" t="str">
        <f>"00880882167820"</f>
        <v>00880882167820</v>
      </c>
      <c r="T155" s="24">
        <v>40060</v>
      </c>
      <c r="U155" s="24">
        <v>40060</v>
      </c>
      <c r="V155" s="24">
        <v>1</v>
      </c>
      <c r="W155" s="4" t="str">
        <f>"8088216782"</f>
        <v>8088216782</v>
      </c>
      <c r="X155" s="4" t="s">
        <v>563</v>
      </c>
      <c r="Y155" s="4" t="str">
        <f t="shared" si="29"/>
        <v>1010</v>
      </c>
      <c r="Z155" s="4" t="str">
        <f>"11"</f>
        <v>11</v>
      </c>
      <c r="AA155" s="4" t="s">
        <v>93</v>
      </c>
      <c r="AB155" s="4" t="s">
        <v>564</v>
      </c>
      <c r="AC155" s="4" t="s">
        <v>563</v>
      </c>
      <c r="AD155" s="4" t="s">
        <v>565</v>
      </c>
      <c r="AE155" s="4" t="s">
        <v>566</v>
      </c>
      <c r="AF155" s="4" t="s">
        <v>567</v>
      </c>
      <c r="AH155" s="4" t="s">
        <v>568</v>
      </c>
      <c r="AI155" s="4" t="s">
        <v>569</v>
      </c>
      <c r="AJ155" s="4" t="s">
        <v>570</v>
      </c>
      <c r="AK155" s="4" t="s">
        <v>577</v>
      </c>
      <c r="AL155" s="4" t="s">
        <v>578</v>
      </c>
      <c r="AN155" s="4" t="str">
        <f>"2"</f>
        <v>2</v>
      </c>
      <c r="AO155" s="4" t="s">
        <v>606</v>
      </c>
      <c r="AP155" s="4" t="s">
        <v>574</v>
      </c>
      <c r="AQ155" s="4" t="s">
        <v>575</v>
      </c>
      <c r="AR155" s="4" t="str">
        <f t="shared" si="30"/>
        <v>.7500</v>
      </c>
      <c r="AS155" s="4" t="str">
        <f>"9.07"</f>
        <v>9.07</v>
      </c>
      <c r="AT155" s="4" t="s">
        <v>607</v>
      </c>
      <c r="AU155" s="4" t="str">
        <f>"9.07"</f>
        <v>9.07</v>
      </c>
      <c r="AV155" s="4">
        <v>178</v>
      </c>
      <c r="AW155" s="4">
        <v>-28</v>
      </c>
      <c r="AX155" s="4">
        <v>-245.91</v>
      </c>
      <c r="AY155" s="4">
        <v>150</v>
      </c>
      <c r="AZ155" s="4">
        <v>71.989999999999995</v>
      </c>
      <c r="BA155" s="4">
        <v>1614.69</v>
      </c>
      <c r="BB155" s="4">
        <v>1296.79</v>
      </c>
      <c r="BC155" s="4">
        <v>1542.7</v>
      </c>
      <c r="BD155" s="4">
        <v>0</v>
      </c>
    </row>
    <row r="156" spans="1:56" x14ac:dyDescent="0.2">
      <c r="A156" s="4" t="s">
        <v>558</v>
      </c>
      <c r="B156" s="4" t="s">
        <v>559</v>
      </c>
      <c r="C156" s="4" t="s">
        <v>560</v>
      </c>
      <c r="D156" s="4" t="s">
        <v>445</v>
      </c>
      <c r="E156" s="4" t="s">
        <v>561</v>
      </c>
      <c r="F156" s="4" t="s">
        <v>559</v>
      </c>
      <c r="G156" s="4" t="s">
        <v>562</v>
      </c>
      <c r="H156" s="4" t="s">
        <v>445</v>
      </c>
      <c r="I156" s="4" t="str">
        <f t="shared" si="26"/>
        <v>1010</v>
      </c>
      <c r="J156" s="4" t="s">
        <v>444</v>
      </c>
      <c r="K156" s="4" t="s">
        <v>443</v>
      </c>
      <c r="L156" s="4" t="s">
        <v>444</v>
      </c>
      <c r="M156" s="4" t="s">
        <v>445</v>
      </c>
      <c r="N156" s="4" t="s">
        <v>721</v>
      </c>
      <c r="O156" s="4" t="s">
        <v>722</v>
      </c>
      <c r="P156" s="4" t="s">
        <v>563</v>
      </c>
      <c r="Q156" s="4" t="str">
        <f>"8088216782"</f>
        <v>8088216782</v>
      </c>
      <c r="S156" s="4" t="str">
        <f>"00880882167820"</f>
        <v>00880882167820</v>
      </c>
      <c r="T156" s="24">
        <v>40060</v>
      </c>
      <c r="U156" s="24">
        <v>40060</v>
      </c>
      <c r="V156" s="24">
        <v>1</v>
      </c>
      <c r="W156" s="4" t="str">
        <f>"8088216782"</f>
        <v>8088216782</v>
      </c>
      <c r="X156" s="4" t="s">
        <v>563</v>
      </c>
      <c r="Y156" s="4" t="str">
        <f t="shared" si="29"/>
        <v>1010</v>
      </c>
      <c r="Z156" s="4" t="str">
        <f>"53"</f>
        <v>53</v>
      </c>
      <c r="AA156" s="4" t="s">
        <v>93</v>
      </c>
      <c r="AB156" s="4" t="s">
        <v>564</v>
      </c>
      <c r="AC156" s="4" t="s">
        <v>563</v>
      </c>
      <c r="AD156" s="4" t="s">
        <v>565</v>
      </c>
      <c r="AE156" s="4" t="s">
        <v>566</v>
      </c>
      <c r="AF156" s="4" t="s">
        <v>568</v>
      </c>
      <c r="AH156" s="4" t="s">
        <v>568</v>
      </c>
      <c r="AI156" s="4" t="s">
        <v>569</v>
      </c>
      <c r="AJ156" s="4" t="s">
        <v>570</v>
      </c>
      <c r="AK156" s="4" t="s">
        <v>577</v>
      </c>
      <c r="AL156" s="4" t="s">
        <v>578</v>
      </c>
      <c r="AN156" s="4" t="str">
        <f>"2"</f>
        <v>2</v>
      </c>
      <c r="AO156" s="4" t="s">
        <v>606</v>
      </c>
      <c r="AP156" s="4" t="s">
        <v>574</v>
      </c>
      <c r="AQ156" s="4" t="s">
        <v>575</v>
      </c>
      <c r="AR156" s="4" t="str">
        <f t="shared" si="30"/>
        <v>.7500</v>
      </c>
      <c r="AS156" s="4" t="str">
        <f>"9.07"</f>
        <v>9.07</v>
      </c>
      <c r="AT156" s="4" t="s">
        <v>607</v>
      </c>
      <c r="AU156" s="4" t="str">
        <f>"9.07"</f>
        <v>9.07</v>
      </c>
      <c r="AV156" s="4">
        <v>10</v>
      </c>
      <c r="AW156" s="4">
        <v>0</v>
      </c>
      <c r="AX156" s="4">
        <v>0</v>
      </c>
      <c r="AY156" s="4">
        <v>10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</row>
    <row r="157" spans="1:56" x14ac:dyDescent="0.2">
      <c r="A157" s="4" t="s">
        <v>558</v>
      </c>
      <c r="B157" s="4" t="s">
        <v>559</v>
      </c>
      <c r="C157" s="4" t="s">
        <v>560</v>
      </c>
      <c r="D157" s="4" t="s">
        <v>445</v>
      </c>
      <c r="E157" s="4" t="s">
        <v>561</v>
      </c>
      <c r="F157" s="4" t="s">
        <v>559</v>
      </c>
      <c r="G157" s="4" t="s">
        <v>562</v>
      </c>
      <c r="H157" s="4" t="s">
        <v>445</v>
      </c>
      <c r="I157" s="4" t="str">
        <f t="shared" si="26"/>
        <v>1010</v>
      </c>
      <c r="J157" s="4" t="s">
        <v>444</v>
      </c>
      <c r="K157" s="4" t="s">
        <v>443</v>
      </c>
      <c r="L157" s="4" t="s">
        <v>444</v>
      </c>
      <c r="M157" s="4" t="s">
        <v>445</v>
      </c>
      <c r="N157" s="4" t="s">
        <v>721</v>
      </c>
      <c r="O157" s="4" t="s">
        <v>490</v>
      </c>
      <c r="P157" s="4" t="s">
        <v>563</v>
      </c>
      <c r="Q157" s="4" t="str">
        <f>"8088217802"</f>
        <v>8088217802</v>
      </c>
      <c r="S157" s="4" t="str">
        <f>"00880882178024"</f>
        <v>00880882178024</v>
      </c>
      <c r="T157" s="24">
        <v>40928</v>
      </c>
      <c r="U157" s="24">
        <v>40928</v>
      </c>
      <c r="V157" s="24">
        <v>1</v>
      </c>
      <c r="W157" s="4" t="str">
        <f>"8088217802"</f>
        <v>8088217802</v>
      </c>
      <c r="X157" s="4" t="s">
        <v>563</v>
      </c>
      <c r="Y157" s="4" t="str">
        <f t="shared" si="29"/>
        <v>1010</v>
      </c>
      <c r="Z157" s="4" t="str">
        <f>"11"</f>
        <v>11</v>
      </c>
      <c r="AA157" s="4" t="s">
        <v>93</v>
      </c>
      <c r="AB157" s="4" t="s">
        <v>564</v>
      </c>
      <c r="AC157" s="4" t="s">
        <v>563</v>
      </c>
      <c r="AD157" s="4" t="s">
        <v>565</v>
      </c>
      <c r="AE157" s="4" t="s">
        <v>566</v>
      </c>
      <c r="AF157" s="4" t="s">
        <v>567</v>
      </c>
      <c r="AH157" s="4" t="s">
        <v>568</v>
      </c>
      <c r="AI157" s="4" t="s">
        <v>569</v>
      </c>
      <c r="AJ157" s="4" t="s">
        <v>570</v>
      </c>
      <c r="AK157" s="4" t="s">
        <v>577</v>
      </c>
      <c r="AL157" s="4" t="s">
        <v>578</v>
      </c>
      <c r="AN157" s="4" t="str">
        <f>"2"</f>
        <v>2</v>
      </c>
      <c r="AO157" s="4" t="s">
        <v>606</v>
      </c>
      <c r="AP157" s="4" t="s">
        <v>574</v>
      </c>
      <c r="AQ157" s="4" t="s">
        <v>575</v>
      </c>
      <c r="AR157" s="4" t="str">
        <f t="shared" si="30"/>
        <v>.7500</v>
      </c>
      <c r="AS157" s="4" t="str">
        <f>"9.07"</f>
        <v>9.07</v>
      </c>
      <c r="AT157" s="4" t="s">
        <v>607</v>
      </c>
      <c r="AU157" s="4" t="str">
        <f>"9.07"</f>
        <v>9.07</v>
      </c>
      <c r="AV157" s="4">
        <v>449</v>
      </c>
      <c r="AW157" s="4">
        <v>-577</v>
      </c>
      <c r="AX157" s="4">
        <v>-5189.9399999999996</v>
      </c>
      <c r="AY157" s="4">
        <v>-128</v>
      </c>
      <c r="AZ157" s="4">
        <v>193.03</v>
      </c>
      <c r="BA157" s="4">
        <v>4073.06</v>
      </c>
      <c r="BB157" s="4">
        <v>-1309.9100000000001</v>
      </c>
      <c r="BC157" s="4">
        <v>3880.03</v>
      </c>
      <c r="BD157" s="4">
        <v>0</v>
      </c>
    </row>
    <row r="158" spans="1:56" x14ac:dyDescent="0.2">
      <c r="A158" s="4" t="s">
        <v>558</v>
      </c>
      <c r="B158" s="4" t="s">
        <v>559</v>
      </c>
      <c r="C158" s="4" t="s">
        <v>560</v>
      </c>
      <c r="D158" s="4" t="s">
        <v>445</v>
      </c>
      <c r="E158" s="4" t="s">
        <v>561</v>
      </c>
      <c r="F158" s="4" t="s">
        <v>559</v>
      </c>
      <c r="G158" s="4" t="s">
        <v>562</v>
      </c>
      <c r="H158" s="4" t="s">
        <v>445</v>
      </c>
      <c r="I158" s="4" t="str">
        <f t="shared" si="26"/>
        <v>1010</v>
      </c>
      <c r="J158" s="4" t="s">
        <v>444</v>
      </c>
      <c r="K158" s="4" t="s">
        <v>443</v>
      </c>
      <c r="L158" s="4" t="s">
        <v>444</v>
      </c>
      <c r="M158" s="4" t="s">
        <v>445</v>
      </c>
      <c r="N158" s="4" t="s">
        <v>721</v>
      </c>
      <c r="O158" s="4" t="s">
        <v>491</v>
      </c>
      <c r="P158" s="4" t="s">
        <v>563</v>
      </c>
      <c r="Q158" s="4" t="str">
        <f>"8088217362"</f>
        <v>8088217362</v>
      </c>
      <c r="S158" s="4" t="str">
        <f>"00880882173623"</f>
        <v>00880882173623</v>
      </c>
      <c r="T158" s="24">
        <v>40739</v>
      </c>
      <c r="U158" s="24">
        <v>40739</v>
      </c>
      <c r="V158" s="24">
        <v>1</v>
      </c>
      <c r="W158" s="4" t="str">
        <f>"8088217362"</f>
        <v>8088217362</v>
      </c>
      <c r="X158" s="4" t="s">
        <v>563</v>
      </c>
      <c r="Y158" s="4" t="str">
        <f t="shared" si="29"/>
        <v>1010</v>
      </c>
      <c r="Z158" s="4" t="str">
        <f>"11"</f>
        <v>11</v>
      </c>
      <c r="AA158" s="4" t="s">
        <v>93</v>
      </c>
      <c r="AB158" s="4" t="s">
        <v>564</v>
      </c>
      <c r="AC158" s="4" t="s">
        <v>563</v>
      </c>
      <c r="AD158" s="4" t="s">
        <v>565</v>
      </c>
      <c r="AE158" s="4" t="s">
        <v>566</v>
      </c>
      <c r="AF158" s="4" t="s">
        <v>567</v>
      </c>
      <c r="AH158" s="4" t="s">
        <v>568</v>
      </c>
      <c r="AI158" s="4" t="s">
        <v>569</v>
      </c>
      <c r="AJ158" s="4" t="s">
        <v>570</v>
      </c>
      <c r="AK158" s="4" t="s">
        <v>577</v>
      </c>
      <c r="AL158" s="4" t="s">
        <v>578</v>
      </c>
      <c r="AN158" s="4" t="str">
        <f>"1"</f>
        <v>1</v>
      </c>
      <c r="AO158" s="4" t="s">
        <v>606</v>
      </c>
      <c r="AP158" s="4" t="s">
        <v>574</v>
      </c>
      <c r="AQ158" s="4" t="s">
        <v>575</v>
      </c>
      <c r="AR158" s="4" t="str">
        <f t="shared" si="30"/>
        <v>.7500</v>
      </c>
      <c r="AS158" s="4" t="str">
        <f>"9.07"</f>
        <v>9.07</v>
      </c>
      <c r="AT158" s="4" t="s">
        <v>607</v>
      </c>
      <c r="AU158" s="4" t="str">
        <f>"9.07"</f>
        <v>9.07</v>
      </c>
      <c r="AV158" s="4">
        <v>100</v>
      </c>
      <c r="AW158" s="4">
        <v>-22</v>
      </c>
      <c r="AX158" s="4">
        <v>-192.54</v>
      </c>
      <c r="AY158" s="4">
        <v>78</v>
      </c>
      <c r="AZ158" s="4">
        <v>31.3</v>
      </c>
      <c r="BA158" s="4">
        <v>907.1</v>
      </c>
      <c r="BB158" s="4">
        <v>683.26</v>
      </c>
      <c r="BC158" s="4">
        <v>875.8</v>
      </c>
      <c r="BD158" s="4">
        <v>0</v>
      </c>
    </row>
    <row r="159" spans="1:56" x14ac:dyDescent="0.2">
      <c r="A159" s="4" t="s">
        <v>558</v>
      </c>
      <c r="B159" s="4" t="s">
        <v>559</v>
      </c>
      <c r="C159" s="4" t="s">
        <v>560</v>
      </c>
      <c r="D159" s="4" t="s">
        <v>445</v>
      </c>
      <c r="E159" s="4" t="s">
        <v>561</v>
      </c>
      <c r="F159" s="4" t="s">
        <v>559</v>
      </c>
      <c r="G159" s="4" t="s">
        <v>562</v>
      </c>
      <c r="H159" s="4" t="s">
        <v>445</v>
      </c>
      <c r="I159" s="4" t="str">
        <f t="shared" si="26"/>
        <v>1010</v>
      </c>
      <c r="J159" s="4" t="s">
        <v>444</v>
      </c>
      <c r="K159" s="4" t="s">
        <v>443</v>
      </c>
      <c r="L159" s="4" t="s">
        <v>444</v>
      </c>
      <c r="M159" s="4" t="s">
        <v>445</v>
      </c>
      <c r="N159" s="4" t="s">
        <v>721</v>
      </c>
      <c r="O159" s="4" t="s">
        <v>723</v>
      </c>
      <c r="P159" s="4" t="s">
        <v>563</v>
      </c>
      <c r="Q159" s="4" t="str">
        <f>"8088216382"</f>
        <v>8088216382</v>
      </c>
      <c r="S159" s="4" t="str">
        <f>"00880882163822"</f>
        <v>00880882163822</v>
      </c>
      <c r="T159" s="24">
        <v>39745</v>
      </c>
      <c r="U159" s="24">
        <v>39745</v>
      </c>
      <c r="V159" s="24">
        <v>1</v>
      </c>
      <c r="W159" s="4" t="str">
        <f>"8088216382"</f>
        <v>8088216382</v>
      </c>
      <c r="X159" s="4" t="s">
        <v>563</v>
      </c>
      <c r="Y159" s="4" t="str">
        <f t="shared" si="29"/>
        <v>1010</v>
      </c>
      <c r="Z159" s="4" t="str">
        <f>"11"</f>
        <v>11</v>
      </c>
      <c r="AA159" s="4" t="s">
        <v>93</v>
      </c>
      <c r="AB159" s="4" t="s">
        <v>564</v>
      </c>
      <c r="AC159" s="4" t="s">
        <v>563</v>
      </c>
      <c r="AD159" s="4" t="s">
        <v>565</v>
      </c>
      <c r="AE159" s="4" t="s">
        <v>566</v>
      </c>
      <c r="AF159" s="4" t="s">
        <v>567</v>
      </c>
      <c r="AH159" s="4" t="s">
        <v>568</v>
      </c>
      <c r="AI159" s="4" t="s">
        <v>569</v>
      </c>
      <c r="AJ159" s="4" t="s">
        <v>570</v>
      </c>
      <c r="AK159" s="4" t="s">
        <v>577</v>
      </c>
      <c r="AL159" s="4" t="s">
        <v>578</v>
      </c>
      <c r="AN159" s="4" t="str">
        <f>"2"</f>
        <v>2</v>
      </c>
      <c r="AO159" s="4" t="s">
        <v>579</v>
      </c>
      <c r="AP159" s="4" t="s">
        <v>574</v>
      </c>
      <c r="AQ159" s="4" t="s">
        <v>580</v>
      </c>
      <c r="AR159" s="4" t="str">
        <f t="shared" si="30"/>
        <v>.7500</v>
      </c>
      <c r="AS159" s="4" t="str">
        <f>"7.50"</f>
        <v>7.50</v>
      </c>
      <c r="AT159" s="4" t="s">
        <v>581</v>
      </c>
      <c r="AU159" s="4" t="str">
        <f>"7.50"</f>
        <v>7.50</v>
      </c>
      <c r="AV159" s="4">
        <v>287</v>
      </c>
      <c r="AW159" s="4">
        <v>-2</v>
      </c>
      <c r="AX159" s="4">
        <v>-14.3</v>
      </c>
      <c r="AY159" s="4">
        <v>285</v>
      </c>
      <c r="AZ159" s="4">
        <v>0</v>
      </c>
      <c r="BA159" s="4">
        <v>2151.5</v>
      </c>
      <c r="BB159" s="4">
        <v>2137.1999999999998</v>
      </c>
      <c r="BC159" s="4">
        <v>2151.5</v>
      </c>
      <c r="BD159" s="4">
        <v>0</v>
      </c>
    </row>
    <row r="160" spans="1:56" x14ac:dyDescent="0.2">
      <c r="A160" s="4" t="s">
        <v>558</v>
      </c>
      <c r="B160" s="4" t="s">
        <v>559</v>
      </c>
      <c r="C160" s="4" t="s">
        <v>560</v>
      </c>
      <c r="D160" s="4" t="s">
        <v>445</v>
      </c>
      <c r="E160" s="4" t="s">
        <v>561</v>
      </c>
      <c r="F160" s="4" t="s">
        <v>559</v>
      </c>
      <c r="G160" s="4" t="s">
        <v>562</v>
      </c>
      <c r="H160" s="4" t="s">
        <v>445</v>
      </c>
      <c r="I160" s="4" t="str">
        <f t="shared" si="26"/>
        <v>1010</v>
      </c>
      <c r="J160" s="4" t="s">
        <v>444</v>
      </c>
      <c r="K160" s="4" t="s">
        <v>443</v>
      </c>
      <c r="L160" s="4" t="s">
        <v>444</v>
      </c>
      <c r="M160" s="4" t="s">
        <v>445</v>
      </c>
      <c r="N160" s="4" t="s">
        <v>721</v>
      </c>
      <c r="O160" s="4" t="s">
        <v>489</v>
      </c>
      <c r="P160" s="4" t="s">
        <v>563</v>
      </c>
      <c r="Q160" s="4" t="str">
        <f>"8088215572"</f>
        <v>8088215572</v>
      </c>
      <c r="S160" s="4" t="str">
        <f>"00880882155728"</f>
        <v>00880882155728</v>
      </c>
      <c r="T160" s="24">
        <v>38989</v>
      </c>
      <c r="U160" s="24">
        <v>38989</v>
      </c>
      <c r="V160" s="24">
        <v>1</v>
      </c>
      <c r="W160" s="4" t="str">
        <f>"8088215572"</f>
        <v>8088215572</v>
      </c>
      <c r="X160" s="4" t="s">
        <v>563</v>
      </c>
      <c r="Y160" s="4" t="str">
        <f t="shared" si="29"/>
        <v>1010</v>
      </c>
      <c r="Z160" s="4" t="str">
        <f>"11"</f>
        <v>11</v>
      </c>
      <c r="AA160" s="4" t="s">
        <v>93</v>
      </c>
      <c r="AB160" s="4" t="s">
        <v>564</v>
      </c>
      <c r="AC160" s="4" t="s">
        <v>563</v>
      </c>
      <c r="AD160" s="4" t="s">
        <v>565</v>
      </c>
      <c r="AE160" s="4" t="s">
        <v>566</v>
      </c>
      <c r="AF160" s="4" t="s">
        <v>567</v>
      </c>
      <c r="AH160" s="4" t="s">
        <v>568</v>
      </c>
      <c r="AI160" s="4" t="s">
        <v>569</v>
      </c>
      <c r="AJ160" s="4" t="s">
        <v>570</v>
      </c>
      <c r="AK160" s="4" t="s">
        <v>577</v>
      </c>
      <c r="AL160" s="4" t="s">
        <v>578</v>
      </c>
      <c r="AN160" s="4" t="str">
        <f>"2"</f>
        <v>2</v>
      </c>
      <c r="AO160" s="4" t="s">
        <v>606</v>
      </c>
      <c r="AP160" s="4" t="s">
        <v>574</v>
      </c>
      <c r="AQ160" s="4" t="s">
        <v>575</v>
      </c>
      <c r="AR160" s="4" t="str">
        <f t="shared" si="30"/>
        <v>.7500</v>
      </c>
      <c r="AS160" s="4" t="str">
        <f>"9.07"</f>
        <v>9.07</v>
      </c>
      <c r="AT160" s="4" t="s">
        <v>607</v>
      </c>
      <c r="AU160" s="4" t="str">
        <f>"9.07"</f>
        <v>9.07</v>
      </c>
      <c r="AV160" s="4">
        <v>86</v>
      </c>
      <c r="AW160" s="4">
        <v>-31</v>
      </c>
      <c r="AX160" s="4">
        <v>-178.12</v>
      </c>
      <c r="AY160" s="4">
        <v>55</v>
      </c>
      <c r="AZ160" s="4">
        <v>79.31</v>
      </c>
      <c r="BA160" s="4">
        <v>780.29</v>
      </c>
      <c r="BB160" s="4">
        <v>522.86</v>
      </c>
      <c r="BC160" s="4">
        <v>700.98</v>
      </c>
      <c r="BD160" s="4">
        <v>0</v>
      </c>
    </row>
    <row r="161" spans="1:56" x14ac:dyDescent="0.2">
      <c r="A161" s="4" t="s">
        <v>558</v>
      </c>
      <c r="B161" s="4" t="s">
        <v>559</v>
      </c>
      <c r="C161" s="4" t="s">
        <v>560</v>
      </c>
      <c r="D161" s="4" t="s">
        <v>445</v>
      </c>
      <c r="E161" s="4" t="s">
        <v>561</v>
      </c>
      <c r="F161" s="4" t="s">
        <v>559</v>
      </c>
      <c r="G161" s="4" t="s">
        <v>562</v>
      </c>
      <c r="H161" s="4" t="s">
        <v>445</v>
      </c>
      <c r="I161" s="4" t="str">
        <f t="shared" si="26"/>
        <v>1010</v>
      </c>
      <c r="J161" s="4" t="s">
        <v>444</v>
      </c>
      <c r="K161" s="4" t="s">
        <v>443</v>
      </c>
      <c r="L161" s="4" t="s">
        <v>444</v>
      </c>
      <c r="M161" s="4" t="s">
        <v>445</v>
      </c>
      <c r="N161" s="4" t="s">
        <v>721</v>
      </c>
      <c r="O161" s="4" t="s">
        <v>489</v>
      </c>
      <c r="P161" s="4" t="s">
        <v>563</v>
      </c>
      <c r="Q161" s="4" t="str">
        <f>"8088215572"</f>
        <v>8088215572</v>
      </c>
      <c r="S161" s="4" t="str">
        <f>"00880882155728"</f>
        <v>00880882155728</v>
      </c>
      <c r="T161" s="24">
        <v>38989</v>
      </c>
      <c r="U161" s="24">
        <v>38989</v>
      </c>
      <c r="V161" s="24">
        <v>1</v>
      </c>
      <c r="W161" s="4" t="str">
        <f>"8088215572"</f>
        <v>8088215572</v>
      </c>
      <c r="X161" s="4" t="s">
        <v>563</v>
      </c>
      <c r="Y161" s="4" t="str">
        <f t="shared" si="29"/>
        <v>1010</v>
      </c>
      <c r="Z161" s="4" t="str">
        <f>"53"</f>
        <v>53</v>
      </c>
      <c r="AA161" s="4" t="s">
        <v>93</v>
      </c>
      <c r="AB161" s="4" t="s">
        <v>564</v>
      </c>
      <c r="AC161" s="4" t="s">
        <v>563</v>
      </c>
      <c r="AD161" s="4" t="s">
        <v>565</v>
      </c>
      <c r="AE161" s="4" t="s">
        <v>566</v>
      </c>
      <c r="AF161" s="4" t="s">
        <v>568</v>
      </c>
      <c r="AH161" s="4" t="s">
        <v>568</v>
      </c>
      <c r="AI161" s="4" t="s">
        <v>569</v>
      </c>
      <c r="AJ161" s="4" t="s">
        <v>570</v>
      </c>
      <c r="AK161" s="4" t="s">
        <v>577</v>
      </c>
      <c r="AL161" s="4" t="s">
        <v>578</v>
      </c>
      <c r="AN161" s="4" t="str">
        <f>"2"</f>
        <v>2</v>
      </c>
      <c r="AO161" s="4" t="s">
        <v>606</v>
      </c>
      <c r="AP161" s="4" t="s">
        <v>574</v>
      </c>
      <c r="AQ161" s="4" t="s">
        <v>575</v>
      </c>
      <c r="AR161" s="4" t="str">
        <f t="shared" si="30"/>
        <v>.7500</v>
      </c>
      <c r="AS161" s="4" t="str">
        <f>"9.07"</f>
        <v>9.07</v>
      </c>
      <c r="AT161" s="4" t="s">
        <v>607</v>
      </c>
      <c r="AU161" s="4" t="str">
        <f>"9.07"</f>
        <v>9.07</v>
      </c>
      <c r="AV161" s="4">
        <v>10</v>
      </c>
      <c r="AW161" s="4">
        <v>0</v>
      </c>
      <c r="AX161" s="4">
        <v>0</v>
      </c>
      <c r="AY161" s="4">
        <v>10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</row>
    <row r="162" spans="1:56" x14ac:dyDescent="0.2">
      <c r="A162" s="4" t="s">
        <v>558</v>
      </c>
      <c r="B162" s="4" t="s">
        <v>559</v>
      </c>
      <c r="C162" s="4" t="s">
        <v>560</v>
      </c>
      <c r="D162" s="4" t="s">
        <v>445</v>
      </c>
      <c r="E162" s="4" t="s">
        <v>561</v>
      </c>
      <c r="F162" s="4" t="s">
        <v>559</v>
      </c>
      <c r="G162" s="4" t="s">
        <v>562</v>
      </c>
      <c r="H162" s="4" t="s">
        <v>445</v>
      </c>
      <c r="I162" s="4" t="str">
        <f t="shared" si="26"/>
        <v>1010</v>
      </c>
      <c r="J162" s="4" t="s">
        <v>444</v>
      </c>
      <c r="K162" s="4" t="s">
        <v>443</v>
      </c>
      <c r="L162" s="4" t="s">
        <v>444</v>
      </c>
      <c r="M162" s="4" t="s">
        <v>445</v>
      </c>
      <c r="N162" s="4" t="s">
        <v>724</v>
      </c>
      <c r="O162" s="4" t="s">
        <v>460</v>
      </c>
      <c r="P162" s="4" t="s">
        <v>563</v>
      </c>
      <c r="Q162" s="4" t="str">
        <f>"8088217631"</f>
        <v>8088217631</v>
      </c>
      <c r="S162" s="4" t="str">
        <f>"00880882176310"</f>
        <v>00880882176310</v>
      </c>
      <c r="T162" s="24">
        <v>40851</v>
      </c>
      <c r="U162" s="24">
        <v>40851</v>
      </c>
      <c r="V162" s="24">
        <v>1</v>
      </c>
      <c r="W162" s="4" t="str">
        <f>"8088217631"</f>
        <v>8088217631</v>
      </c>
      <c r="X162" s="4" t="s">
        <v>563</v>
      </c>
      <c r="Y162" s="4" t="str">
        <f t="shared" si="29"/>
        <v>1010</v>
      </c>
      <c r="Z162" s="4" t="str">
        <f t="shared" ref="Z162:Z169" si="31">"11"</f>
        <v>11</v>
      </c>
      <c r="AA162" s="4" t="s">
        <v>93</v>
      </c>
      <c r="AB162" s="4" t="s">
        <v>564</v>
      </c>
      <c r="AC162" s="4" t="s">
        <v>563</v>
      </c>
      <c r="AD162" s="4" t="s">
        <v>565</v>
      </c>
      <c r="AE162" s="4" t="s">
        <v>566</v>
      </c>
      <c r="AF162" s="4" t="s">
        <v>567</v>
      </c>
      <c r="AH162" s="4" t="s">
        <v>568</v>
      </c>
      <c r="AI162" s="4" t="s">
        <v>569</v>
      </c>
      <c r="AJ162" s="4" t="s">
        <v>570</v>
      </c>
      <c r="AK162" s="4" t="s">
        <v>571</v>
      </c>
      <c r="AL162" s="4" t="s">
        <v>572</v>
      </c>
      <c r="AN162" s="4" t="str">
        <f t="shared" ref="AN162:AN185" si="32">"1"</f>
        <v>1</v>
      </c>
      <c r="AO162" s="4" t="s">
        <v>573</v>
      </c>
      <c r="AP162" s="4" t="s">
        <v>574</v>
      </c>
      <c r="AQ162" s="4" t="s">
        <v>575</v>
      </c>
      <c r="AR162" s="4" t="str">
        <f>"1.8000"</f>
        <v>1.8000</v>
      </c>
      <c r="AS162" s="4" t="str">
        <f>"10.40"</f>
        <v>10.40</v>
      </c>
      <c r="AT162" s="4" t="s">
        <v>576</v>
      </c>
      <c r="AU162" s="4" t="str">
        <f>"10.40"</f>
        <v>10.40</v>
      </c>
      <c r="AV162" s="4">
        <v>11</v>
      </c>
      <c r="AW162" s="4">
        <v>0</v>
      </c>
      <c r="AX162" s="4">
        <v>0</v>
      </c>
      <c r="AY162" s="4">
        <v>11</v>
      </c>
      <c r="AZ162" s="4">
        <v>0</v>
      </c>
      <c r="BA162" s="4">
        <v>109.72</v>
      </c>
      <c r="BB162" s="4">
        <v>109.72</v>
      </c>
      <c r="BC162" s="4">
        <v>109.72</v>
      </c>
      <c r="BD162" s="4">
        <v>0</v>
      </c>
    </row>
    <row r="163" spans="1:56" x14ac:dyDescent="0.2">
      <c r="A163" s="4" t="s">
        <v>558</v>
      </c>
      <c r="B163" s="4" t="s">
        <v>559</v>
      </c>
      <c r="C163" s="4" t="s">
        <v>560</v>
      </c>
      <c r="D163" s="4" t="s">
        <v>445</v>
      </c>
      <c r="E163" s="4" t="s">
        <v>561</v>
      </c>
      <c r="F163" s="4" t="s">
        <v>559</v>
      </c>
      <c r="G163" s="4" t="s">
        <v>562</v>
      </c>
      <c r="H163" s="4" t="s">
        <v>445</v>
      </c>
      <c r="I163" s="4" t="str">
        <f t="shared" si="26"/>
        <v>1010</v>
      </c>
      <c r="J163" s="4" t="s">
        <v>444</v>
      </c>
      <c r="K163" s="4" t="s">
        <v>443</v>
      </c>
      <c r="L163" s="4" t="s">
        <v>444</v>
      </c>
      <c r="M163" s="4" t="s">
        <v>445</v>
      </c>
      <c r="N163" s="4" t="s">
        <v>724</v>
      </c>
      <c r="O163" s="4" t="s">
        <v>460</v>
      </c>
      <c r="P163" s="4" t="s">
        <v>563</v>
      </c>
      <c r="Q163" s="4" t="str">
        <f>"8088217632"</f>
        <v>8088217632</v>
      </c>
      <c r="S163" s="4" t="str">
        <f>"00880882176327"</f>
        <v>00880882176327</v>
      </c>
      <c r="T163" s="24">
        <v>40851</v>
      </c>
      <c r="U163" s="24">
        <v>40851</v>
      </c>
      <c r="V163" s="24">
        <v>1</v>
      </c>
      <c r="W163" s="4" t="str">
        <f>"8088217632"</f>
        <v>8088217632</v>
      </c>
      <c r="X163" s="4" t="s">
        <v>563</v>
      </c>
      <c r="Y163" s="4" t="str">
        <f t="shared" si="29"/>
        <v>1010</v>
      </c>
      <c r="Z163" s="4" t="str">
        <f t="shared" si="31"/>
        <v>11</v>
      </c>
      <c r="AA163" s="4" t="s">
        <v>93</v>
      </c>
      <c r="AB163" s="4" t="s">
        <v>564</v>
      </c>
      <c r="AC163" s="4" t="s">
        <v>563</v>
      </c>
      <c r="AD163" s="4" t="s">
        <v>565</v>
      </c>
      <c r="AE163" s="4" t="s">
        <v>566</v>
      </c>
      <c r="AF163" s="4" t="s">
        <v>567</v>
      </c>
      <c r="AH163" s="4" t="s">
        <v>568</v>
      </c>
      <c r="AI163" s="4" t="s">
        <v>569</v>
      </c>
      <c r="AJ163" s="4" t="s">
        <v>570</v>
      </c>
      <c r="AK163" s="4" t="s">
        <v>577</v>
      </c>
      <c r="AL163" s="4" t="s">
        <v>578</v>
      </c>
      <c r="AN163" s="4" t="str">
        <f t="shared" si="32"/>
        <v>1</v>
      </c>
      <c r="AO163" s="4" t="s">
        <v>579</v>
      </c>
      <c r="AP163" s="4" t="s">
        <v>574</v>
      </c>
      <c r="AQ163" s="4" t="s">
        <v>580</v>
      </c>
      <c r="AR163" s="4" t="str">
        <f>".7500"</f>
        <v>.7500</v>
      </c>
      <c r="AS163" s="4" t="str">
        <f>"7.50"</f>
        <v>7.50</v>
      </c>
      <c r="AT163" s="4" t="s">
        <v>581</v>
      </c>
      <c r="AU163" s="4" t="str">
        <f>"7.50"</f>
        <v>7.50</v>
      </c>
      <c r="AV163" s="4">
        <v>28</v>
      </c>
      <c r="AW163" s="4">
        <v>-8</v>
      </c>
      <c r="AX163" s="4">
        <v>-57.2</v>
      </c>
      <c r="AY163" s="4">
        <v>20</v>
      </c>
      <c r="AZ163" s="4">
        <v>16.39</v>
      </c>
      <c r="BA163" s="4">
        <v>210.05</v>
      </c>
      <c r="BB163" s="4">
        <v>136.46</v>
      </c>
      <c r="BC163" s="4">
        <v>193.66</v>
      </c>
      <c r="BD163" s="4">
        <v>0</v>
      </c>
    </row>
    <row r="164" spans="1:56" x14ac:dyDescent="0.2">
      <c r="A164" s="4" t="s">
        <v>558</v>
      </c>
      <c r="B164" s="4" t="s">
        <v>559</v>
      </c>
      <c r="C164" s="4" t="s">
        <v>560</v>
      </c>
      <c r="D164" s="4" t="s">
        <v>445</v>
      </c>
      <c r="E164" s="4" t="s">
        <v>561</v>
      </c>
      <c r="F164" s="4" t="s">
        <v>559</v>
      </c>
      <c r="G164" s="4" t="s">
        <v>562</v>
      </c>
      <c r="H164" s="4" t="s">
        <v>445</v>
      </c>
      <c r="I164" s="4" t="str">
        <f t="shared" si="26"/>
        <v>1010</v>
      </c>
      <c r="J164" s="4" t="s">
        <v>444</v>
      </c>
      <c r="K164" s="4" t="s">
        <v>443</v>
      </c>
      <c r="L164" s="4" t="s">
        <v>444</v>
      </c>
      <c r="M164" s="4" t="s">
        <v>445</v>
      </c>
      <c r="N164" s="4" t="s">
        <v>724</v>
      </c>
      <c r="O164" s="4" t="s">
        <v>467</v>
      </c>
      <c r="P164" s="4" t="s">
        <v>563</v>
      </c>
      <c r="Q164" s="4" t="str">
        <f>"8088218361"</f>
        <v>8088218361</v>
      </c>
      <c r="S164" s="4" t="str">
        <f>"00880882183615"</f>
        <v>00880882183615</v>
      </c>
      <c r="T164" s="24">
        <v>41334</v>
      </c>
      <c r="U164" s="24">
        <v>41334</v>
      </c>
      <c r="V164" s="24">
        <v>1</v>
      </c>
      <c r="W164" s="4" t="str">
        <f>"8088218361"</f>
        <v>8088218361</v>
      </c>
      <c r="X164" s="4" t="s">
        <v>563</v>
      </c>
      <c r="Y164" s="4" t="str">
        <f t="shared" si="29"/>
        <v>1010</v>
      </c>
      <c r="Z164" s="4" t="str">
        <f t="shared" si="31"/>
        <v>11</v>
      </c>
      <c r="AA164" s="4" t="s">
        <v>93</v>
      </c>
      <c r="AB164" s="4" t="s">
        <v>564</v>
      </c>
      <c r="AC164" s="4" t="s">
        <v>563</v>
      </c>
      <c r="AD164" s="4" t="s">
        <v>565</v>
      </c>
      <c r="AE164" s="4" t="s">
        <v>566</v>
      </c>
      <c r="AF164" s="4" t="s">
        <v>567</v>
      </c>
      <c r="AH164" s="4" t="s">
        <v>568</v>
      </c>
      <c r="AI164" s="4" t="s">
        <v>569</v>
      </c>
      <c r="AJ164" s="4" t="s">
        <v>570</v>
      </c>
      <c r="AK164" s="4" t="s">
        <v>571</v>
      </c>
      <c r="AL164" s="4" t="s">
        <v>572</v>
      </c>
      <c r="AN164" s="4" t="str">
        <f t="shared" si="32"/>
        <v>1</v>
      </c>
      <c r="AO164" s="4" t="s">
        <v>573</v>
      </c>
      <c r="AP164" s="4" t="s">
        <v>584</v>
      </c>
      <c r="AQ164" s="4" t="s">
        <v>575</v>
      </c>
      <c r="AR164" s="4" t="str">
        <f>"1.8000"</f>
        <v>1.8000</v>
      </c>
      <c r="AS164" s="4" t="str">
        <f>"10.40"</f>
        <v>10.40</v>
      </c>
      <c r="AT164" s="4" t="s">
        <v>576</v>
      </c>
      <c r="AU164" s="4" t="str">
        <f>"10.40"</f>
        <v>10.40</v>
      </c>
      <c r="AV164" s="4">
        <v>21</v>
      </c>
      <c r="AW164" s="4">
        <v>0</v>
      </c>
      <c r="AX164" s="4">
        <v>0</v>
      </c>
      <c r="AY164" s="4">
        <v>21</v>
      </c>
      <c r="AZ164" s="4">
        <v>0</v>
      </c>
      <c r="BA164" s="4">
        <v>210.6</v>
      </c>
      <c r="BB164" s="4">
        <v>210.6</v>
      </c>
      <c r="BC164" s="4">
        <v>210.6</v>
      </c>
      <c r="BD164" s="4">
        <v>0</v>
      </c>
    </row>
    <row r="165" spans="1:56" x14ac:dyDescent="0.2">
      <c r="A165" s="4" t="s">
        <v>558</v>
      </c>
      <c r="B165" s="4" t="s">
        <v>559</v>
      </c>
      <c r="C165" s="4" t="s">
        <v>560</v>
      </c>
      <c r="D165" s="4" t="s">
        <v>445</v>
      </c>
      <c r="E165" s="4" t="s">
        <v>561</v>
      </c>
      <c r="F165" s="4" t="s">
        <v>559</v>
      </c>
      <c r="G165" s="4" t="s">
        <v>562</v>
      </c>
      <c r="H165" s="4" t="s">
        <v>445</v>
      </c>
      <c r="I165" s="4" t="str">
        <f t="shared" si="26"/>
        <v>1010</v>
      </c>
      <c r="J165" s="4" t="s">
        <v>444</v>
      </c>
      <c r="K165" s="4" t="s">
        <v>443</v>
      </c>
      <c r="L165" s="4" t="s">
        <v>444</v>
      </c>
      <c r="M165" s="4" t="s">
        <v>445</v>
      </c>
      <c r="N165" s="4" t="s">
        <v>724</v>
      </c>
      <c r="O165" s="4" t="s">
        <v>467</v>
      </c>
      <c r="P165" s="4" t="s">
        <v>563</v>
      </c>
      <c r="Q165" s="4" t="str">
        <f>"8088218362"</f>
        <v>8088218362</v>
      </c>
      <c r="S165" s="4" t="str">
        <f>"00880882183622"</f>
        <v>00880882183622</v>
      </c>
      <c r="T165" s="24">
        <v>41334</v>
      </c>
      <c r="U165" s="24">
        <v>41334</v>
      </c>
      <c r="V165" s="24">
        <v>1</v>
      </c>
      <c r="W165" s="4" t="str">
        <f>"8088218362"</f>
        <v>8088218362</v>
      </c>
      <c r="X165" s="4" t="s">
        <v>563</v>
      </c>
      <c r="Y165" s="4" t="str">
        <f t="shared" si="29"/>
        <v>1010</v>
      </c>
      <c r="Z165" s="4" t="str">
        <f t="shared" si="31"/>
        <v>11</v>
      </c>
      <c r="AA165" s="4" t="s">
        <v>93</v>
      </c>
      <c r="AB165" s="4" t="s">
        <v>564</v>
      </c>
      <c r="AC165" s="4" t="s">
        <v>563</v>
      </c>
      <c r="AD165" s="4" t="s">
        <v>565</v>
      </c>
      <c r="AE165" s="4" t="s">
        <v>566</v>
      </c>
      <c r="AF165" s="4" t="s">
        <v>567</v>
      </c>
      <c r="AH165" s="4" t="s">
        <v>568</v>
      </c>
      <c r="AI165" s="4" t="s">
        <v>569</v>
      </c>
      <c r="AJ165" s="4" t="s">
        <v>570</v>
      </c>
      <c r="AK165" s="4" t="s">
        <v>577</v>
      </c>
      <c r="AL165" s="4" t="s">
        <v>578</v>
      </c>
      <c r="AN165" s="4" t="str">
        <f t="shared" si="32"/>
        <v>1</v>
      </c>
      <c r="AO165" s="4" t="s">
        <v>579</v>
      </c>
      <c r="AP165" s="4" t="s">
        <v>584</v>
      </c>
      <c r="AQ165" s="4" t="s">
        <v>580</v>
      </c>
      <c r="AR165" s="4" t="str">
        <f>".7500"</f>
        <v>.7500</v>
      </c>
      <c r="AS165" s="4" t="str">
        <f>"7.50"</f>
        <v>7.50</v>
      </c>
      <c r="AT165" s="4" t="s">
        <v>581</v>
      </c>
      <c r="AU165" s="4" t="str">
        <f>"7.50"</f>
        <v>7.50</v>
      </c>
      <c r="AV165" s="4">
        <v>61</v>
      </c>
      <c r="AW165" s="4">
        <v>-68</v>
      </c>
      <c r="AX165" s="4">
        <v>-486.2</v>
      </c>
      <c r="AY165" s="4">
        <v>-7</v>
      </c>
      <c r="AZ165" s="4">
        <v>41.4</v>
      </c>
      <c r="BA165" s="4">
        <v>451.62</v>
      </c>
      <c r="BB165" s="4">
        <v>-75.98</v>
      </c>
      <c r="BC165" s="4">
        <v>410.22</v>
      </c>
      <c r="BD165" s="4">
        <v>0</v>
      </c>
    </row>
    <row r="166" spans="1:56" x14ac:dyDescent="0.2">
      <c r="A166" s="4" t="s">
        <v>558</v>
      </c>
      <c r="B166" s="4" t="s">
        <v>559</v>
      </c>
      <c r="C166" s="4" t="s">
        <v>560</v>
      </c>
      <c r="D166" s="4" t="s">
        <v>445</v>
      </c>
      <c r="E166" s="4" t="s">
        <v>561</v>
      </c>
      <c r="F166" s="4" t="s">
        <v>559</v>
      </c>
      <c r="G166" s="4" t="s">
        <v>562</v>
      </c>
      <c r="H166" s="4" t="s">
        <v>445</v>
      </c>
      <c r="I166" s="4" t="str">
        <f t="shared" si="26"/>
        <v>1010</v>
      </c>
      <c r="J166" s="4" t="s">
        <v>444</v>
      </c>
      <c r="K166" s="4" t="s">
        <v>443</v>
      </c>
      <c r="L166" s="4" t="s">
        <v>444</v>
      </c>
      <c r="M166" s="4" t="s">
        <v>445</v>
      </c>
      <c r="N166" s="4" t="s">
        <v>501</v>
      </c>
      <c r="O166" s="4" t="s">
        <v>725</v>
      </c>
      <c r="P166" s="4" t="s">
        <v>563</v>
      </c>
      <c r="Q166" s="4" t="str">
        <f>"8088217811"</f>
        <v>8088217811</v>
      </c>
      <c r="S166" s="4" t="str">
        <f>"00880882178116"</f>
        <v>00880882178116</v>
      </c>
      <c r="T166" s="24">
        <v>40935</v>
      </c>
      <c r="U166" s="24">
        <v>40935</v>
      </c>
      <c r="V166" s="24">
        <v>1</v>
      </c>
      <c r="W166" s="4" t="str">
        <f>"8088217811"</f>
        <v>8088217811</v>
      </c>
      <c r="X166" s="4" t="s">
        <v>563</v>
      </c>
      <c r="Y166" s="4" t="str">
        <f t="shared" si="29"/>
        <v>1010</v>
      </c>
      <c r="Z166" s="4" t="str">
        <f t="shared" si="31"/>
        <v>11</v>
      </c>
      <c r="AA166" s="4" t="s">
        <v>93</v>
      </c>
      <c r="AB166" s="4" t="s">
        <v>564</v>
      </c>
      <c r="AC166" s="4" t="s">
        <v>563</v>
      </c>
      <c r="AD166" s="4" t="s">
        <v>565</v>
      </c>
      <c r="AE166" s="4" t="s">
        <v>566</v>
      </c>
      <c r="AF166" s="4" t="s">
        <v>567</v>
      </c>
      <c r="AH166" s="4" t="s">
        <v>568</v>
      </c>
      <c r="AI166" s="4" t="s">
        <v>569</v>
      </c>
      <c r="AJ166" s="4" t="s">
        <v>570</v>
      </c>
      <c r="AK166" s="4" t="s">
        <v>571</v>
      </c>
      <c r="AL166" s="4" t="s">
        <v>572</v>
      </c>
      <c r="AN166" s="4" t="str">
        <f t="shared" si="32"/>
        <v>1</v>
      </c>
      <c r="AO166" s="4" t="s">
        <v>583</v>
      </c>
      <c r="AP166" s="4" t="s">
        <v>574</v>
      </c>
      <c r="AQ166" s="4" t="s">
        <v>575</v>
      </c>
      <c r="AR166" s="4" t="str">
        <f>"1.8000"</f>
        <v>1.8000</v>
      </c>
      <c r="AS166" s="4" t="str">
        <f>"11.59"</f>
        <v>11.59</v>
      </c>
      <c r="AT166" s="4" t="s">
        <v>585</v>
      </c>
      <c r="AU166" s="4" t="str">
        <f>"11.59"</f>
        <v>11.59</v>
      </c>
      <c r="AV166" s="4">
        <v>33</v>
      </c>
      <c r="AW166" s="4">
        <v>0</v>
      </c>
      <c r="AX166" s="4">
        <v>0</v>
      </c>
      <c r="AY166" s="4">
        <v>33</v>
      </c>
      <c r="AZ166" s="4">
        <v>0</v>
      </c>
      <c r="BA166" s="4">
        <v>382.47</v>
      </c>
      <c r="BB166" s="4">
        <v>382.47</v>
      </c>
      <c r="BC166" s="4">
        <v>382.47</v>
      </c>
      <c r="BD166" s="4">
        <v>0</v>
      </c>
    </row>
    <row r="167" spans="1:56" x14ac:dyDescent="0.2">
      <c r="A167" s="4" t="s">
        <v>558</v>
      </c>
      <c r="B167" s="4" t="s">
        <v>559</v>
      </c>
      <c r="C167" s="4" t="s">
        <v>560</v>
      </c>
      <c r="D167" s="4" t="s">
        <v>445</v>
      </c>
      <c r="E167" s="4" t="s">
        <v>561</v>
      </c>
      <c r="F167" s="4" t="s">
        <v>559</v>
      </c>
      <c r="G167" s="4" t="s">
        <v>562</v>
      </c>
      <c r="H167" s="4" t="s">
        <v>445</v>
      </c>
      <c r="I167" s="4" t="str">
        <f t="shared" si="26"/>
        <v>1010</v>
      </c>
      <c r="J167" s="4" t="s">
        <v>444</v>
      </c>
      <c r="K167" s="4" t="s">
        <v>443</v>
      </c>
      <c r="L167" s="4" t="s">
        <v>444</v>
      </c>
      <c r="M167" s="4" t="s">
        <v>445</v>
      </c>
      <c r="N167" s="4" t="s">
        <v>501</v>
      </c>
      <c r="O167" s="4" t="s">
        <v>725</v>
      </c>
      <c r="P167" s="4" t="s">
        <v>563</v>
      </c>
      <c r="Q167" s="4" t="str">
        <f>"8088217812"</f>
        <v>8088217812</v>
      </c>
      <c r="S167" s="4" t="str">
        <f>"00880882178123"</f>
        <v>00880882178123</v>
      </c>
      <c r="T167" s="24">
        <v>40935</v>
      </c>
      <c r="U167" s="24">
        <v>40935</v>
      </c>
      <c r="V167" s="24">
        <v>1</v>
      </c>
      <c r="W167" s="4" t="str">
        <f>"8088217812"</f>
        <v>8088217812</v>
      </c>
      <c r="X167" s="4" t="s">
        <v>563</v>
      </c>
      <c r="Y167" s="4" t="str">
        <f t="shared" si="29"/>
        <v>1010</v>
      </c>
      <c r="Z167" s="4" t="str">
        <f t="shared" si="31"/>
        <v>11</v>
      </c>
      <c r="AA167" s="4" t="s">
        <v>93</v>
      </c>
      <c r="AB167" s="4" t="s">
        <v>564</v>
      </c>
      <c r="AC167" s="4" t="s">
        <v>563</v>
      </c>
      <c r="AD167" s="4" t="s">
        <v>565</v>
      </c>
      <c r="AE167" s="4" t="s">
        <v>566</v>
      </c>
      <c r="AF167" s="4" t="s">
        <v>567</v>
      </c>
      <c r="AH167" s="4" t="s">
        <v>568</v>
      </c>
      <c r="AI167" s="4" t="s">
        <v>569</v>
      </c>
      <c r="AJ167" s="4" t="s">
        <v>570</v>
      </c>
      <c r="AK167" s="4" t="s">
        <v>577</v>
      </c>
      <c r="AL167" s="4" t="s">
        <v>578</v>
      </c>
      <c r="AN167" s="4" t="str">
        <f t="shared" si="32"/>
        <v>1</v>
      </c>
      <c r="AO167" s="4" t="s">
        <v>579</v>
      </c>
      <c r="AP167" s="4" t="s">
        <v>574</v>
      </c>
      <c r="AQ167" s="4" t="s">
        <v>580</v>
      </c>
      <c r="AR167" s="4" t="str">
        <f>".7500"</f>
        <v>.7500</v>
      </c>
      <c r="AS167" s="4" t="str">
        <f>"7.50"</f>
        <v>7.50</v>
      </c>
      <c r="AT167" s="4" t="s">
        <v>581</v>
      </c>
      <c r="AU167" s="4" t="str">
        <f>"7.50"</f>
        <v>7.50</v>
      </c>
      <c r="AV167" s="4">
        <v>151</v>
      </c>
      <c r="AW167" s="4">
        <v>-32</v>
      </c>
      <c r="AX167" s="4">
        <v>-230.9</v>
      </c>
      <c r="AY167" s="4">
        <v>119</v>
      </c>
      <c r="AZ167" s="4">
        <v>34.51</v>
      </c>
      <c r="BA167" s="4">
        <v>1132.6099999999999</v>
      </c>
      <c r="BB167" s="4">
        <v>867.2</v>
      </c>
      <c r="BC167" s="4">
        <v>1098.0999999999999</v>
      </c>
      <c r="BD167" s="4">
        <v>0</v>
      </c>
    </row>
    <row r="168" spans="1:56" x14ac:dyDescent="0.2">
      <c r="A168" s="4" t="s">
        <v>558</v>
      </c>
      <c r="B168" s="4" t="s">
        <v>559</v>
      </c>
      <c r="C168" s="4" t="s">
        <v>560</v>
      </c>
      <c r="D168" s="4" t="s">
        <v>445</v>
      </c>
      <c r="E168" s="4" t="s">
        <v>561</v>
      </c>
      <c r="F168" s="4" t="s">
        <v>559</v>
      </c>
      <c r="G168" s="4" t="s">
        <v>562</v>
      </c>
      <c r="H168" s="4" t="s">
        <v>445</v>
      </c>
      <c r="I168" s="4" t="str">
        <f t="shared" si="26"/>
        <v>1010</v>
      </c>
      <c r="J168" s="4" t="s">
        <v>444</v>
      </c>
      <c r="K168" s="4" t="s">
        <v>443</v>
      </c>
      <c r="L168" s="4" t="s">
        <v>444</v>
      </c>
      <c r="M168" s="4" t="s">
        <v>445</v>
      </c>
      <c r="N168" s="4" t="s">
        <v>492</v>
      </c>
      <c r="O168" s="4" t="s">
        <v>493</v>
      </c>
      <c r="P168" s="4" t="s">
        <v>563</v>
      </c>
      <c r="Q168" s="4" t="str">
        <f>"8088218161"</f>
        <v>8088218161</v>
      </c>
      <c r="S168" s="4" t="str">
        <f>"00880882181611"</f>
        <v>00880882181611</v>
      </c>
      <c r="T168" s="24">
        <v>41152</v>
      </c>
      <c r="U168" s="24">
        <v>41152</v>
      </c>
      <c r="V168" s="24">
        <v>1</v>
      </c>
      <c r="W168" s="4" t="str">
        <f>"8088218161"</f>
        <v>8088218161</v>
      </c>
      <c r="X168" s="4" t="s">
        <v>563</v>
      </c>
      <c r="Y168" s="4" t="str">
        <f t="shared" si="29"/>
        <v>1010</v>
      </c>
      <c r="Z168" s="4" t="str">
        <f t="shared" si="31"/>
        <v>11</v>
      </c>
      <c r="AA168" s="4" t="s">
        <v>93</v>
      </c>
      <c r="AB168" s="4" t="s">
        <v>564</v>
      </c>
      <c r="AC168" s="4" t="s">
        <v>563</v>
      </c>
      <c r="AD168" s="4" t="s">
        <v>565</v>
      </c>
      <c r="AE168" s="4" t="s">
        <v>566</v>
      </c>
      <c r="AF168" s="4" t="s">
        <v>567</v>
      </c>
      <c r="AH168" s="4" t="s">
        <v>568</v>
      </c>
      <c r="AI168" s="4" t="s">
        <v>569</v>
      </c>
      <c r="AJ168" s="4" t="s">
        <v>570</v>
      </c>
      <c r="AK168" s="4" t="s">
        <v>571</v>
      </c>
      <c r="AL168" s="4" t="s">
        <v>572</v>
      </c>
      <c r="AN168" s="4" t="str">
        <f t="shared" si="32"/>
        <v>1</v>
      </c>
      <c r="AO168" s="4" t="s">
        <v>583</v>
      </c>
      <c r="AP168" s="4" t="s">
        <v>584</v>
      </c>
      <c r="AQ168" s="4" t="s">
        <v>575</v>
      </c>
      <c r="AR168" s="4" t="str">
        <f>"1.8000"</f>
        <v>1.8000</v>
      </c>
      <c r="AS168" s="4" t="str">
        <f>"11.59"</f>
        <v>11.59</v>
      </c>
      <c r="AT168" s="4" t="s">
        <v>585</v>
      </c>
      <c r="AU168" s="4" t="str">
        <f>"11.59"</f>
        <v>11.59</v>
      </c>
      <c r="AV168" s="4">
        <v>27</v>
      </c>
      <c r="AW168" s="4">
        <v>0</v>
      </c>
      <c r="AX168" s="4">
        <v>0</v>
      </c>
      <c r="AY168" s="4">
        <v>27</v>
      </c>
      <c r="AZ168" s="4">
        <v>0</v>
      </c>
      <c r="BA168" s="4">
        <v>312.93</v>
      </c>
      <c r="BB168" s="4">
        <v>312.93</v>
      </c>
      <c r="BC168" s="4">
        <v>312.93</v>
      </c>
      <c r="BD168" s="4">
        <v>0</v>
      </c>
    </row>
    <row r="169" spans="1:56" x14ac:dyDescent="0.2">
      <c r="A169" s="4" t="s">
        <v>558</v>
      </c>
      <c r="B169" s="4" t="s">
        <v>559</v>
      </c>
      <c r="C169" s="4" t="s">
        <v>560</v>
      </c>
      <c r="D169" s="4" t="s">
        <v>445</v>
      </c>
      <c r="E169" s="4" t="s">
        <v>561</v>
      </c>
      <c r="F169" s="4" t="s">
        <v>559</v>
      </c>
      <c r="G169" s="4" t="s">
        <v>562</v>
      </c>
      <c r="H169" s="4" t="s">
        <v>445</v>
      </c>
      <c r="I169" s="4" t="str">
        <f t="shared" si="26"/>
        <v>1010</v>
      </c>
      <c r="J169" s="4" t="s">
        <v>444</v>
      </c>
      <c r="K169" s="4" t="s">
        <v>443</v>
      </c>
      <c r="L169" s="4" t="s">
        <v>444</v>
      </c>
      <c r="M169" s="4" t="s">
        <v>445</v>
      </c>
      <c r="N169" s="4" t="s">
        <v>492</v>
      </c>
      <c r="O169" s="4" t="s">
        <v>493</v>
      </c>
      <c r="P169" s="4" t="s">
        <v>563</v>
      </c>
      <c r="Q169" s="4" t="str">
        <f>"8088218162"</f>
        <v>8088218162</v>
      </c>
      <c r="S169" s="4" t="str">
        <f>"00880882181628"</f>
        <v>00880882181628</v>
      </c>
      <c r="T169" s="24">
        <v>41152</v>
      </c>
      <c r="U169" s="24">
        <v>41152</v>
      </c>
      <c r="V169" s="24">
        <v>1</v>
      </c>
      <c r="W169" s="4" t="str">
        <f>"8088218162"</f>
        <v>8088218162</v>
      </c>
      <c r="X169" s="4" t="s">
        <v>563</v>
      </c>
      <c r="Y169" s="4" t="str">
        <f t="shared" si="29"/>
        <v>1010</v>
      </c>
      <c r="Z169" s="4" t="str">
        <f t="shared" si="31"/>
        <v>11</v>
      </c>
      <c r="AA169" s="4" t="s">
        <v>93</v>
      </c>
      <c r="AB169" s="4" t="s">
        <v>564</v>
      </c>
      <c r="AC169" s="4" t="s">
        <v>563</v>
      </c>
      <c r="AD169" s="4" t="s">
        <v>565</v>
      </c>
      <c r="AE169" s="4" t="s">
        <v>566</v>
      </c>
      <c r="AF169" s="4" t="s">
        <v>567</v>
      </c>
      <c r="AH169" s="4" t="s">
        <v>568</v>
      </c>
      <c r="AI169" s="4" t="s">
        <v>569</v>
      </c>
      <c r="AJ169" s="4" t="s">
        <v>570</v>
      </c>
      <c r="AK169" s="4" t="s">
        <v>577</v>
      </c>
      <c r="AL169" s="4" t="s">
        <v>578</v>
      </c>
      <c r="AN169" s="4" t="str">
        <f t="shared" si="32"/>
        <v>1</v>
      </c>
      <c r="AO169" s="4" t="s">
        <v>579</v>
      </c>
      <c r="AP169" s="4" t="s">
        <v>584</v>
      </c>
      <c r="AQ169" s="4" t="s">
        <v>580</v>
      </c>
      <c r="AR169" s="4" t="str">
        <f>".7500"</f>
        <v>.7500</v>
      </c>
      <c r="AS169" s="4" t="str">
        <f>"7.50"</f>
        <v>7.50</v>
      </c>
      <c r="AT169" s="4" t="s">
        <v>581</v>
      </c>
      <c r="AU169" s="4" t="str">
        <f>"7.50"</f>
        <v>7.50</v>
      </c>
      <c r="AV169" s="4">
        <v>98</v>
      </c>
      <c r="AW169" s="4">
        <v>-27</v>
      </c>
      <c r="AX169" s="4">
        <v>-194.1</v>
      </c>
      <c r="AY169" s="4">
        <v>71</v>
      </c>
      <c r="AZ169" s="4">
        <v>26.74</v>
      </c>
      <c r="BA169" s="4">
        <v>735.08</v>
      </c>
      <c r="BB169" s="4">
        <v>514.24</v>
      </c>
      <c r="BC169" s="4">
        <v>708.34</v>
      </c>
      <c r="BD169" s="4">
        <v>0</v>
      </c>
    </row>
    <row r="170" spans="1:56" x14ac:dyDescent="0.2">
      <c r="A170" s="4" t="s">
        <v>558</v>
      </c>
      <c r="B170" s="4" t="s">
        <v>559</v>
      </c>
      <c r="C170" s="4" t="s">
        <v>560</v>
      </c>
      <c r="D170" s="4" t="s">
        <v>445</v>
      </c>
      <c r="E170" s="4" t="s">
        <v>561</v>
      </c>
      <c r="F170" s="4" t="s">
        <v>559</v>
      </c>
      <c r="G170" s="4" t="s">
        <v>562</v>
      </c>
      <c r="H170" s="4" t="s">
        <v>445</v>
      </c>
      <c r="I170" s="4" t="str">
        <f t="shared" si="26"/>
        <v>1010</v>
      </c>
      <c r="J170" s="4" t="s">
        <v>444</v>
      </c>
      <c r="K170" s="4" t="s">
        <v>443</v>
      </c>
      <c r="L170" s="4" t="s">
        <v>444</v>
      </c>
      <c r="M170" s="4" t="s">
        <v>445</v>
      </c>
      <c r="N170" s="4" t="s">
        <v>492</v>
      </c>
      <c r="O170" s="4" t="s">
        <v>493</v>
      </c>
      <c r="P170" s="4" t="s">
        <v>563</v>
      </c>
      <c r="Q170" s="4" t="str">
        <f>"8088218162"</f>
        <v>8088218162</v>
      </c>
      <c r="S170" s="4" t="str">
        <f>"00880882181628"</f>
        <v>00880882181628</v>
      </c>
      <c r="T170" s="24">
        <v>41152</v>
      </c>
      <c r="U170" s="24">
        <v>41152</v>
      </c>
      <c r="V170" s="24">
        <v>1</v>
      </c>
      <c r="W170" s="4" t="str">
        <f>"8088218162"</f>
        <v>8088218162</v>
      </c>
      <c r="X170" s="4" t="s">
        <v>563</v>
      </c>
      <c r="Y170" s="4" t="str">
        <f t="shared" si="29"/>
        <v>1010</v>
      </c>
      <c r="Z170" s="4" t="str">
        <f>"53"</f>
        <v>53</v>
      </c>
      <c r="AA170" s="4" t="s">
        <v>93</v>
      </c>
      <c r="AB170" s="4" t="s">
        <v>564</v>
      </c>
      <c r="AC170" s="4" t="s">
        <v>563</v>
      </c>
      <c r="AD170" s="4" t="s">
        <v>565</v>
      </c>
      <c r="AE170" s="4" t="s">
        <v>566</v>
      </c>
      <c r="AF170" s="4" t="s">
        <v>568</v>
      </c>
      <c r="AH170" s="4" t="s">
        <v>568</v>
      </c>
      <c r="AI170" s="4" t="s">
        <v>569</v>
      </c>
      <c r="AJ170" s="4" t="s">
        <v>570</v>
      </c>
      <c r="AK170" s="4" t="s">
        <v>577</v>
      </c>
      <c r="AL170" s="4" t="s">
        <v>578</v>
      </c>
      <c r="AN170" s="4" t="str">
        <f t="shared" si="32"/>
        <v>1</v>
      </c>
      <c r="AO170" s="4" t="s">
        <v>579</v>
      </c>
      <c r="AP170" s="4" t="s">
        <v>584</v>
      </c>
      <c r="AQ170" s="4" t="s">
        <v>580</v>
      </c>
      <c r="AR170" s="4" t="str">
        <f>".7500"</f>
        <v>.7500</v>
      </c>
      <c r="AS170" s="4" t="str">
        <f>"7.50"</f>
        <v>7.50</v>
      </c>
      <c r="AT170" s="4" t="s">
        <v>581</v>
      </c>
      <c r="AU170" s="4" t="str">
        <f>"7.50"</f>
        <v>7.50</v>
      </c>
      <c r="AV170" s="4">
        <v>2</v>
      </c>
      <c r="AW170" s="4">
        <v>0</v>
      </c>
      <c r="AX170" s="4">
        <v>0</v>
      </c>
      <c r="AY170" s="4">
        <v>2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</row>
    <row r="171" spans="1:56" x14ac:dyDescent="0.2">
      <c r="A171" s="4" t="s">
        <v>558</v>
      </c>
      <c r="B171" s="4" t="s">
        <v>559</v>
      </c>
      <c r="C171" s="4" t="s">
        <v>560</v>
      </c>
      <c r="D171" s="4" t="s">
        <v>445</v>
      </c>
      <c r="E171" s="4" t="s">
        <v>561</v>
      </c>
      <c r="F171" s="4" t="s">
        <v>559</v>
      </c>
      <c r="G171" s="4" t="s">
        <v>562</v>
      </c>
      <c r="H171" s="4" t="s">
        <v>445</v>
      </c>
      <c r="I171" s="4" t="str">
        <f t="shared" si="26"/>
        <v>1010</v>
      </c>
      <c r="J171" s="4" t="s">
        <v>444</v>
      </c>
      <c r="K171" s="4" t="s">
        <v>443</v>
      </c>
      <c r="L171" s="4" t="s">
        <v>444</v>
      </c>
      <c r="M171" s="4" t="s">
        <v>445</v>
      </c>
      <c r="N171" s="4" t="s">
        <v>726</v>
      </c>
      <c r="O171" s="4" t="s">
        <v>475</v>
      </c>
      <c r="P171" s="4" t="s">
        <v>563</v>
      </c>
      <c r="Q171" s="4" t="str">
        <f>"8088218121"</f>
        <v>8088218121</v>
      </c>
      <c r="S171" s="4" t="str">
        <f>"00880882181215"</f>
        <v>00880882181215</v>
      </c>
      <c r="T171" s="24">
        <v>41117</v>
      </c>
      <c r="U171" s="24">
        <v>41117</v>
      </c>
      <c r="V171" s="24">
        <v>1</v>
      </c>
      <c r="W171" s="4" t="str">
        <f>"8088218121"</f>
        <v>8088218121</v>
      </c>
      <c r="X171" s="4" t="s">
        <v>563</v>
      </c>
      <c r="Y171" s="4" t="str">
        <f t="shared" si="29"/>
        <v>1010</v>
      </c>
      <c r="Z171" s="4" t="str">
        <f>"11"</f>
        <v>11</v>
      </c>
      <c r="AA171" s="4" t="s">
        <v>93</v>
      </c>
      <c r="AB171" s="4" t="s">
        <v>564</v>
      </c>
      <c r="AC171" s="4" t="s">
        <v>563</v>
      </c>
      <c r="AD171" s="4" t="s">
        <v>565</v>
      </c>
      <c r="AE171" s="4" t="s">
        <v>566</v>
      </c>
      <c r="AF171" s="4" t="s">
        <v>567</v>
      </c>
      <c r="AH171" s="4" t="s">
        <v>568</v>
      </c>
      <c r="AI171" s="4" t="s">
        <v>569</v>
      </c>
      <c r="AJ171" s="4" t="s">
        <v>570</v>
      </c>
      <c r="AK171" s="4" t="s">
        <v>571</v>
      </c>
      <c r="AL171" s="4" t="s">
        <v>572</v>
      </c>
      <c r="AN171" s="4" t="str">
        <f t="shared" si="32"/>
        <v>1</v>
      </c>
      <c r="AO171" s="4" t="s">
        <v>583</v>
      </c>
      <c r="AP171" s="4" t="s">
        <v>584</v>
      </c>
      <c r="AQ171" s="4" t="s">
        <v>575</v>
      </c>
      <c r="AR171" s="4" t="str">
        <f>"1.8000"</f>
        <v>1.8000</v>
      </c>
      <c r="AS171" s="4" t="str">
        <f>"11.59"</f>
        <v>11.59</v>
      </c>
      <c r="AT171" s="4" t="s">
        <v>585</v>
      </c>
      <c r="AU171" s="4" t="str">
        <f>"11.59"</f>
        <v>11.59</v>
      </c>
      <c r="AV171" s="4">
        <v>19</v>
      </c>
      <c r="AW171" s="4">
        <v>-4</v>
      </c>
      <c r="AX171" s="4">
        <v>-46.36</v>
      </c>
      <c r="AY171" s="4">
        <v>15</v>
      </c>
      <c r="AZ171" s="4">
        <v>0</v>
      </c>
      <c r="BA171" s="4">
        <v>220.21</v>
      </c>
      <c r="BB171" s="4">
        <v>173.85</v>
      </c>
      <c r="BC171" s="4">
        <v>220.21</v>
      </c>
      <c r="BD171" s="4">
        <v>0</v>
      </c>
    </row>
    <row r="172" spans="1:56" x14ac:dyDescent="0.2">
      <c r="A172" s="4" t="s">
        <v>558</v>
      </c>
      <c r="B172" s="4" t="s">
        <v>559</v>
      </c>
      <c r="C172" s="4" t="s">
        <v>560</v>
      </c>
      <c r="D172" s="4" t="s">
        <v>445</v>
      </c>
      <c r="E172" s="4" t="s">
        <v>561</v>
      </c>
      <c r="F172" s="4" t="s">
        <v>559</v>
      </c>
      <c r="G172" s="4" t="s">
        <v>562</v>
      </c>
      <c r="H172" s="4" t="s">
        <v>445</v>
      </c>
      <c r="I172" s="4" t="str">
        <f t="shared" si="26"/>
        <v>1010</v>
      </c>
      <c r="J172" s="4" t="s">
        <v>444</v>
      </c>
      <c r="K172" s="4" t="s">
        <v>443</v>
      </c>
      <c r="L172" s="4" t="s">
        <v>444</v>
      </c>
      <c r="M172" s="4" t="s">
        <v>445</v>
      </c>
      <c r="N172" s="4" t="s">
        <v>726</v>
      </c>
      <c r="O172" s="4" t="s">
        <v>475</v>
      </c>
      <c r="P172" s="4" t="s">
        <v>563</v>
      </c>
      <c r="Q172" s="4" t="str">
        <f>"8088218121"</f>
        <v>8088218121</v>
      </c>
      <c r="S172" s="4" t="str">
        <f>"00880882181215"</f>
        <v>00880882181215</v>
      </c>
      <c r="T172" s="24">
        <v>41117</v>
      </c>
      <c r="U172" s="24">
        <v>41117</v>
      </c>
      <c r="V172" s="24">
        <v>1</v>
      </c>
      <c r="W172" s="4" t="str">
        <f>"8088218121"</f>
        <v>8088218121</v>
      </c>
      <c r="X172" s="4" t="s">
        <v>563</v>
      </c>
      <c r="Y172" s="4" t="str">
        <f t="shared" si="29"/>
        <v>1010</v>
      </c>
      <c r="Z172" s="4" t="str">
        <f>"53"</f>
        <v>53</v>
      </c>
      <c r="AA172" s="4" t="s">
        <v>93</v>
      </c>
      <c r="AB172" s="4" t="s">
        <v>564</v>
      </c>
      <c r="AC172" s="4" t="s">
        <v>563</v>
      </c>
      <c r="AD172" s="4" t="s">
        <v>565</v>
      </c>
      <c r="AE172" s="4" t="s">
        <v>566</v>
      </c>
      <c r="AF172" s="4" t="s">
        <v>568</v>
      </c>
      <c r="AH172" s="4" t="s">
        <v>568</v>
      </c>
      <c r="AI172" s="4" t="s">
        <v>569</v>
      </c>
      <c r="AJ172" s="4" t="s">
        <v>570</v>
      </c>
      <c r="AK172" s="4" t="s">
        <v>571</v>
      </c>
      <c r="AL172" s="4" t="s">
        <v>572</v>
      </c>
      <c r="AN172" s="4" t="str">
        <f t="shared" si="32"/>
        <v>1</v>
      </c>
      <c r="AO172" s="4" t="s">
        <v>583</v>
      </c>
      <c r="AP172" s="4" t="s">
        <v>584</v>
      </c>
      <c r="AQ172" s="4" t="s">
        <v>575</v>
      </c>
      <c r="AR172" s="4" t="str">
        <f>"1.8000"</f>
        <v>1.8000</v>
      </c>
      <c r="AS172" s="4" t="str">
        <f>"11.59"</f>
        <v>11.59</v>
      </c>
      <c r="AT172" s="4" t="s">
        <v>585</v>
      </c>
      <c r="AU172" s="4" t="str">
        <f>"11.59"</f>
        <v>11.59</v>
      </c>
      <c r="AV172" s="4">
        <v>2</v>
      </c>
      <c r="AW172" s="4">
        <v>0</v>
      </c>
      <c r="AX172" s="4">
        <v>0</v>
      </c>
      <c r="AY172" s="4">
        <v>2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</row>
    <row r="173" spans="1:56" x14ac:dyDescent="0.2">
      <c r="A173" s="4" t="s">
        <v>558</v>
      </c>
      <c r="B173" s="4" t="s">
        <v>559</v>
      </c>
      <c r="C173" s="4" t="s">
        <v>560</v>
      </c>
      <c r="D173" s="4" t="s">
        <v>445</v>
      </c>
      <c r="E173" s="4" t="s">
        <v>561</v>
      </c>
      <c r="F173" s="4" t="s">
        <v>559</v>
      </c>
      <c r="G173" s="4" t="s">
        <v>562</v>
      </c>
      <c r="H173" s="4" t="s">
        <v>445</v>
      </c>
      <c r="I173" s="4" t="str">
        <f t="shared" si="26"/>
        <v>1010</v>
      </c>
      <c r="J173" s="4" t="s">
        <v>444</v>
      </c>
      <c r="K173" s="4" t="s">
        <v>443</v>
      </c>
      <c r="L173" s="4" t="s">
        <v>444</v>
      </c>
      <c r="M173" s="4" t="s">
        <v>445</v>
      </c>
      <c r="N173" s="4" t="s">
        <v>726</v>
      </c>
      <c r="O173" s="4" t="s">
        <v>475</v>
      </c>
      <c r="P173" s="4" t="s">
        <v>563</v>
      </c>
      <c r="Q173" s="4" t="str">
        <f>"8088218122"</f>
        <v>8088218122</v>
      </c>
      <c r="S173" s="4" t="str">
        <f>"00880882181222"</f>
        <v>00880882181222</v>
      </c>
      <c r="T173" s="24">
        <v>41117</v>
      </c>
      <c r="U173" s="24">
        <v>41117</v>
      </c>
      <c r="V173" s="24">
        <v>1</v>
      </c>
      <c r="W173" s="4" t="str">
        <f>"8088218122"</f>
        <v>8088218122</v>
      </c>
      <c r="X173" s="4" t="s">
        <v>563</v>
      </c>
      <c r="Y173" s="4" t="str">
        <f t="shared" si="29"/>
        <v>1010</v>
      </c>
      <c r="Z173" s="4" t="str">
        <f>"11"</f>
        <v>11</v>
      </c>
      <c r="AA173" s="4" t="s">
        <v>93</v>
      </c>
      <c r="AB173" s="4" t="s">
        <v>564</v>
      </c>
      <c r="AC173" s="4" t="s">
        <v>563</v>
      </c>
      <c r="AD173" s="4" t="s">
        <v>565</v>
      </c>
      <c r="AE173" s="4" t="s">
        <v>566</v>
      </c>
      <c r="AF173" s="4" t="s">
        <v>567</v>
      </c>
      <c r="AH173" s="4" t="s">
        <v>568</v>
      </c>
      <c r="AI173" s="4" t="s">
        <v>569</v>
      </c>
      <c r="AJ173" s="4" t="s">
        <v>570</v>
      </c>
      <c r="AK173" s="4" t="s">
        <v>577</v>
      </c>
      <c r="AL173" s="4" t="s">
        <v>578</v>
      </c>
      <c r="AN173" s="4" t="str">
        <f t="shared" si="32"/>
        <v>1</v>
      </c>
      <c r="AO173" s="4" t="s">
        <v>579</v>
      </c>
      <c r="AP173" s="4" t="s">
        <v>584</v>
      </c>
      <c r="AQ173" s="4" t="s">
        <v>580</v>
      </c>
      <c r="AR173" s="4" t="str">
        <f>".7500"</f>
        <v>.7500</v>
      </c>
      <c r="AS173" s="4" t="str">
        <f>"7.50"</f>
        <v>7.50</v>
      </c>
      <c r="AT173" s="4" t="s">
        <v>581</v>
      </c>
      <c r="AU173" s="4" t="str">
        <f>"7.50"</f>
        <v>7.50</v>
      </c>
      <c r="AV173" s="4">
        <v>293</v>
      </c>
      <c r="AW173" s="4">
        <v>-469</v>
      </c>
      <c r="AX173" s="4">
        <v>-3481.1</v>
      </c>
      <c r="AY173" s="4">
        <v>-176</v>
      </c>
      <c r="AZ173" s="4">
        <v>309.7</v>
      </c>
      <c r="BA173" s="4">
        <v>2197.1999999999998</v>
      </c>
      <c r="BB173" s="4">
        <v>-1593.6</v>
      </c>
      <c r="BC173" s="4">
        <v>1887.5</v>
      </c>
      <c r="BD173" s="4">
        <v>0</v>
      </c>
    </row>
    <row r="174" spans="1:56" x14ac:dyDescent="0.2">
      <c r="A174" s="4" t="s">
        <v>558</v>
      </c>
      <c r="B174" s="4" t="s">
        <v>559</v>
      </c>
      <c r="C174" s="4" t="s">
        <v>560</v>
      </c>
      <c r="D174" s="4" t="s">
        <v>445</v>
      </c>
      <c r="E174" s="4" t="s">
        <v>561</v>
      </c>
      <c r="F174" s="4" t="s">
        <v>559</v>
      </c>
      <c r="G174" s="4" t="s">
        <v>562</v>
      </c>
      <c r="H174" s="4" t="s">
        <v>445</v>
      </c>
      <c r="I174" s="4" t="str">
        <f t="shared" si="26"/>
        <v>1010</v>
      </c>
      <c r="J174" s="4" t="s">
        <v>444</v>
      </c>
      <c r="K174" s="4" t="s">
        <v>443</v>
      </c>
      <c r="L174" s="4" t="s">
        <v>444</v>
      </c>
      <c r="M174" s="4" t="s">
        <v>445</v>
      </c>
      <c r="N174" s="4" t="s">
        <v>726</v>
      </c>
      <c r="O174" s="4" t="s">
        <v>475</v>
      </c>
      <c r="P174" s="4" t="s">
        <v>563</v>
      </c>
      <c r="Q174" s="4" t="str">
        <f>"8088218122"</f>
        <v>8088218122</v>
      </c>
      <c r="S174" s="4" t="str">
        <f>"00880882181222"</f>
        <v>00880882181222</v>
      </c>
      <c r="T174" s="24">
        <v>41117</v>
      </c>
      <c r="U174" s="24">
        <v>41117</v>
      </c>
      <c r="V174" s="24">
        <v>1</v>
      </c>
      <c r="W174" s="4" t="str">
        <f>"8088218122"</f>
        <v>8088218122</v>
      </c>
      <c r="X174" s="4" t="s">
        <v>563</v>
      </c>
      <c r="Y174" s="4" t="str">
        <f t="shared" si="29"/>
        <v>1010</v>
      </c>
      <c r="Z174" s="4" t="str">
        <f>"53"</f>
        <v>53</v>
      </c>
      <c r="AA174" s="4" t="s">
        <v>93</v>
      </c>
      <c r="AB174" s="4" t="s">
        <v>564</v>
      </c>
      <c r="AC174" s="4" t="s">
        <v>563</v>
      </c>
      <c r="AD174" s="4" t="s">
        <v>565</v>
      </c>
      <c r="AE174" s="4" t="s">
        <v>566</v>
      </c>
      <c r="AF174" s="4" t="s">
        <v>568</v>
      </c>
      <c r="AH174" s="4" t="s">
        <v>568</v>
      </c>
      <c r="AI174" s="4" t="s">
        <v>569</v>
      </c>
      <c r="AJ174" s="4" t="s">
        <v>570</v>
      </c>
      <c r="AK174" s="4" t="s">
        <v>577</v>
      </c>
      <c r="AL174" s="4" t="s">
        <v>578</v>
      </c>
      <c r="AN174" s="4" t="str">
        <f t="shared" si="32"/>
        <v>1</v>
      </c>
      <c r="AO174" s="4" t="s">
        <v>579</v>
      </c>
      <c r="AP174" s="4" t="s">
        <v>584</v>
      </c>
      <c r="AQ174" s="4" t="s">
        <v>580</v>
      </c>
      <c r="AR174" s="4" t="str">
        <f>".7500"</f>
        <v>.7500</v>
      </c>
      <c r="AS174" s="4" t="str">
        <f>"7.50"</f>
        <v>7.50</v>
      </c>
      <c r="AT174" s="4" t="s">
        <v>581</v>
      </c>
      <c r="AU174" s="4" t="str">
        <f>"7.50"</f>
        <v>7.50</v>
      </c>
      <c r="AV174" s="4">
        <v>40</v>
      </c>
      <c r="AW174" s="4">
        <v>0</v>
      </c>
      <c r="AX174" s="4">
        <v>0</v>
      </c>
      <c r="AY174" s="4">
        <v>40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</row>
    <row r="175" spans="1:56" x14ac:dyDescent="0.2">
      <c r="A175" s="4" t="s">
        <v>558</v>
      </c>
      <c r="B175" s="4" t="s">
        <v>559</v>
      </c>
      <c r="C175" s="4" t="s">
        <v>560</v>
      </c>
      <c r="D175" s="4" t="s">
        <v>445</v>
      </c>
      <c r="E175" s="4" t="s">
        <v>561</v>
      </c>
      <c r="F175" s="4" t="s">
        <v>559</v>
      </c>
      <c r="G175" s="4" t="s">
        <v>562</v>
      </c>
      <c r="H175" s="4" t="s">
        <v>445</v>
      </c>
      <c r="I175" s="4" t="str">
        <f t="shared" si="26"/>
        <v>1010</v>
      </c>
      <c r="J175" s="4" t="s">
        <v>444</v>
      </c>
      <c r="K175" s="4" t="s">
        <v>443</v>
      </c>
      <c r="L175" s="4" t="s">
        <v>444</v>
      </c>
      <c r="M175" s="4" t="s">
        <v>445</v>
      </c>
      <c r="N175" s="4" t="s">
        <v>466</v>
      </c>
      <c r="O175" s="4" t="s">
        <v>727</v>
      </c>
      <c r="P175" s="4" t="s">
        <v>563</v>
      </c>
      <c r="Q175" s="4" t="str">
        <f>"8088218101"</f>
        <v>8088218101</v>
      </c>
      <c r="S175" s="4" t="str">
        <f>"00880882181017"</f>
        <v>00880882181017</v>
      </c>
      <c r="T175" s="24">
        <v>41152</v>
      </c>
      <c r="U175" s="24">
        <v>41152</v>
      </c>
      <c r="V175" s="24">
        <v>1</v>
      </c>
      <c r="W175" s="4" t="str">
        <f>"8088218101"</f>
        <v>8088218101</v>
      </c>
      <c r="X175" s="4" t="s">
        <v>563</v>
      </c>
      <c r="Y175" s="4" t="str">
        <f t="shared" si="29"/>
        <v>1010</v>
      </c>
      <c r="Z175" s="4" t="str">
        <f t="shared" ref="Z175:Z209" si="33">"11"</f>
        <v>11</v>
      </c>
      <c r="AA175" s="4" t="s">
        <v>93</v>
      </c>
      <c r="AB175" s="4" t="s">
        <v>564</v>
      </c>
      <c r="AC175" s="4" t="s">
        <v>563</v>
      </c>
      <c r="AD175" s="4" t="s">
        <v>565</v>
      </c>
      <c r="AE175" s="4" t="s">
        <v>566</v>
      </c>
      <c r="AF175" s="4" t="s">
        <v>567</v>
      </c>
      <c r="AH175" s="4" t="s">
        <v>568</v>
      </c>
      <c r="AI175" s="4" t="s">
        <v>569</v>
      </c>
      <c r="AJ175" s="4" t="s">
        <v>570</v>
      </c>
      <c r="AK175" s="4" t="s">
        <v>571</v>
      </c>
      <c r="AL175" s="4" t="s">
        <v>572</v>
      </c>
      <c r="AN175" s="4" t="str">
        <f t="shared" si="32"/>
        <v>1</v>
      </c>
      <c r="AO175" s="4" t="s">
        <v>583</v>
      </c>
      <c r="AP175" s="4" t="s">
        <v>584</v>
      </c>
      <c r="AQ175" s="4" t="s">
        <v>575</v>
      </c>
      <c r="AR175" s="4" t="str">
        <f>"1.8000"</f>
        <v>1.8000</v>
      </c>
      <c r="AS175" s="4" t="str">
        <f>"11.59"</f>
        <v>11.59</v>
      </c>
      <c r="AT175" s="4" t="s">
        <v>585</v>
      </c>
      <c r="AU175" s="4" t="str">
        <f>"11.59"</f>
        <v>11.59</v>
      </c>
      <c r="AV175" s="4">
        <v>7</v>
      </c>
      <c r="AW175" s="4">
        <v>0</v>
      </c>
      <c r="AX175" s="4">
        <v>0</v>
      </c>
      <c r="AY175" s="4">
        <v>7</v>
      </c>
      <c r="AZ175" s="4">
        <v>0</v>
      </c>
      <c r="BA175" s="4">
        <v>81.13</v>
      </c>
      <c r="BB175" s="4">
        <v>81.13</v>
      </c>
      <c r="BC175" s="4">
        <v>81.13</v>
      </c>
      <c r="BD175" s="4">
        <v>0</v>
      </c>
    </row>
    <row r="176" spans="1:56" x14ac:dyDescent="0.2">
      <c r="A176" s="4" t="s">
        <v>558</v>
      </c>
      <c r="B176" s="4" t="s">
        <v>559</v>
      </c>
      <c r="C176" s="4" t="s">
        <v>560</v>
      </c>
      <c r="D176" s="4" t="s">
        <v>445</v>
      </c>
      <c r="E176" s="4" t="s">
        <v>561</v>
      </c>
      <c r="F176" s="4" t="s">
        <v>559</v>
      </c>
      <c r="G176" s="4" t="s">
        <v>562</v>
      </c>
      <c r="H176" s="4" t="s">
        <v>445</v>
      </c>
      <c r="I176" s="4" t="str">
        <f t="shared" si="26"/>
        <v>1010</v>
      </c>
      <c r="J176" s="4" t="s">
        <v>444</v>
      </c>
      <c r="K176" s="4" t="s">
        <v>443</v>
      </c>
      <c r="L176" s="4" t="s">
        <v>444</v>
      </c>
      <c r="M176" s="4" t="s">
        <v>445</v>
      </c>
      <c r="N176" s="4" t="s">
        <v>466</v>
      </c>
      <c r="O176" s="4" t="s">
        <v>727</v>
      </c>
      <c r="P176" s="4" t="s">
        <v>563</v>
      </c>
      <c r="Q176" s="4" t="str">
        <f>"8088218102"</f>
        <v>8088218102</v>
      </c>
      <c r="S176" s="4" t="str">
        <f>"00880882181024"</f>
        <v>00880882181024</v>
      </c>
      <c r="T176" s="24">
        <v>41152</v>
      </c>
      <c r="U176" s="24">
        <v>41152</v>
      </c>
      <c r="V176" s="24">
        <v>1</v>
      </c>
      <c r="W176" s="4" t="str">
        <f>"8088218102"</f>
        <v>8088218102</v>
      </c>
      <c r="X176" s="4" t="s">
        <v>563</v>
      </c>
      <c r="Y176" s="4" t="str">
        <f t="shared" si="29"/>
        <v>1010</v>
      </c>
      <c r="Z176" s="4" t="str">
        <f t="shared" si="33"/>
        <v>11</v>
      </c>
      <c r="AA176" s="4" t="s">
        <v>93</v>
      </c>
      <c r="AB176" s="4" t="s">
        <v>564</v>
      </c>
      <c r="AC176" s="4" t="s">
        <v>563</v>
      </c>
      <c r="AD176" s="4" t="s">
        <v>565</v>
      </c>
      <c r="AE176" s="4" t="s">
        <v>566</v>
      </c>
      <c r="AF176" s="4" t="s">
        <v>567</v>
      </c>
      <c r="AH176" s="4" t="s">
        <v>568</v>
      </c>
      <c r="AI176" s="4" t="s">
        <v>569</v>
      </c>
      <c r="AJ176" s="4" t="s">
        <v>570</v>
      </c>
      <c r="AK176" s="4" t="s">
        <v>577</v>
      </c>
      <c r="AL176" s="4" t="s">
        <v>578</v>
      </c>
      <c r="AN176" s="4" t="str">
        <f t="shared" si="32"/>
        <v>1</v>
      </c>
      <c r="AO176" s="4" t="s">
        <v>579</v>
      </c>
      <c r="AP176" s="4" t="s">
        <v>584</v>
      </c>
      <c r="AQ176" s="4" t="s">
        <v>580</v>
      </c>
      <c r="AR176" s="4" t="str">
        <f>".7500"</f>
        <v>.7500</v>
      </c>
      <c r="AS176" s="4" t="str">
        <f>"7.50"</f>
        <v>7.50</v>
      </c>
      <c r="AT176" s="4" t="s">
        <v>581</v>
      </c>
      <c r="AU176" s="4" t="str">
        <f>"7.50"</f>
        <v>7.50</v>
      </c>
      <c r="AV176" s="4">
        <v>45</v>
      </c>
      <c r="AW176" s="4">
        <v>-39</v>
      </c>
      <c r="AX176" s="4">
        <v>-278.85000000000002</v>
      </c>
      <c r="AY176" s="4">
        <v>6</v>
      </c>
      <c r="AZ176" s="4">
        <v>6.04</v>
      </c>
      <c r="BA176" s="4">
        <v>337.52</v>
      </c>
      <c r="BB176" s="4">
        <v>52.63</v>
      </c>
      <c r="BC176" s="4">
        <v>331.48</v>
      </c>
      <c r="BD176" s="4">
        <v>0</v>
      </c>
    </row>
    <row r="177" spans="1:56" x14ac:dyDescent="0.2">
      <c r="A177" s="4" t="s">
        <v>558</v>
      </c>
      <c r="B177" s="4" t="s">
        <v>559</v>
      </c>
      <c r="C177" s="4" t="s">
        <v>560</v>
      </c>
      <c r="D177" s="4" t="s">
        <v>445</v>
      </c>
      <c r="E177" s="4" t="s">
        <v>561</v>
      </c>
      <c r="F177" s="4" t="s">
        <v>559</v>
      </c>
      <c r="G177" s="4" t="s">
        <v>562</v>
      </c>
      <c r="H177" s="4" t="s">
        <v>445</v>
      </c>
      <c r="I177" s="4" t="str">
        <f t="shared" si="26"/>
        <v>1010</v>
      </c>
      <c r="J177" s="4" t="s">
        <v>444</v>
      </c>
      <c r="K177" s="4" t="s">
        <v>443</v>
      </c>
      <c r="L177" s="4" t="s">
        <v>444</v>
      </c>
      <c r="M177" s="4" t="s">
        <v>445</v>
      </c>
      <c r="N177" s="4" t="s">
        <v>495</v>
      </c>
      <c r="O177" s="4" t="s">
        <v>496</v>
      </c>
      <c r="P177" s="4" t="s">
        <v>563</v>
      </c>
      <c r="Q177" s="4" t="str">
        <f>"8088217561"</f>
        <v>8088217561</v>
      </c>
      <c r="S177" s="4" t="str">
        <f>"00880882175610"</f>
        <v>00880882175610</v>
      </c>
      <c r="T177" s="24">
        <v>40795</v>
      </c>
      <c r="U177" s="24">
        <v>40795</v>
      </c>
      <c r="V177" s="24">
        <v>1</v>
      </c>
      <c r="W177" s="4" t="str">
        <f>"8088217561"</f>
        <v>8088217561</v>
      </c>
      <c r="X177" s="4" t="s">
        <v>563</v>
      </c>
      <c r="Y177" s="4" t="str">
        <f t="shared" si="29"/>
        <v>1010</v>
      </c>
      <c r="Z177" s="4" t="str">
        <f t="shared" si="33"/>
        <v>11</v>
      </c>
      <c r="AA177" s="4" t="s">
        <v>93</v>
      </c>
      <c r="AB177" s="4" t="s">
        <v>564</v>
      </c>
      <c r="AC177" s="4" t="s">
        <v>563</v>
      </c>
      <c r="AD177" s="4" t="s">
        <v>565</v>
      </c>
      <c r="AE177" s="4" t="s">
        <v>566</v>
      </c>
      <c r="AF177" s="4" t="s">
        <v>567</v>
      </c>
      <c r="AH177" s="4" t="s">
        <v>568</v>
      </c>
      <c r="AI177" s="4" t="s">
        <v>569</v>
      </c>
      <c r="AJ177" s="4" t="s">
        <v>570</v>
      </c>
      <c r="AK177" s="4" t="s">
        <v>571</v>
      </c>
      <c r="AL177" s="4" t="s">
        <v>572</v>
      </c>
      <c r="AN177" s="4" t="str">
        <f t="shared" si="32"/>
        <v>1</v>
      </c>
      <c r="AO177" s="4" t="s">
        <v>583</v>
      </c>
      <c r="AP177" s="4" t="s">
        <v>574</v>
      </c>
      <c r="AQ177" s="4" t="s">
        <v>575</v>
      </c>
      <c r="AR177" s="4" t="str">
        <f>"1.8000"</f>
        <v>1.8000</v>
      </c>
      <c r="AS177" s="4" t="str">
        <f>"11.59"</f>
        <v>11.59</v>
      </c>
      <c r="AT177" s="4" t="s">
        <v>585</v>
      </c>
      <c r="AU177" s="4" t="str">
        <f>"11.59"</f>
        <v>11.59</v>
      </c>
      <c r="AV177" s="4">
        <v>7</v>
      </c>
      <c r="AW177" s="4">
        <v>0</v>
      </c>
      <c r="AX177" s="4">
        <v>0</v>
      </c>
      <c r="AY177" s="4">
        <v>7</v>
      </c>
      <c r="AZ177" s="4">
        <v>0</v>
      </c>
      <c r="BA177" s="4">
        <v>81.13</v>
      </c>
      <c r="BB177" s="4">
        <v>81.13</v>
      </c>
      <c r="BC177" s="4">
        <v>81.13</v>
      </c>
      <c r="BD177" s="4">
        <v>0</v>
      </c>
    </row>
    <row r="178" spans="1:56" x14ac:dyDescent="0.2">
      <c r="A178" s="4" t="s">
        <v>558</v>
      </c>
      <c r="B178" s="4" t="s">
        <v>559</v>
      </c>
      <c r="C178" s="4" t="s">
        <v>560</v>
      </c>
      <c r="D178" s="4" t="s">
        <v>445</v>
      </c>
      <c r="E178" s="4" t="s">
        <v>561</v>
      </c>
      <c r="F178" s="4" t="s">
        <v>559</v>
      </c>
      <c r="G178" s="4" t="s">
        <v>562</v>
      </c>
      <c r="H178" s="4" t="s">
        <v>445</v>
      </c>
      <c r="I178" s="4" t="str">
        <f t="shared" si="26"/>
        <v>1010</v>
      </c>
      <c r="J178" s="4" t="s">
        <v>444</v>
      </c>
      <c r="K178" s="4" t="s">
        <v>443</v>
      </c>
      <c r="L178" s="4" t="s">
        <v>444</v>
      </c>
      <c r="M178" s="4" t="s">
        <v>445</v>
      </c>
      <c r="N178" s="4" t="s">
        <v>495</v>
      </c>
      <c r="O178" s="4" t="s">
        <v>496</v>
      </c>
      <c r="P178" s="4" t="s">
        <v>563</v>
      </c>
      <c r="Q178" s="4" t="str">
        <f>"8088217562"</f>
        <v>8088217562</v>
      </c>
      <c r="S178" s="4" t="str">
        <f>"00880882175627"</f>
        <v>00880882175627</v>
      </c>
      <c r="T178" s="24">
        <v>40795</v>
      </c>
      <c r="U178" s="24">
        <v>40795</v>
      </c>
      <c r="V178" s="24">
        <v>1</v>
      </c>
      <c r="W178" s="4" t="str">
        <f>"8088217562"</f>
        <v>8088217562</v>
      </c>
      <c r="X178" s="4" t="s">
        <v>563</v>
      </c>
      <c r="Y178" s="4" t="str">
        <f t="shared" si="29"/>
        <v>1010</v>
      </c>
      <c r="Z178" s="4" t="str">
        <f t="shared" si="33"/>
        <v>11</v>
      </c>
      <c r="AA178" s="4" t="s">
        <v>93</v>
      </c>
      <c r="AB178" s="4" t="s">
        <v>564</v>
      </c>
      <c r="AC178" s="4" t="s">
        <v>563</v>
      </c>
      <c r="AD178" s="4" t="s">
        <v>565</v>
      </c>
      <c r="AE178" s="4" t="s">
        <v>566</v>
      </c>
      <c r="AF178" s="4" t="s">
        <v>567</v>
      </c>
      <c r="AH178" s="4" t="s">
        <v>568</v>
      </c>
      <c r="AI178" s="4" t="s">
        <v>569</v>
      </c>
      <c r="AJ178" s="4" t="s">
        <v>570</v>
      </c>
      <c r="AK178" s="4" t="s">
        <v>577</v>
      </c>
      <c r="AL178" s="4" t="s">
        <v>578</v>
      </c>
      <c r="AN178" s="4" t="str">
        <f t="shared" si="32"/>
        <v>1</v>
      </c>
      <c r="AO178" s="4" t="s">
        <v>579</v>
      </c>
      <c r="AP178" s="4" t="s">
        <v>574</v>
      </c>
      <c r="AQ178" s="4" t="s">
        <v>580</v>
      </c>
      <c r="AR178" s="4" t="str">
        <f>".7500"</f>
        <v>.7500</v>
      </c>
      <c r="AS178" s="4" t="str">
        <f>"7.50"</f>
        <v>7.50</v>
      </c>
      <c r="AT178" s="4" t="s">
        <v>581</v>
      </c>
      <c r="AU178" s="4" t="str">
        <f>"7.50"</f>
        <v>7.50</v>
      </c>
      <c r="AV178" s="4">
        <v>173</v>
      </c>
      <c r="AW178" s="4">
        <v>-16</v>
      </c>
      <c r="AX178" s="4">
        <v>-114.4</v>
      </c>
      <c r="AY178" s="4">
        <v>157</v>
      </c>
      <c r="AZ178" s="4">
        <v>44.86</v>
      </c>
      <c r="BA178" s="4">
        <v>1297.6400000000001</v>
      </c>
      <c r="BB178" s="4">
        <v>1138.3800000000001</v>
      </c>
      <c r="BC178" s="4">
        <v>1252.78</v>
      </c>
      <c r="BD178" s="4">
        <v>0</v>
      </c>
    </row>
    <row r="179" spans="1:56" x14ac:dyDescent="0.2">
      <c r="A179" s="4" t="s">
        <v>558</v>
      </c>
      <c r="B179" s="4" t="s">
        <v>559</v>
      </c>
      <c r="C179" s="4" t="s">
        <v>560</v>
      </c>
      <c r="D179" s="4" t="s">
        <v>445</v>
      </c>
      <c r="E179" s="4" t="s">
        <v>561</v>
      </c>
      <c r="F179" s="4" t="s">
        <v>559</v>
      </c>
      <c r="G179" s="4" t="s">
        <v>562</v>
      </c>
      <c r="H179" s="4" t="s">
        <v>445</v>
      </c>
      <c r="I179" s="4" t="str">
        <f t="shared" si="26"/>
        <v>1010</v>
      </c>
      <c r="J179" s="4" t="s">
        <v>444</v>
      </c>
      <c r="K179" s="4" t="s">
        <v>443</v>
      </c>
      <c r="L179" s="4" t="s">
        <v>444</v>
      </c>
      <c r="M179" s="4" t="s">
        <v>445</v>
      </c>
      <c r="N179" s="4" t="s">
        <v>728</v>
      </c>
      <c r="O179" s="4" t="s">
        <v>729</v>
      </c>
      <c r="P179" s="4" t="s">
        <v>563</v>
      </c>
      <c r="Q179" s="4" t="str">
        <f>"8088218612"</f>
        <v>8088218612</v>
      </c>
      <c r="S179" s="4" t="str">
        <f>"00880882186128"</f>
        <v>00880882186128</v>
      </c>
      <c r="T179" s="24">
        <v>41418</v>
      </c>
      <c r="U179" s="24">
        <v>41418</v>
      </c>
      <c r="V179" s="24">
        <v>1</v>
      </c>
      <c r="W179" s="4" t="str">
        <f>"8088218612"</f>
        <v>8088218612</v>
      </c>
      <c r="X179" s="4" t="s">
        <v>563</v>
      </c>
      <c r="Y179" s="4" t="str">
        <f t="shared" si="29"/>
        <v>1010</v>
      </c>
      <c r="Z179" s="4" t="str">
        <f t="shared" si="33"/>
        <v>11</v>
      </c>
      <c r="AA179" s="4" t="s">
        <v>93</v>
      </c>
      <c r="AB179" s="4" t="s">
        <v>564</v>
      </c>
      <c r="AC179" s="4" t="s">
        <v>563</v>
      </c>
      <c r="AD179" s="4" t="s">
        <v>695</v>
      </c>
      <c r="AE179" s="4" t="s">
        <v>730</v>
      </c>
      <c r="AF179" s="4" t="s">
        <v>567</v>
      </c>
      <c r="AH179" s="4" t="s">
        <v>568</v>
      </c>
      <c r="AI179" s="4" t="s">
        <v>569</v>
      </c>
      <c r="AJ179" s="4" t="s">
        <v>570</v>
      </c>
      <c r="AK179" s="4" t="s">
        <v>577</v>
      </c>
      <c r="AL179" s="4" t="s">
        <v>578</v>
      </c>
      <c r="AN179" s="4" t="str">
        <f t="shared" si="32"/>
        <v>1</v>
      </c>
      <c r="AO179" s="4" t="s">
        <v>606</v>
      </c>
      <c r="AP179" s="4" t="s">
        <v>584</v>
      </c>
      <c r="AQ179" s="4" t="s">
        <v>575</v>
      </c>
      <c r="AR179" s="4" t="str">
        <f>".7500"</f>
        <v>.7500</v>
      </c>
      <c r="AS179" s="4" t="str">
        <f>"9.07"</f>
        <v>9.07</v>
      </c>
      <c r="AT179" s="4" t="s">
        <v>607</v>
      </c>
      <c r="AU179" s="4" t="str">
        <f>"9.07"</f>
        <v>9.07</v>
      </c>
      <c r="AV179" s="4">
        <v>133</v>
      </c>
      <c r="AW179" s="4">
        <v>-427</v>
      </c>
      <c r="AX179" s="4">
        <v>-2323.29</v>
      </c>
      <c r="AY179" s="4">
        <v>-294</v>
      </c>
      <c r="AZ179" s="4">
        <v>109.44</v>
      </c>
      <c r="BA179" s="4">
        <v>1185.46</v>
      </c>
      <c r="BB179" s="4">
        <v>-1247.27</v>
      </c>
      <c r="BC179" s="4">
        <v>1076.02</v>
      </c>
      <c r="BD179" s="4">
        <v>0</v>
      </c>
    </row>
    <row r="180" spans="1:56" x14ac:dyDescent="0.2">
      <c r="A180" s="4" t="s">
        <v>558</v>
      </c>
      <c r="B180" s="4" t="s">
        <v>559</v>
      </c>
      <c r="C180" s="4" t="s">
        <v>560</v>
      </c>
      <c r="D180" s="4" t="s">
        <v>445</v>
      </c>
      <c r="E180" s="4" t="s">
        <v>561</v>
      </c>
      <c r="F180" s="4" t="s">
        <v>559</v>
      </c>
      <c r="G180" s="4" t="s">
        <v>562</v>
      </c>
      <c r="H180" s="4" t="s">
        <v>445</v>
      </c>
      <c r="I180" s="4" t="str">
        <f t="shared" si="26"/>
        <v>1010</v>
      </c>
      <c r="J180" s="4" t="s">
        <v>444</v>
      </c>
      <c r="K180" s="4" t="s">
        <v>443</v>
      </c>
      <c r="L180" s="4" t="s">
        <v>444</v>
      </c>
      <c r="M180" s="4" t="s">
        <v>445</v>
      </c>
      <c r="N180" s="4" t="s">
        <v>731</v>
      </c>
      <c r="O180" s="4" t="s">
        <v>732</v>
      </c>
      <c r="P180" s="4" t="s">
        <v>563</v>
      </c>
      <c r="Q180" s="4" t="str">
        <f>"8088218441"</f>
        <v>8088218441</v>
      </c>
      <c r="S180" s="4" t="str">
        <f>"00880882184414"</f>
        <v>00880882184414</v>
      </c>
      <c r="T180" s="24">
        <v>41362</v>
      </c>
      <c r="U180" s="24">
        <v>41362</v>
      </c>
      <c r="V180" s="24">
        <v>1</v>
      </c>
      <c r="W180" s="4" t="str">
        <f>"8088218441"</f>
        <v>8088218441</v>
      </c>
      <c r="X180" s="4" t="s">
        <v>563</v>
      </c>
      <c r="Y180" s="4" t="str">
        <f t="shared" si="29"/>
        <v>1010</v>
      </c>
      <c r="Z180" s="4" t="str">
        <f t="shared" si="33"/>
        <v>11</v>
      </c>
      <c r="AA180" s="4" t="s">
        <v>93</v>
      </c>
      <c r="AB180" s="4" t="s">
        <v>564</v>
      </c>
      <c r="AC180" s="4" t="s">
        <v>563</v>
      </c>
      <c r="AD180" s="4" t="s">
        <v>565</v>
      </c>
      <c r="AE180" s="4" t="s">
        <v>566</v>
      </c>
      <c r="AF180" s="4" t="s">
        <v>567</v>
      </c>
      <c r="AH180" s="4" t="s">
        <v>568</v>
      </c>
      <c r="AI180" s="4" t="s">
        <v>569</v>
      </c>
      <c r="AJ180" s="4" t="s">
        <v>570</v>
      </c>
      <c r="AK180" s="4" t="s">
        <v>571</v>
      </c>
      <c r="AL180" s="4" t="s">
        <v>572</v>
      </c>
      <c r="AN180" s="4" t="str">
        <f t="shared" si="32"/>
        <v>1</v>
      </c>
      <c r="AO180" s="4" t="s">
        <v>573</v>
      </c>
      <c r="AP180" s="4" t="s">
        <v>584</v>
      </c>
      <c r="AQ180" s="4" t="s">
        <v>575</v>
      </c>
      <c r="AR180" s="4" t="str">
        <f>"1.8000"</f>
        <v>1.8000</v>
      </c>
      <c r="AS180" s="4" t="str">
        <f>"10.40"</f>
        <v>10.40</v>
      </c>
      <c r="AT180" s="4" t="s">
        <v>576</v>
      </c>
      <c r="AU180" s="4" t="str">
        <f>"10.40"</f>
        <v>10.40</v>
      </c>
      <c r="AV180" s="4">
        <v>2</v>
      </c>
      <c r="AW180" s="4">
        <v>0</v>
      </c>
      <c r="AX180" s="4">
        <v>0</v>
      </c>
      <c r="AY180" s="4">
        <v>2</v>
      </c>
      <c r="AZ180" s="4">
        <v>0</v>
      </c>
      <c r="BA180" s="4">
        <v>17.68</v>
      </c>
      <c r="BB180" s="4">
        <v>17.68</v>
      </c>
      <c r="BC180" s="4">
        <v>17.68</v>
      </c>
      <c r="BD180" s="4">
        <v>0</v>
      </c>
    </row>
    <row r="181" spans="1:56" x14ac:dyDescent="0.2">
      <c r="A181" s="4" t="s">
        <v>558</v>
      </c>
      <c r="B181" s="4" t="s">
        <v>559</v>
      </c>
      <c r="C181" s="4" t="s">
        <v>560</v>
      </c>
      <c r="D181" s="4" t="s">
        <v>445</v>
      </c>
      <c r="E181" s="4" t="s">
        <v>561</v>
      </c>
      <c r="F181" s="4" t="s">
        <v>559</v>
      </c>
      <c r="G181" s="4" t="s">
        <v>562</v>
      </c>
      <c r="H181" s="4" t="s">
        <v>445</v>
      </c>
      <c r="I181" s="4" t="str">
        <f t="shared" si="26"/>
        <v>1010</v>
      </c>
      <c r="J181" s="4" t="s">
        <v>444</v>
      </c>
      <c r="K181" s="4" t="s">
        <v>443</v>
      </c>
      <c r="L181" s="4" t="s">
        <v>444</v>
      </c>
      <c r="M181" s="4" t="s">
        <v>445</v>
      </c>
      <c r="N181" s="4" t="s">
        <v>731</v>
      </c>
      <c r="O181" s="4" t="s">
        <v>732</v>
      </c>
      <c r="P181" s="4" t="s">
        <v>563</v>
      </c>
      <c r="Q181" s="4" t="str">
        <f>"8088218442"</f>
        <v>8088218442</v>
      </c>
      <c r="S181" s="4" t="str">
        <f>"00880882184421"</f>
        <v>00880882184421</v>
      </c>
      <c r="T181" s="24">
        <v>41362</v>
      </c>
      <c r="U181" s="24">
        <v>41362</v>
      </c>
      <c r="V181" s="24">
        <v>1</v>
      </c>
      <c r="W181" s="4" t="str">
        <f>"8088218442"</f>
        <v>8088218442</v>
      </c>
      <c r="X181" s="4" t="s">
        <v>563</v>
      </c>
      <c r="Y181" s="4" t="str">
        <f t="shared" si="29"/>
        <v>1010</v>
      </c>
      <c r="Z181" s="4" t="str">
        <f t="shared" si="33"/>
        <v>11</v>
      </c>
      <c r="AA181" s="4" t="s">
        <v>93</v>
      </c>
      <c r="AB181" s="4" t="s">
        <v>564</v>
      </c>
      <c r="AC181" s="4" t="s">
        <v>563</v>
      </c>
      <c r="AD181" s="4" t="s">
        <v>565</v>
      </c>
      <c r="AE181" s="4" t="s">
        <v>566</v>
      </c>
      <c r="AF181" s="4" t="s">
        <v>567</v>
      </c>
      <c r="AH181" s="4" t="s">
        <v>568</v>
      </c>
      <c r="AI181" s="4" t="s">
        <v>569</v>
      </c>
      <c r="AJ181" s="4" t="s">
        <v>570</v>
      </c>
      <c r="AK181" s="4" t="s">
        <v>577</v>
      </c>
      <c r="AL181" s="4" t="s">
        <v>578</v>
      </c>
      <c r="AN181" s="4" t="str">
        <f t="shared" si="32"/>
        <v>1</v>
      </c>
      <c r="AO181" s="4" t="s">
        <v>606</v>
      </c>
      <c r="AP181" s="4" t="s">
        <v>584</v>
      </c>
      <c r="AQ181" s="4" t="s">
        <v>575</v>
      </c>
      <c r="AR181" s="4" t="str">
        <f>".7500"</f>
        <v>.7500</v>
      </c>
      <c r="AS181" s="4" t="str">
        <f>"9.07"</f>
        <v>9.07</v>
      </c>
      <c r="AT181" s="4" t="s">
        <v>607</v>
      </c>
      <c r="AU181" s="4" t="str">
        <f>"9.07"</f>
        <v>9.07</v>
      </c>
      <c r="AV181" s="4">
        <v>353</v>
      </c>
      <c r="AW181" s="4">
        <v>-1083</v>
      </c>
      <c r="AX181" s="4">
        <v>-9537.2099999999991</v>
      </c>
      <c r="AY181" s="4">
        <v>-730</v>
      </c>
      <c r="AZ181" s="4">
        <v>403.69</v>
      </c>
      <c r="BA181" s="4">
        <v>3201.21</v>
      </c>
      <c r="BB181" s="4">
        <v>-6739.69</v>
      </c>
      <c r="BC181" s="4">
        <v>2797.52</v>
      </c>
      <c r="BD181" s="4">
        <v>0</v>
      </c>
    </row>
    <row r="182" spans="1:56" x14ac:dyDescent="0.2">
      <c r="A182" s="4" t="s">
        <v>558</v>
      </c>
      <c r="B182" s="4" t="s">
        <v>559</v>
      </c>
      <c r="C182" s="4" t="s">
        <v>560</v>
      </c>
      <c r="D182" s="4" t="s">
        <v>445</v>
      </c>
      <c r="E182" s="4" t="s">
        <v>561</v>
      </c>
      <c r="F182" s="4" t="s">
        <v>559</v>
      </c>
      <c r="G182" s="4" t="s">
        <v>562</v>
      </c>
      <c r="H182" s="4" t="s">
        <v>445</v>
      </c>
      <c r="I182" s="4" t="str">
        <f t="shared" si="26"/>
        <v>1010</v>
      </c>
      <c r="J182" s="4" t="s">
        <v>444</v>
      </c>
      <c r="K182" s="4" t="s">
        <v>443</v>
      </c>
      <c r="L182" s="4" t="s">
        <v>444</v>
      </c>
      <c r="M182" s="4" t="s">
        <v>445</v>
      </c>
      <c r="N182" s="4" t="s">
        <v>733</v>
      </c>
      <c r="O182" s="4" t="s">
        <v>734</v>
      </c>
      <c r="P182" s="4" t="s">
        <v>563</v>
      </c>
      <c r="Q182" s="4" t="s">
        <v>735</v>
      </c>
      <c r="S182" s="4" t="str">
        <f>"00880882155629"</f>
        <v>00880882155629</v>
      </c>
      <c r="T182" s="24">
        <v>38975</v>
      </c>
      <c r="U182" s="24">
        <v>38975</v>
      </c>
      <c r="V182" s="24">
        <v>1</v>
      </c>
      <c r="W182" s="4" t="s">
        <v>735</v>
      </c>
      <c r="X182" s="4" t="s">
        <v>563</v>
      </c>
      <c r="Y182" s="4" t="str">
        <f t="shared" si="29"/>
        <v>1010</v>
      </c>
      <c r="Z182" s="4" t="str">
        <f t="shared" si="33"/>
        <v>11</v>
      </c>
      <c r="AA182" s="4" t="s">
        <v>93</v>
      </c>
      <c r="AB182" s="4" t="s">
        <v>564</v>
      </c>
      <c r="AC182" s="4" t="s">
        <v>563</v>
      </c>
      <c r="AD182" s="4" t="s">
        <v>565</v>
      </c>
      <c r="AE182" s="4" t="s">
        <v>566</v>
      </c>
      <c r="AF182" s="4" t="s">
        <v>567</v>
      </c>
      <c r="AH182" s="4" t="s">
        <v>568</v>
      </c>
      <c r="AI182" s="4" t="s">
        <v>569</v>
      </c>
      <c r="AJ182" s="4" t="s">
        <v>570</v>
      </c>
      <c r="AK182" s="4" t="s">
        <v>577</v>
      </c>
      <c r="AL182" s="4" t="s">
        <v>578</v>
      </c>
      <c r="AN182" s="4" t="str">
        <f t="shared" si="32"/>
        <v>1</v>
      </c>
      <c r="AO182" s="4" t="s">
        <v>579</v>
      </c>
      <c r="AP182" s="4" t="s">
        <v>574</v>
      </c>
      <c r="AQ182" s="4" t="s">
        <v>580</v>
      </c>
      <c r="AR182" s="4" t="str">
        <f>".7500"</f>
        <v>.7500</v>
      </c>
      <c r="AS182" s="4" t="str">
        <f>"7.50"</f>
        <v>7.50</v>
      </c>
      <c r="AT182" s="4" t="s">
        <v>581</v>
      </c>
      <c r="AU182" s="4" t="str">
        <f>"7.50"</f>
        <v>7.50</v>
      </c>
      <c r="AV182" s="4">
        <v>0</v>
      </c>
      <c r="AW182" s="4">
        <v>-3</v>
      </c>
      <c r="AX182" s="4">
        <v>-21.45</v>
      </c>
      <c r="AY182" s="4">
        <v>-3</v>
      </c>
      <c r="AZ182" s="4">
        <v>0</v>
      </c>
      <c r="BA182" s="4">
        <v>0</v>
      </c>
      <c r="BB182" s="4">
        <v>-21.45</v>
      </c>
      <c r="BC182" s="4">
        <v>0</v>
      </c>
      <c r="BD182" s="4">
        <v>0</v>
      </c>
    </row>
    <row r="183" spans="1:56" x14ac:dyDescent="0.2">
      <c r="A183" s="4" t="s">
        <v>558</v>
      </c>
      <c r="B183" s="4" t="s">
        <v>559</v>
      </c>
      <c r="C183" s="4" t="s">
        <v>560</v>
      </c>
      <c r="D183" s="4" t="s">
        <v>445</v>
      </c>
      <c r="E183" s="4" t="s">
        <v>561</v>
      </c>
      <c r="F183" s="4" t="s">
        <v>559</v>
      </c>
      <c r="G183" s="4" t="s">
        <v>562</v>
      </c>
      <c r="H183" s="4" t="s">
        <v>445</v>
      </c>
      <c r="I183" s="4" t="str">
        <f t="shared" si="26"/>
        <v>1010</v>
      </c>
      <c r="J183" s="4" t="s">
        <v>444</v>
      </c>
      <c r="K183" s="4" t="s">
        <v>443</v>
      </c>
      <c r="L183" s="4" t="s">
        <v>444</v>
      </c>
      <c r="M183" s="4" t="s">
        <v>445</v>
      </c>
      <c r="N183" s="4" t="s">
        <v>733</v>
      </c>
      <c r="O183" s="4" t="s">
        <v>455</v>
      </c>
      <c r="P183" s="4" t="s">
        <v>563</v>
      </c>
      <c r="Q183" s="4" t="str">
        <f>"8088217022"</f>
        <v>8088217022</v>
      </c>
      <c r="S183" s="4" t="str">
        <f>"00880882170226"</f>
        <v>00880882170226</v>
      </c>
      <c r="T183" s="24">
        <v>40249</v>
      </c>
      <c r="U183" s="24">
        <v>40249</v>
      </c>
      <c r="V183" s="24">
        <v>1</v>
      </c>
      <c r="W183" s="4" t="str">
        <f>"8088217022"</f>
        <v>8088217022</v>
      </c>
      <c r="X183" s="4" t="s">
        <v>563</v>
      </c>
      <c r="Y183" s="4" t="str">
        <f t="shared" si="29"/>
        <v>1010</v>
      </c>
      <c r="Z183" s="4" t="str">
        <f t="shared" si="33"/>
        <v>11</v>
      </c>
      <c r="AA183" s="4" t="s">
        <v>93</v>
      </c>
      <c r="AB183" s="4" t="s">
        <v>564</v>
      </c>
      <c r="AC183" s="4" t="s">
        <v>563</v>
      </c>
      <c r="AD183" s="4" t="s">
        <v>565</v>
      </c>
      <c r="AE183" s="4" t="s">
        <v>566</v>
      </c>
      <c r="AF183" s="4" t="s">
        <v>567</v>
      </c>
      <c r="AH183" s="4" t="s">
        <v>568</v>
      </c>
      <c r="AI183" s="4" t="s">
        <v>569</v>
      </c>
      <c r="AJ183" s="4" t="s">
        <v>570</v>
      </c>
      <c r="AK183" s="4" t="s">
        <v>577</v>
      </c>
      <c r="AL183" s="4" t="s">
        <v>578</v>
      </c>
      <c r="AN183" s="4" t="str">
        <f t="shared" si="32"/>
        <v>1</v>
      </c>
      <c r="AO183" s="4" t="s">
        <v>579</v>
      </c>
      <c r="AP183" s="4" t="s">
        <v>574</v>
      </c>
      <c r="AQ183" s="4" t="s">
        <v>580</v>
      </c>
      <c r="AR183" s="4" t="str">
        <f>".7500"</f>
        <v>.7500</v>
      </c>
      <c r="AS183" s="4" t="str">
        <f>"7.50"</f>
        <v>7.50</v>
      </c>
      <c r="AT183" s="4" t="s">
        <v>581</v>
      </c>
      <c r="AU183" s="4" t="str">
        <f>"7.50"</f>
        <v>7.50</v>
      </c>
      <c r="AV183" s="4">
        <v>0</v>
      </c>
      <c r="AW183" s="4">
        <v>-3</v>
      </c>
      <c r="AX183" s="4">
        <v>-21.45</v>
      </c>
      <c r="AY183" s="4">
        <v>-3</v>
      </c>
      <c r="AZ183" s="4">
        <v>0</v>
      </c>
      <c r="BA183" s="4">
        <v>0</v>
      </c>
      <c r="BB183" s="4">
        <v>-21.45</v>
      </c>
      <c r="BC183" s="4">
        <v>0</v>
      </c>
      <c r="BD183" s="4">
        <v>0</v>
      </c>
    </row>
    <row r="184" spans="1:56" x14ac:dyDescent="0.2">
      <c r="A184" s="4" t="s">
        <v>558</v>
      </c>
      <c r="B184" s="4" t="s">
        <v>559</v>
      </c>
      <c r="C184" s="4" t="s">
        <v>560</v>
      </c>
      <c r="D184" s="4" t="s">
        <v>445</v>
      </c>
      <c r="E184" s="4" t="s">
        <v>561</v>
      </c>
      <c r="F184" s="4" t="s">
        <v>559</v>
      </c>
      <c r="G184" s="4" t="s">
        <v>562</v>
      </c>
      <c r="H184" s="4" t="s">
        <v>445</v>
      </c>
      <c r="I184" s="4" t="str">
        <f t="shared" si="26"/>
        <v>1010</v>
      </c>
      <c r="J184" s="4" t="s">
        <v>444</v>
      </c>
      <c r="K184" s="4" t="s">
        <v>443</v>
      </c>
      <c r="L184" s="4" t="s">
        <v>444</v>
      </c>
      <c r="M184" s="4" t="s">
        <v>445</v>
      </c>
      <c r="N184" s="4" t="s">
        <v>733</v>
      </c>
      <c r="O184" s="4" t="s">
        <v>736</v>
      </c>
      <c r="P184" s="4" t="s">
        <v>563</v>
      </c>
      <c r="Q184" s="4" t="str">
        <f>"8088216112"</f>
        <v>8088216112</v>
      </c>
      <c r="S184" s="4" t="str">
        <f>"00880882161125"</f>
        <v>00880882161125</v>
      </c>
      <c r="T184" s="24">
        <v>39465</v>
      </c>
      <c r="U184" s="24">
        <v>39465</v>
      </c>
      <c r="V184" s="24">
        <v>1</v>
      </c>
      <c r="W184" s="4" t="str">
        <f>"8088216112"</f>
        <v>8088216112</v>
      </c>
      <c r="X184" s="4" t="s">
        <v>563</v>
      </c>
      <c r="Y184" s="4" t="str">
        <f t="shared" si="29"/>
        <v>1010</v>
      </c>
      <c r="Z184" s="4" t="str">
        <f t="shared" si="33"/>
        <v>11</v>
      </c>
      <c r="AA184" s="4" t="s">
        <v>93</v>
      </c>
      <c r="AB184" s="4" t="s">
        <v>564</v>
      </c>
      <c r="AC184" s="4" t="s">
        <v>563</v>
      </c>
      <c r="AD184" s="4" t="s">
        <v>565</v>
      </c>
      <c r="AE184" s="4" t="s">
        <v>566</v>
      </c>
      <c r="AF184" s="4" t="s">
        <v>567</v>
      </c>
      <c r="AH184" s="4" t="s">
        <v>568</v>
      </c>
      <c r="AI184" s="4" t="s">
        <v>569</v>
      </c>
      <c r="AJ184" s="4" t="s">
        <v>570</v>
      </c>
      <c r="AK184" s="4" t="s">
        <v>577</v>
      </c>
      <c r="AL184" s="4" t="s">
        <v>578</v>
      </c>
      <c r="AN184" s="4" t="str">
        <f t="shared" si="32"/>
        <v>1</v>
      </c>
      <c r="AO184" s="4" t="s">
        <v>579</v>
      </c>
      <c r="AP184" s="4" t="s">
        <v>574</v>
      </c>
      <c r="AQ184" s="4" t="s">
        <v>580</v>
      </c>
      <c r="AR184" s="4" t="str">
        <f>".7500"</f>
        <v>.7500</v>
      </c>
      <c r="AS184" s="4" t="str">
        <f>"7.50"</f>
        <v>7.50</v>
      </c>
      <c r="AT184" s="4" t="s">
        <v>581</v>
      </c>
      <c r="AU184" s="4" t="str">
        <f>"7.50"</f>
        <v>7.50</v>
      </c>
      <c r="AV184" s="4">
        <v>1</v>
      </c>
      <c r="AW184" s="4">
        <v>-10</v>
      </c>
      <c r="AX184" s="4">
        <v>-26.4</v>
      </c>
      <c r="AY184" s="4">
        <v>-9</v>
      </c>
      <c r="AZ184" s="4">
        <v>0</v>
      </c>
      <c r="BA184" s="4">
        <v>7.5</v>
      </c>
      <c r="BB184" s="4">
        <v>-18.899999999999999</v>
      </c>
      <c r="BC184" s="4">
        <v>7.5</v>
      </c>
      <c r="BD184" s="4">
        <v>0</v>
      </c>
    </row>
    <row r="185" spans="1:56" x14ac:dyDescent="0.2">
      <c r="A185" s="4" t="s">
        <v>558</v>
      </c>
      <c r="B185" s="4" t="s">
        <v>559</v>
      </c>
      <c r="C185" s="4" t="s">
        <v>560</v>
      </c>
      <c r="D185" s="4" t="s">
        <v>445</v>
      </c>
      <c r="E185" s="4" t="s">
        <v>561</v>
      </c>
      <c r="F185" s="4" t="s">
        <v>559</v>
      </c>
      <c r="G185" s="4" t="s">
        <v>562</v>
      </c>
      <c r="H185" s="4" t="s">
        <v>445</v>
      </c>
      <c r="I185" s="4" t="str">
        <f t="shared" si="26"/>
        <v>1010</v>
      </c>
      <c r="J185" s="4" t="s">
        <v>444</v>
      </c>
      <c r="K185" s="4" t="s">
        <v>443</v>
      </c>
      <c r="L185" s="4" t="s">
        <v>444</v>
      </c>
      <c r="M185" s="4" t="s">
        <v>445</v>
      </c>
      <c r="N185" s="4" t="s">
        <v>733</v>
      </c>
      <c r="O185" s="4" t="s">
        <v>736</v>
      </c>
      <c r="P185" s="4" t="s">
        <v>563</v>
      </c>
      <c r="Q185" s="4" t="str">
        <f>"8088216211"</f>
        <v>8088216211</v>
      </c>
      <c r="S185" s="4" t="str">
        <f>"00880882162115"</f>
        <v>00880882162115</v>
      </c>
      <c r="T185" s="24">
        <v>39465</v>
      </c>
      <c r="U185" s="24">
        <v>39465</v>
      </c>
      <c r="V185" s="24">
        <v>1</v>
      </c>
      <c r="W185" s="4" t="str">
        <f>"8088216211"</f>
        <v>8088216211</v>
      </c>
      <c r="X185" s="4" t="s">
        <v>563</v>
      </c>
      <c r="Y185" s="4" t="str">
        <f t="shared" si="29"/>
        <v>1010</v>
      </c>
      <c r="Z185" s="4" t="str">
        <f t="shared" si="33"/>
        <v>11</v>
      </c>
      <c r="AA185" s="4" t="s">
        <v>93</v>
      </c>
      <c r="AB185" s="4" t="s">
        <v>564</v>
      </c>
      <c r="AC185" s="4" t="s">
        <v>563</v>
      </c>
      <c r="AD185" s="4" t="s">
        <v>565</v>
      </c>
      <c r="AE185" s="4" t="s">
        <v>566</v>
      </c>
      <c r="AF185" s="4" t="s">
        <v>567</v>
      </c>
      <c r="AH185" s="4" t="s">
        <v>568</v>
      </c>
      <c r="AI185" s="4" t="s">
        <v>569</v>
      </c>
      <c r="AJ185" s="4" t="s">
        <v>570</v>
      </c>
      <c r="AK185" s="4" t="s">
        <v>571</v>
      </c>
      <c r="AL185" s="4" t="s">
        <v>572</v>
      </c>
      <c r="AN185" s="4" t="str">
        <f t="shared" si="32"/>
        <v>1</v>
      </c>
      <c r="AO185" s="4" t="s">
        <v>737</v>
      </c>
      <c r="AP185" s="4" t="s">
        <v>574</v>
      </c>
      <c r="AQ185" s="4" t="s">
        <v>575</v>
      </c>
      <c r="AR185" s="4" t="str">
        <f>"1.8000"</f>
        <v>1.8000</v>
      </c>
      <c r="AS185" s="4" t="str">
        <f>"8.40"</f>
        <v>8.40</v>
      </c>
      <c r="AT185" s="4" t="s">
        <v>738</v>
      </c>
      <c r="AU185" s="4" t="str">
        <f>"8.40"</f>
        <v>8.40</v>
      </c>
      <c r="AV185" s="4">
        <v>4</v>
      </c>
      <c r="AW185" s="4">
        <v>0</v>
      </c>
      <c r="AX185" s="4">
        <v>0</v>
      </c>
      <c r="AY185" s="4">
        <v>4</v>
      </c>
      <c r="AZ185" s="4">
        <v>0</v>
      </c>
      <c r="BA185" s="4">
        <v>33.6</v>
      </c>
      <c r="BB185" s="4">
        <v>33.6</v>
      </c>
      <c r="BC185" s="4">
        <v>33.6</v>
      </c>
      <c r="BD185" s="4">
        <v>0</v>
      </c>
    </row>
    <row r="186" spans="1:56" x14ac:dyDescent="0.2">
      <c r="A186" s="4" t="s">
        <v>558</v>
      </c>
      <c r="B186" s="4" t="s">
        <v>559</v>
      </c>
      <c r="C186" s="4" t="s">
        <v>560</v>
      </c>
      <c r="D186" s="4" t="s">
        <v>445</v>
      </c>
      <c r="E186" s="4" t="s">
        <v>561</v>
      </c>
      <c r="F186" s="4" t="s">
        <v>559</v>
      </c>
      <c r="G186" s="4" t="s">
        <v>562</v>
      </c>
      <c r="H186" s="4" t="s">
        <v>445</v>
      </c>
      <c r="I186" s="4" t="str">
        <f t="shared" si="26"/>
        <v>1010</v>
      </c>
      <c r="J186" s="4" t="s">
        <v>444</v>
      </c>
      <c r="K186" s="4" t="s">
        <v>443</v>
      </c>
      <c r="L186" s="4" t="s">
        <v>444</v>
      </c>
      <c r="M186" s="4" t="s">
        <v>445</v>
      </c>
      <c r="N186" s="4" t="s">
        <v>739</v>
      </c>
      <c r="O186" s="4" t="s">
        <v>499</v>
      </c>
      <c r="P186" s="4" t="s">
        <v>563</v>
      </c>
      <c r="Q186" s="4" t="str">
        <f>"8088217111"</f>
        <v>8088217111</v>
      </c>
      <c r="S186" s="4" t="str">
        <f>"00880882171117"</f>
        <v>00880882171117</v>
      </c>
      <c r="T186" s="24">
        <v>40319</v>
      </c>
      <c r="U186" s="24">
        <v>40319</v>
      </c>
      <c r="V186" s="24">
        <v>1</v>
      </c>
      <c r="W186" s="4" t="str">
        <f>"8088217111"</f>
        <v>8088217111</v>
      </c>
      <c r="X186" s="4" t="s">
        <v>563</v>
      </c>
      <c r="Y186" s="4" t="str">
        <f t="shared" si="29"/>
        <v>1010</v>
      </c>
      <c r="Z186" s="4" t="str">
        <f t="shared" si="33"/>
        <v>11</v>
      </c>
      <c r="AA186" s="4" t="s">
        <v>93</v>
      </c>
      <c r="AB186" s="4" t="s">
        <v>564</v>
      </c>
      <c r="AC186" s="4" t="s">
        <v>563</v>
      </c>
      <c r="AD186" s="4" t="s">
        <v>565</v>
      </c>
      <c r="AE186" s="4" t="s">
        <v>566</v>
      </c>
      <c r="AF186" s="4" t="s">
        <v>567</v>
      </c>
      <c r="AH186" s="4" t="s">
        <v>568</v>
      </c>
      <c r="AI186" s="4" t="s">
        <v>569</v>
      </c>
      <c r="AJ186" s="4" t="s">
        <v>570</v>
      </c>
      <c r="AK186" s="4" t="s">
        <v>571</v>
      </c>
      <c r="AL186" s="4" t="s">
        <v>572</v>
      </c>
      <c r="AN186" s="4" t="str">
        <f>"2"</f>
        <v>2</v>
      </c>
      <c r="AO186" s="4" t="s">
        <v>583</v>
      </c>
      <c r="AP186" s="4" t="s">
        <v>574</v>
      </c>
      <c r="AQ186" s="4" t="s">
        <v>575</v>
      </c>
      <c r="AR186" s="4" t="str">
        <f>"1.8000"</f>
        <v>1.8000</v>
      </c>
      <c r="AS186" s="4" t="str">
        <f>"11.59"</f>
        <v>11.59</v>
      </c>
      <c r="AT186" s="4" t="s">
        <v>585</v>
      </c>
      <c r="AU186" s="4" t="str">
        <f>"11.59"</f>
        <v>11.59</v>
      </c>
      <c r="AV186" s="4">
        <v>24</v>
      </c>
      <c r="AW186" s="4">
        <v>0</v>
      </c>
      <c r="AX186" s="4">
        <v>0</v>
      </c>
      <c r="AY186" s="4">
        <v>24</v>
      </c>
      <c r="AZ186" s="4">
        <v>0</v>
      </c>
      <c r="BA186" s="4">
        <v>276.42</v>
      </c>
      <c r="BB186" s="4">
        <v>276.42</v>
      </c>
      <c r="BC186" s="4">
        <v>276.42</v>
      </c>
      <c r="BD186" s="4">
        <v>0</v>
      </c>
    </row>
    <row r="187" spans="1:56" x14ac:dyDescent="0.2">
      <c r="A187" s="4" t="s">
        <v>558</v>
      </c>
      <c r="B187" s="4" t="s">
        <v>559</v>
      </c>
      <c r="C187" s="4" t="s">
        <v>560</v>
      </c>
      <c r="D187" s="4" t="s">
        <v>445</v>
      </c>
      <c r="E187" s="4" t="s">
        <v>561</v>
      </c>
      <c r="F187" s="4" t="s">
        <v>559</v>
      </c>
      <c r="G187" s="4" t="s">
        <v>562</v>
      </c>
      <c r="H187" s="4" t="s">
        <v>445</v>
      </c>
      <c r="I187" s="4" t="str">
        <f t="shared" si="26"/>
        <v>1010</v>
      </c>
      <c r="J187" s="4" t="s">
        <v>444</v>
      </c>
      <c r="K187" s="4" t="s">
        <v>443</v>
      </c>
      <c r="L187" s="4" t="s">
        <v>444</v>
      </c>
      <c r="M187" s="4" t="s">
        <v>445</v>
      </c>
      <c r="N187" s="4" t="s">
        <v>739</v>
      </c>
      <c r="O187" s="4" t="s">
        <v>499</v>
      </c>
      <c r="P187" s="4" t="s">
        <v>563</v>
      </c>
      <c r="Q187" s="4" t="str">
        <f>"8088217112"</f>
        <v>8088217112</v>
      </c>
      <c r="S187" s="4" t="str">
        <f>"00880882171124"</f>
        <v>00880882171124</v>
      </c>
      <c r="T187" s="24">
        <v>40319</v>
      </c>
      <c r="U187" s="24">
        <v>40319</v>
      </c>
      <c r="V187" s="24">
        <v>1</v>
      </c>
      <c r="W187" s="4" t="str">
        <f>"8088217112"</f>
        <v>8088217112</v>
      </c>
      <c r="X187" s="4" t="s">
        <v>563</v>
      </c>
      <c r="Y187" s="4" t="str">
        <f t="shared" si="29"/>
        <v>1010</v>
      </c>
      <c r="Z187" s="4" t="str">
        <f t="shared" si="33"/>
        <v>11</v>
      </c>
      <c r="AA187" s="4" t="s">
        <v>93</v>
      </c>
      <c r="AB187" s="4" t="s">
        <v>564</v>
      </c>
      <c r="AC187" s="4" t="s">
        <v>563</v>
      </c>
      <c r="AD187" s="4" t="s">
        <v>565</v>
      </c>
      <c r="AE187" s="4" t="s">
        <v>566</v>
      </c>
      <c r="AF187" s="4" t="s">
        <v>567</v>
      </c>
      <c r="AH187" s="4" t="s">
        <v>568</v>
      </c>
      <c r="AI187" s="4" t="s">
        <v>569</v>
      </c>
      <c r="AJ187" s="4" t="s">
        <v>570</v>
      </c>
      <c r="AK187" s="4" t="s">
        <v>577</v>
      </c>
      <c r="AL187" s="4" t="s">
        <v>578</v>
      </c>
      <c r="AN187" s="4" t="str">
        <f>"1"</f>
        <v>1</v>
      </c>
      <c r="AO187" s="4" t="s">
        <v>579</v>
      </c>
      <c r="AP187" s="4" t="s">
        <v>574</v>
      </c>
      <c r="AQ187" s="4" t="s">
        <v>580</v>
      </c>
      <c r="AR187" s="4" t="str">
        <f>".7500"</f>
        <v>.7500</v>
      </c>
      <c r="AS187" s="4" t="str">
        <f>"7.50"</f>
        <v>7.50</v>
      </c>
      <c r="AT187" s="4" t="s">
        <v>581</v>
      </c>
      <c r="AU187" s="4" t="str">
        <f>"7.50"</f>
        <v>7.50</v>
      </c>
      <c r="AV187" s="4">
        <v>71</v>
      </c>
      <c r="AW187" s="4">
        <v>-27</v>
      </c>
      <c r="AX187" s="4">
        <v>-197.95</v>
      </c>
      <c r="AY187" s="4">
        <v>44</v>
      </c>
      <c r="AZ187" s="4">
        <v>6.9</v>
      </c>
      <c r="BA187" s="4">
        <v>532.52</v>
      </c>
      <c r="BB187" s="4">
        <v>327.67</v>
      </c>
      <c r="BC187" s="4">
        <v>525.62</v>
      </c>
      <c r="BD187" s="4">
        <v>0</v>
      </c>
    </row>
    <row r="188" spans="1:56" x14ac:dyDescent="0.2">
      <c r="A188" s="4" t="s">
        <v>558</v>
      </c>
      <c r="B188" s="4" t="s">
        <v>559</v>
      </c>
      <c r="C188" s="4" t="s">
        <v>560</v>
      </c>
      <c r="D188" s="4" t="s">
        <v>445</v>
      </c>
      <c r="E188" s="4" t="s">
        <v>561</v>
      </c>
      <c r="F188" s="4" t="s">
        <v>559</v>
      </c>
      <c r="G188" s="4" t="s">
        <v>562</v>
      </c>
      <c r="H188" s="4" t="s">
        <v>445</v>
      </c>
      <c r="I188" s="4" t="str">
        <f t="shared" si="26"/>
        <v>1010</v>
      </c>
      <c r="J188" s="4" t="s">
        <v>444</v>
      </c>
      <c r="K188" s="4" t="s">
        <v>443</v>
      </c>
      <c r="L188" s="4" t="s">
        <v>444</v>
      </c>
      <c r="M188" s="4" t="s">
        <v>445</v>
      </c>
      <c r="N188" s="4" t="s">
        <v>739</v>
      </c>
      <c r="O188" s="4" t="s">
        <v>740</v>
      </c>
      <c r="P188" s="4" t="s">
        <v>563</v>
      </c>
      <c r="Q188" s="4" t="str">
        <f>"8088217171"</f>
        <v>8088217171</v>
      </c>
      <c r="S188" s="4" t="str">
        <f>"00880882171711"</f>
        <v>00880882171711</v>
      </c>
      <c r="T188" s="24">
        <v>40445</v>
      </c>
      <c r="U188" s="24">
        <v>40445</v>
      </c>
      <c r="V188" s="24">
        <v>1</v>
      </c>
      <c r="W188" s="4" t="str">
        <f>"8088217171"</f>
        <v>8088217171</v>
      </c>
      <c r="X188" s="4" t="s">
        <v>563</v>
      </c>
      <c r="Y188" s="4" t="str">
        <f t="shared" si="29"/>
        <v>1010</v>
      </c>
      <c r="Z188" s="4" t="str">
        <f t="shared" si="33"/>
        <v>11</v>
      </c>
      <c r="AA188" s="4" t="s">
        <v>93</v>
      </c>
      <c r="AB188" s="4" t="s">
        <v>564</v>
      </c>
      <c r="AC188" s="4" t="s">
        <v>563</v>
      </c>
      <c r="AD188" s="4" t="s">
        <v>565</v>
      </c>
      <c r="AE188" s="4" t="s">
        <v>566</v>
      </c>
      <c r="AF188" s="4" t="s">
        <v>567</v>
      </c>
      <c r="AH188" s="4" t="s">
        <v>568</v>
      </c>
      <c r="AI188" s="4" t="s">
        <v>569</v>
      </c>
      <c r="AJ188" s="4" t="s">
        <v>570</v>
      </c>
      <c r="AK188" s="4" t="s">
        <v>571</v>
      </c>
      <c r="AL188" s="4" t="s">
        <v>572</v>
      </c>
      <c r="AN188" s="4" t="str">
        <f>"3"</f>
        <v>3</v>
      </c>
      <c r="AO188" s="4" t="s">
        <v>583</v>
      </c>
      <c r="AP188" s="4" t="s">
        <v>574</v>
      </c>
      <c r="AQ188" s="4" t="s">
        <v>575</v>
      </c>
      <c r="AR188" s="4" t="str">
        <f>"1.8000"</f>
        <v>1.8000</v>
      </c>
      <c r="AS188" s="4" t="str">
        <f>"11.59"</f>
        <v>11.59</v>
      </c>
      <c r="AT188" s="4" t="s">
        <v>585</v>
      </c>
      <c r="AU188" s="4" t="str">
        <f>"11.59"</f>
        <v>11.59</v>
      </c>
      <c r="AV188" s="4">
        <v>54</v>
      </c>
      <c r="AW188" s="4">
        <v>0</v>
      </c>
      <c r="AX188" s="4">
        <v>0</v>
      </c>
      <c r="AY188" s="4">
        <v>54</v>
      </c>
      <c r="AZ188" s="4">
        <v>0</v>
      </c>
      <c r="BA188" s="4">
        <v>622.38</v>
      </c>
      <c r="BB188" s="4">
        <v>622.38</v>
      </c>
      <c r="BC188" s="4">
        <v>622.38</v>
      </c>
      <c r="BD188" s="4">
        <v>0</v>
      </c>
    </row>
    <row r="189" spans="1:56" x14ac:dyDescent="0.2">
      <c r="A189" s="4" t="s">
        <v>558</v>
      </c>
      <c r="B189" s="4" t="s">
        <v>559</v>
      </c>
      <c r="C189" s="4" t="s">
        <v>560</v>
      </c>
      <c r="D189" s="4" t="s">
        <v>445</v>
      </c>
      <c r="E189" s="4" t="s">
        <v>561</v>
      </c>
      <c r="F189" s="4" t="s">
        <v>559</v>
      </c>
      <c r="G189" s="4" t="s">
        <v>562</v>
      </c>
      <c r="H189" s="4" t="s">
        <v>445</v>
      </c>
      <c r="I189" s="4" t="str">
        <f t="shared" si="26"/>
        <v>1010</v>
      </c>
      <c r="J189" s="4" t="s">
        <v>444</v>
      </c>
      <c r="K189" s="4" t="s">
        <v>443</v>
      </c>
      <c r="L189" s="4" t="s">
        <v>444</v>
      </c>
      <c r="M189" s="4" t="s">
        <v>445</v>
      </c>
      <c r="N189" s="4" t="s">
        <v>739</v>
      </c>
      <c r="O189" s="4" t="s">
        <v>740</v>
      </c>
      <c r="P189" s="4" t="s">
        <v>563</v>
      </c>
      <c r="Q189" s="4" t="str">
        <f>"8088217172"</f>
        <v>8088217172</v>
      </c>
      <c r="S189" s="4" t="str">
        <f>"00880882171728"</f>
        <v>00880882171728</v>
      </c>
      <c r="T189" s="24">
        <v>40445</v>
      </c>
      <c r="U189" s="24">
        <v>40445</v>
      </c>
      <c r="V189" s="24">
        <v>1</v>
      </c>
      <c r="W189" s="4" t="str">
        <f>"8088217172"</f>
        <v>8088217172</v>
      </c>
      <c r="X189" s="4" t="s">
        <v>563</v>
      </c>
      <c r="Y189" s="4" t="str">
        <f t="shared" si="29"/>
        <v>1010</v>
      </c>
      <c r="Z189" s="4" t="str">
        <f t="shared" si="33"/>
        <v>11</v>
      </c>
      <c r="AA189" s="4" t="s">
        <v>93</v>
      </c>
      <c r="AB189" s="4" t="s">
        <v>564</v>
      </c>
      <c r="AC189" s="4" t="s">
        <v>563</v>
      </c>
      <c r="AD189" s="4" t="s">
        <v>565</v>
      </c>
      <c r="AE189" s="4" t="s">
        <v>566</v>
      </c>
      <c r="AF189" s="4" t="s">
        <v>567</v>
      </c>
      <c r="AH189" s="4" t="s">
        <v>568</v>
      </c>
      <c r="AI189" s="4" t="s">
        <v>569</v>
      </c>
      <c r="AJ189" s="4" t="s">
        <v>570</v>
      </c>
      <c r="AK189" s="4" t="s">
        <v>577</v>
      </c>
      <c r="AL189" s="4" t="s">
        <v>578</v>
      </c>
      <c r="AN189" s="4" t="str">
        <f>"1"</f>
        <v>1</v>
      </c>
      <c r="AO189" s="4" t="s">
        <v>606</v>
      </c>
      <c r="AP189" s="4" t="s">
        <v>574</v>
      </c>
      <c r="AQ189" s="4" t="s">
        <v>575</v>
      </c>
      <c r="AR189" s="4" t="str">
        <f t="shared" ref="AR189:AR206" si="34">".7500"</f>
        <v>.7500</v>
      </c>
      <c r="AS189" s="4" t="str">
        <f>"9.07"</f>
        <v>9.07</v>
      </c>
      <c r="AT189" s="4" t="s">
        <v>607</v>
      </c>
      <c r="AU189" s="4" t="str">
        <f>"9.07"</f>
        <v>9.07</v>
      </c>
      <c r="AV189" s="4">
        <v>13</v>
      </c>
      <c r="AW189" s="4">
        <v>-8</v>
      </c>
      <c r="AX189" s="4">
        <v>-69.760000000000005</v>
      </c>
      <c r="AY189" s="4">
        <v>5</v>
      </c>
      <c r="AZ189" s="4">
        <v>9.39</v>
      </c>
      <c r="BA189" s="4">
        <v>117.94</v>
      </c>
      <c r="BB189" s="4">
        <v>38.79</v>
      </c>
      <c r="BC189" s="4">
        <v>108.55</v>
      </c>
      <c r="BD189" s="4">
        <v>0</v>
      </c>
    </row>
    <row r="190" spans="1:56" x14ac:dyDescent="0.2">
      <c r="A190" s="4" t="s">
        <v>558</v>
      </c>
      <c r="B190" s="4" t="s">
        <v>559</v>
      </c>
      <c r="C190" s="4" t="s">
        <v>560</v>
      </c>
      <c r="D190" s="4" t="s">
        <v>445</v>
      </c>
      <c r="E190" s="4" t="s">
        <v>561</v>
      </c>
      <c r="F190" s="4" t="s">
        <v>559</v>
      </c>
      <c r="G190" s="4" t="s">
        <v>562</v>
      </c>
      <c r="H190" s="4" t="s">
        <v>445</v>
      </c>
      <c r="I190" s="4" t="str">
        <f t="shared" si="26"/>
        <v>1010</v>
      </c>
      <c r="J190" s="4" t="s">
        <v>444</v>
      </c>
      <c r="K190" s="4" t="s">
        <v>443</v>
      </c>
      <c r="L190" s="4" t="s">
        <v>444</v>
      </c>
      <c r="M190" s="4" t="s">
        <v>445</v>
      </c>
      <c r="N190" s="4" t="s">
        <v>741</v>
      </c>
      <c r="O190" s="4" t="s">
        <v>742</v>
      </c>
      <c r="P190" s="4" t="s">
        <v>563</v>
      </c>
      <c r="Q190" s="4" t="str">
        <f>"8088216672"</f>
        <v>8088216672</v>
      </c>
      <c r="S190" s="4" t="str">
        <f>"00880882166724"</f>
        <v>00880882166724</v>
      </c>
      <c r="T190" s="24">
        <v>40025</v>
      </c>
      <c r="U190" s="24">
        <v>40025</v>
      </c>
      <c r="V190" s="24">
        <v>1</v>
      </c>
      <c r="W190" s="4" t="str">
        <f>"8088216672"</f>
        <v>8088216672</v>
      </c>
      <c r="X190" s="4" t="s">
        <v>563</v>
      </c>
      <c r="Y190" s="4" t="str">
        <f t="shared" si="29"/>
        <v>1010</v>
      </c>
      <c r="Z190" s="4" t="str">
        <f t="shared" si="33"/>
        <v>11</v>
      </c>
      <c r="AA190" s="4" t="s">
        <v>93</v>
      </c>
      <c r="AB190" s="4" t="s">
        <v>564</v>
      </c>
      <c r="AC190" s="4" t="s">
        <v>563</v>
      </c>
      <c r="AD190" s="4" t="s">
        <v>565</v>
      </c>
      <c r="AE190" s="4" t="s">
        <v>566</v>
      </c>
      <c r="AF190" s="4" t="s">
        <v>567</v>
      </c>
      <c r="AH190" s="4" t="s">
        <v>568</v>
      </c>
      <c r="AI190" s="4" t="s">
        <v>589</v>
      </c>
      <c r="AJ190" s="4" t="s">
        <v>590</v>
      </c>
      <c r="AK190" s="4" t="s">
        <v>577</v>
      </c>
      <c r="AL190" s="4" t="s">
        <v>578</v>
      </c>
      <c r="AN190" s="4" t="str">
        <f>"1"</f>
        <v>1</v>
      </c>
      <c r="AO190" s="4" t="s">
        <v>686</v>
      </c>
      <c r="AP190" s="4" t="s">
        <v>574</v>
      </c>
      <c r="AQ190" s="4" t="s">
        <v>687</v>
      </c>
      <c r="AR190" s="4" t="str">
        <f t="shared" si="34"/>
        <v>.7500</v>
      </c>
      <c r="AS190" s="4" t="str">
        <f>"4.75"</f>
        <v>4.75</v>
      </c>
      <c r="AT190" s="4" t="s">
        <v>688</v>
      </c>
      <c r="AU190" s="4" t="str">
        <f>"4.75"</f>
        <v>4.75</v>
      </c>
      <c r="AV190" s="4">
        <v>25</v>
      </c>
      <c r="AW190" s="4">
        <v>-41</v>
      </c>
      <c r="AX190" s="4">
        <v>-180.75</v>
      </c>
      <c r="AY190" s="4">
        <v>-16</v>
      </c>
      <c r="AZ190" s="4">
        <v>2.19</v>
      </c>
      <c r="BA190" s="4">
        <v>118.74</v>
      </c>
      <c r="BB190" s="4">
        <v>-64.2</v>
      </c>
      <c r="BC190" s="4">
        <v>116.55</v>
      </c>
      <c r="BD190" s="4">
        <v>0</v>
      </c>
    </row>
    <row r="191" spans="1:56" x14ac:dyDescent="0.2">
      <c r="A191" s="4" t="s">
        <v>558</v>
      </c>
      <c r="B191" s="4" t="s">
        <v>559</v>
      </c>
      <c r="C191" s="4" t="s">
        <v>560</v>
      </c>
      <c r="D191" s="4" t="s">
        <v>445</v>
      </c>
      <c r="E191" s="4" t="s">
        <v>561</v>
      </c>
      <c r="F191" s="4" t="s">
        <v>559</v>
      </c>
      <c r="G191" s="4" t="s">
        <v>562</v>
      </c>
      <c r="H191" s="4" t="s">
        <v>445</v>
      </c>
      <c r="I191" s="4" t="str">
        <f t="shared" si="26"/>
        <v>1010</v>
      </c>
      <c r="J191" s="4" t="s">
        <v>743</v>
      </c>
      <c r="K191" s="4" t="s">
        <v>744</v>
      </c>
      <c r="L191" s="4" t="s">
        <v>743</v>
      </c>
      <c r="M191" s="4" t="s">
        <v>745</v>
      </c>
      <c r="N191" s="4" t="s">
        <v>746</v>
      </c>
      <c r="O191" s="4" t="s">
        <v>747</v>
      </c>
      <c r="P191" s="4" t="s">
        <v>563</v>
      </c>
      <c r="Q191" s="4" t="str">
        <f>"8088217702"</f>
        <v>8088217702</v>
      </c>
      <c r="S191" s="4" t="str">
        <f>"00880882177027"</f>
        <v>00880882177027</v>
      </c>
      <c r="T191" s="24">
        <v>40823</v>
      </c>
      <c r="U191" s="24">
        <v>40823</v>
      </c>
      <c r="V191" s="24">
        <v>1</v>
      </c>
      <c r="W191" s="4" t="str">
        <f>"8088217702"</f>
        <v>8088217702</v>
      </c>
      <c r="X191" s="4" t="s">
        <v>563</v>
      </c>
      <c r="Y191" s="4" t="str">
        <f t="shared" si="29"/>
        <v>1010</v>
      </c>
      <c r="Z191" s="4" t="str">
        <f t="shared" si="33"/>
        <v>11</v>
      </c>
      <c r="AA191" s="4" t="s">
        <v>93</v>
      </c>
      <c r="AB191" s="4" t="s">
        <v>564</v>
      </c>
      <c r="AC191" s="4" t="s">
        <v>563</v>
      </c>
      <c r="AD191" s="4" t="s">
        <v>565</v>
      </c>
      <c r="AE191" s="4" t="s">
        <v>566</v>
      </c>
      <c r="AF191" s="4" t="s">
        <v>567</v>
      </c>
      <c r="AH191" s="4" t="s">
        <v>568</v>
      </c>
      <c r="AI191" s="4" t="s">
        <v>569</v>
      </c>
      <c r="AJ191" s="4" t="s">
        <v>570</v>
      </c>
      <c r="AK191" s="4" t="s">
        <v>577</v>
      </c>
      <c r="AL191" s="4" t="s">
        <v>578</v>
      </c>
      <c r="AN191" s="4" t="str">
        <f>"2"</f>
        <v>2</v>
      </c>
      <c r="AO191" s="4" t="s">
        <v>606</v>
      </c>
      <c r="AP191" s="4" t="s">
        <v>574</v>
      </c>
      <c r="AQ191" s="4" t="s">
        <v>575</v>
      </c>
      <c r="AR191" s="4" t="str">
        <f t="shared" si="34"/>
        <v>.7500</v>
      </c>
      <c r="AS191" s="4" t="str">
        <f>"9.07"</f>
        <v>9.07</v>
      </c>
      <c r="AT191" s="4" t="s">
        <v>607</v>
      </c>
      <c r="AU191" s="4" t="str">
        <f>"9.07"</f>
        <v>9.07</v>
      </c>
      <c r="AV191" s="4">
        <v>7</v>
      </c>
      <c r="AW191" s="4">
        <v>0</v>
      </c>
      <c r="AX191" s="4">
        <v>0</v>
      </c>
      <c r="AY191" s="4">
        <v>7</v>
      </c>
      <c r="AZ191" s="4">
        <v>3.13</v>
      </c>
      <c r="BA191" s="4">
        <v>63.5</v>
      </c>
      <c r="BB191" s="4">
        <v>60.37</v>
      </c>
      <c r="BC191" s="4">
        <v>60.37</v>
      </c>
      <c r="BD191" s="4">
        <v>0</v>
      </c>
    </row>
    <row r="192" spans="1:56" x14ac:dyDescent="0.2">
      <c r="A192" s="4" t="s">
        <v>558</v>
      </c>
      <c r="B192" s="4" t="s">
        <v>559</v>
      </c>
      <c r="C192" s="4" t="s">
        <v>560</v>
      </c>
      <c r="D192" s="4" t="s">
        <v>445</v>
      </c>
      <c r="E192" s="4" t="s">
        <v>561</v>
      </c>
      <c r="F192" s="4" t="s">
        <v>559</v>
      </c>
      <c r="G192" s="4" t="s">
        <v>562</v>
      </c>
      <c r="H192" s="4" t="s">
        <v>445</v>
      </c>
      <c r="I192" s="4" t="str">
        <f t="shared" si="26"/>
        <v>1010</v>
      </c>
      <c r="J192" s="4" t="s">
        <v>743</v>
      </c>
      <c r="K192" s="4" t="s">
        <v>744</v>
      </c>
      <c r="L192" s="4" t="s">
        <v>743</v>
      </c>
      <c r="M192" s="4" t="s">
        <v>745</v>
      </c>
      <c r="N192" s="4" t="s">
        <v>746</v>
      </c>
      <c r="O192" s="4" t="s">
        <v>748</v>
      </c>
      <c r="P192" s="4" t="s">
        <v>563</v>
      </c>
      <c r="Q192" s="4" t="str">
        <f>"8088217692"</f>
        <v>8088217692</v>
      </c>
      <c r="S192" s="4" t="str">
        <f>"00880882176921"</f>
        <v>00880882176921</v>
      </c>
      <c r="T192" s="24">
        <v>40823</v>
      </c>
      <c r="U192" s="24">
        <v>40823</v>
      </c>
      <c r="V192" s="24">
        <v>1</v>
      </c>
      <c r="W192" s="4" t="str">
        <f>"8088217692"</f>
        <v>8088217692</v>
      </c>
      <c r="X192" s="4" t="s">
        <v>563</v>
      </c>
      <c r="Y192" s="4" t="str">
        <f t="shared" si="29"/>
        <v>1010</v>
      </c>
      <c r="Z192" s="4" t="str">
        <f t="shared" si="33"/>
        <v>11</v>
      </c>
      <c r="AA192" s="4" t="s">
        <v>93</v>
      </c>
      <c r="AB192" s="4" t="s">
        <v>564</v>
      </c>
      <c r="AC192" s="4" t="s">
        <v>563</v>
      </c>
      <c r="AD192" s="4" t="s">
        <v>565</v>
      </c>
      <c r="AE192" s="4" t="s">
        <v>566</v>
      </c>
      <c r="AF192" s="4" t="s">
        <v>567</v>
      </c>
      <c r="AH192" s="4" t="s">
        <v>568</v>
      </c>
      <c r="AI192" s="4" t="s">
        <v>569</v>
      </c>
      <c r="AJ192" s="4" t="s">
        <v>570</v>
      </c>
      <c r="AK192" s="4" t="s">
        <v>577</v>
      </c>
      <c r="AL192" s="4" t="s">
        <v>578</v>
      </c>
      <c r="AN192" s="4" t="str">
        <f>"2"</f>
        <v>2</v>
      </c>
      <c r="AO192" s="4" t="s">
        <v>606</v>
      </c>
      <c r="AP192" s="4" t="s">
        <v>574</v>
      </c>
      <c r="AQ192" s="4" t="s">
        <v>575</v>
      </c>
      <c r="AR192" s="4" t="str">
        <f t="shared" si="34"/>
        <v>.7500</v>
      </c>
      <c r="AS192" s="4" t="str">
        <f>"9.07"</f>
        <v>9.07</v>
      </c>
      <c r="AT192" s="4" t="s">
        <v>607</v>
      </c>
      <c r="AU192" s="4" t="str">
        <f>"9.07"</f>
        <v>9.07</v>
      </c>
      <c r="AV192" s="4">
        <v>9</v>
      </c>
      <c r="AW192" s="4">
        <v>-9</v>
      </c>
      <c r="AX192" s="4">
        <v>-81.28</v>
      </c>
      <c r="AY192" s="4">
        <v>0</v>
      </c>
      <c r="AZ192" s="4">
        <v>5.2</v>
      </c>
      <c r="BA192" s="4">
        <v>81.63</v>
      </c>
      <c r="BB192" s="4">
        <v>-4.8499999999999899</v>
      </c>
      <c r="BC192" s="4">
        <v>76.430000000000007</v>
      </c>
      <c r="BD192" s="4">
        <v>0</v>
      </c>
    </row>
    <row r="193" spans="1:56" x14ac:dyDescent="0.2">
      <c r="A193" s="4" t="s">
        <v>558</v>
      </c>
      <c r="B193" s="4" t="s">
        <v>559</v>
      </c>
      <c r="C193" s="4" t="s">
        <v>560</v>
      </c>
      <c r="D193" s="4" t="s">
        <v>445</v>
      </c>
      <c r="E193" s="4" t="s">
        <v>561</v>
      </c>
      <c r="F193" s="4" t="s">
        <v>559</v>
      </c>
      <c r="G193" s="4" t="s">
        <v>562</v>
      </c>
      <c r="H193" s="4" t="s">
        <v>445</v>
      </c>
      <c r="I193" s="4" t="str">
        <f t="shared" si="26"/>
        <v>1010</v>
      </c>
      <c r="J193" s="4" t="s">
        <v>743</v>
      </c>
      <c r="K193" s="4" t="s">
        <v>744</v>
      </c>
      <c r="L193" s="4" t="s">
        <v>743</v>
      </c>
      <c r="M193" s="4" t="s">
        <v>745</v>
      </c>
      <c r="N193" s="4" t="s">
        <v>746</v>
      </c>
      <c r="O193" s="4" t="s">
        <v>749</v>
      </c>
      <c r="P193" s="4" t="s">
        <v>563</v>
      </c>
      <c r="Q193" s="4" t="str">
        <f>"8088217712"</f>
        <v>8088217712</v>
      </c>
      <c r="S193" s="4" t="str">
        <f>"00880882177126"</f>
        <v>00880882177126</v>
      </c>
      <c r="T193" s="24">
        <v>40823</v>
      </c>
      <c r="U193" s="24">
        <v>40823</v>
      </c>
      <c r="V193" s="24">
        <v>1</v>
      </c>
      <c r="W193" s="4" t="str">
        <f>"8088217712"</f>
        <v>8088217712</v>
      </c>
      <c r="X193" s="4" t="s">
        <v>563</v>
      </c>
      <c r="Y193" s="4" t="str">
        <f t="shared" si="29"/>
        <v>1010</v>
      </c>
      <c r="Z193" s="4" t="str">
        <f t="shared" si="33"/>
        <v>11</v>
      </c>
      <c r="AA193" s="4" t="s">
        <v>93</v>
      </c>
      <c r="AB193" s="4" t="s">
        <v>564</v>
      </c>
      <c r="AC193" s="4" t="s">
        <v>563</v>
      </c>
      <c r="AD193" s="4" t="s">
        <v>565</v>
      </c>
      <c r="AE193" s="4" t="s">
        <v>566</v>
      </c>
      <c r="AF193" s="4" t="s">
        <v>567</v>
      </c>
      <c r="AH193" s="4" t="s">
        <v>568</v>
      </c>
      <c r="AI193" s="4" t="s">
        <v>569</v>
      </c>
      <c r="AJ193" s="4" t="s">
        <v>570</v>
      </c>
      <c r="AK193" s="4" t="s">
        <v>577</v>
      </c>
      <c r="AL193" s="4" t="s">
        <v>578</v>
      </c>
      <c r="AN193" s="4" t="str">
        <f>"4"</f>
        <v>4</v>
      </c>
      <c r="AO193" s="4" t="s">
        <v>750</v>
      </c>
      <c r="AP193" s="4" t="s">
        <v>574</v>
      </c>
      <c r="AQ193" s="4" t="s">
        <v>575</v>
      </c>
      <c r="AR193" s="4" t="str">
        <f t="shared" si="34"/>
        <v>.7500</v>
      </c>
      <c r="AS193" s="4" t="str">
        <f>"12.02"</f>
        <v>12.02</v>
      </c>
      <c r="AT193" s="4" t="s">
        <v>751</v>
      </c>
      <c r="AU193" s="4" t="str">
        <f>"12.02"</f>
        <v>12.02</v>
      </c>
      <c r="AV193" s="4">
        <v>44</v>
      </c>
      <c r="AW193" s="4">
        <v>-14</v>
      </c>
      <c r="AX193" s="4">
        <v>-168.28</v>
      </c>
      <c r="AY193" s="4">
        <v>30</v>
      </c>
      <c r="AZ193" s="4">
        <v>24.89</v>
      </c>
      <c r="BA193" s="4">
        <v>528.92999999999995</v>
      </c>
      <c r="BB193" s="4">
        <v>335.76</v>
      </c>
      <c r="BC193" s="4">
        <v>504.04</v>
      </c>
      <c r="BD193" s="4">
        <v>0</v>
      </c>
    </row>
    <row r="194" spans="1:56" x14ac:dyDescent="0.2">
      <c r="A194" s="4" t="s">
        <v>558</v>
      </c>
      <c r="B194" s="4" t="s">
        <v>559</v>
      </c>
      <c r="C194" s="4" t="s">
        <v>560</v>
      </c>
      <c r="D194" s="4" t="s">
        <v>445</v>
      </c>
      <c r="E194" s="4" t="s">
        <v>561</v>
      </c>
      <c r="F194" s="4" t="s">
        <v>559</v>
      </c>
      <c r="G194" s="4" t="s">
        <v>562</v>
      </c>
      <c r="H194" s="4" t="s">
        <v>445</v>
      </c>
      <c r="I194" s="4" t="str">
        <f t="shared" si="26"/>
        <v>1010</v>
      </c>
      <c r="J194" s="4" t="s">
        <v>743</v>
      </c>
      <c r="K194" s="4" t="s">
        <v>744</v>
      </c>
      <c r="L194" s="4" t="s">
        <v>743</v>
      </c>
      <c r="M194" s="4" t="s">
        <v>745</v>
      </c>
      <c r="N194" s="4" t="s">
        <v>746</v>
      </c>
      <c r="O194" s="4" t="s">
        <v>752</v>
      </c>
      <c r="P194" s="4" t="s">
        <v>563</v>
      </c>
      <c r="Q194" s="4" t="str">
        <f>"8088217682"</f>
        <v>8088217682</v>
      </c>
      <c r="S194" s="4" t="str">
        <f>"00880882176822"</f>
        <v>00880882176822</v>
      </c>
      <c r="T194" s="24">
        <v>40823</v>
      </c>
      <c r="U194" s="24">
        <v>40823</v>
      </c>
      <c r="V194" s="24">
        <v>1</v>
      </c>
      <c r="W194" s="4" t="str">
        <f>"8088217682"</f>
        <v>8088217682</v>
      </c>
      <c r="X194" s="4" t="s">
        <v>563</v>
      </c>
      <c r="Y194" s="4" t="str">
        <f t="shared" si="29"/>
        <v>1010</v>
      </c>
      <c r="Z194" s="4" t="str">
        <f t="shared" si="33"/>
        <v>11</v>
      </c>
      <c r="AA194" s="4" t="s">
        <v>93</v>
      </c>
      <c r="AB194" s="4" t="s">
        <v>564</v>
      </c>
      <c r="AC194" s="4" t="s">
        <v>563</v>
      </c>
      <c r="AD194" s="4" t="s">
        <v>565</v>
      </c>
      <c r="AE194" s="4" t="s">
        <v>566</v>
      </c>
      <c r="AF194" s="4" t="s">
        <v>567</v>
      </c>
      <c r="AH194" s="4" t="s">
        <v>568</v>
      </c>
      <c r="AI194" s="4" t="s">
        <v>569</v>
      </c>
      <c r="AJ194" s="4" t="s">
        <v>570</v>
      </c>
      <c r="AK194" s="4" t="s">
        <v>577</v>
      </c>
      <c r="AL194" s="4" t="s">
        <v>578</v>
      </c>
      <c r="AN194" s="4" t="str">
        <f t="shared" ref="AN194:AN206" si="35">"1"</f>
        <v>1</v>
      </c>
      <c r="AO194" s="4" t="s">
        <v>579</v>
      </c>
      <c r="AP194" s="4" t="s">
        <v>574</v>
      </c>
      <c r="AQ194" s="4" t="s">
        <v>580</v>
      </c>
      <c r="AR194" s="4" t="str">
        <f t="shared" si="34"/>
        <v>.7500</v>
      </c>
      <c r="AS194" s="4" t="str">
        <f t="shared" ref="AS194:AS199" si="36">"7.50"</f>
        <v>7.50</v>
      </c>
      <c r="AT194" s="4" t="s">
        <v>581</v>
      </c>
      <c r="AU194" s="4" t="str">
        <f t="shared" ref="AU194:AU199" si="37">"7.50"</f>
        <v>7.50</v>
      </c>
      <c r="AV194" s="4">
        <v>5</v>
      </c>
      <c r="AW194" s="4">
        <v>0</v>
      </c>
      <c r="AX194" s="4">
        <v>0</v>
      </c>
      <c r="AY194" s="4">
        <v>5</v>
      </c>
      <c r="AZ194" s="4">
        <v>1.72</v>
      </c>
      <c r="BA194" s="4">
        <v>37.5</v>
      </c>
      <c r="BB194" s="4">
        <v>35.78</v>
      </c>
      <c r="BC194" s="4">
        <v>35.78</v>
      </c>
      <c r="BD194" s="4">
        <v>0</v>
      </c>
    </row>
    <row r="195" spans="1:56" x14ac:dyDescent="0.2">
      <c r="A195" s="4" t="s">
        <v>558</v>
      </c>
      <c r="B195" s="4" t="s">
        <v>559</v>
      </c>
      <c r="C195" s="4" t="s">
        <v>560</v>
      </c>
      <c r="D195" s="4" t="s">
        <v>445</v>
      </c>
      <c r="E195" s="4" t="s">
        <v>561</v>
      </c>
      <c r="F195" s="4" t="s">
        <v>559</v>
      </c>
      <c r="G195" s="4" t="s">
        <v>562</v>
      </c>
      <c r="H195" s="4" t="s">
        <v>445</v>
      </c>
      <c r="I195" s="4" t="str">
        <f t="shared" si="26"/>
        <v>1010</v>
      </c>
      <c r="J195" s="4" t="s">
        <v>743</v>
      </c>
      <c r="K195" s="4" t="s">
        <v>744</v>
      </c>
      <c r="L195" s="4" t="s">
        <v>743</v>
      </c>
      <c r="M195" s="4" t="s">
        <v>745</v>
      </c>
      <c r="N195" s="4" t="s">
        <v>746</v>
      </c>
      <c r="O195" s="4" t="s">
        <v>753</v>
      </c>
      <c r="P195" s="4" t="s">
        <v>563</v>
      </c>
      <c r="Q195" s="4" t="str">
        <f>"8088217672"</f>
        <v>8088217672</v>
      </c>
      <c r="S195" s="4" t="str">
        <f>"00880882176723"</f>
        <v>00880882176723</v>
      </c>
      <c r="T195" s="24">
        <v>40823</v>
      </c>
      <c r="U195" s="24">
        <v>40823</v>
      </c>
      <c r="V195" s="24">
        <v>1</v>
      </c>
      <c r="W195" s="4" t="str">
        <f>"8088217672"</f>
        <v>8088217672</v>
      </c>
      <c r="X195" s="4" t="s">
        <v>563</v>
      </c>
      <c r="Y195" s="4" t="str">
        <f t="shared" si="29"/>
        <v>1010</v>
      </c>
      <c r="Z195" s="4" t="str">
        <f t="shared" si="33"/>
        <v>11</v>
      </c>
      <c r="AA195" s="4" t="s">
        <v>93</v>
      </c>
      <c r="AB195" s="4" t="s">
        <v>564</v>
      </c>
      <c r="AC195" s="4" t="s">
        <v>563</v>
      </c>
      <c r="AD195" s="4" t="s">
        <v>565</v>
      </c>
      <c r="AE195" s="4" t="s">
        <v>566</v>
      </c>
      <c r="AF195" s="4" t="s">
        <v>567</v>
      </c>
      <c r="AH195" s="4" t="s">
        <v>568</v>
      </c>
      <c r="AI195" s="4" t="s">
        <v>589</v>
      </c>
      <c r="AJ195" s="4" t="s">
        <v>590</v>
      </c>
      <c r="AK195" s="4" t="s">
        <v>577</v>
      </c>
      <c r="AL195" s="4" t="s">
        <v>578</v>
      </c>
      <c r="AN195" s="4" t="str">
        <f t="shared" si="35"/>
        <v>1</v>
      </c>
      <c r="AO195" s="4" t="s">
        <v>579</v>
      </c>
      <c r="AP195" s="4" t="s">
        <v>574</v>
      </c>
      <c r="AQ195" s="4" t="s">
        <v>580</v>
      </c>
      <c r="AR195" s="4" t="str">
        <f t="shared" si="34"/>
        <v>.7500</v>
      </c>
      <c r="AS195" s="4" t="str">
        <f t="shared" si="36"/>
        <v>7.50</v>
      </c>
      <c r="AT195" s="4" t="s">
        <v>581</v>
      </c>
      <c r="AU195" s="4" t="str">
        <f t="shared" si="37"/>
        <v>7.50</v>
      </c>
      <c r="AV195" s="4">
        <v>1</v>
      </c>
      <c r="AW195" s="4">
        <v>0</v>
      </c>
      <c r="AX195" s="4">
        <v>0</v>
      </c>
      <c r="AY195" s="4">
        <v>1</v>
      </c>
      <c r="AZ195" s="4">
        <v>0</v>
      </c>
      <c r="BA195" s="4">
        <v>7.5</v>
      </c>
      <c r="BB195" s="4">
        <v>7.5</v>
      </c>
      <c r="BC195" s="4">
        <v>7.5</v>
      </c>
      <c r="BD195" s="4">
        <v>0</v>
      </c>
    </row>
    <row r="196" spans="1:56" x14ac:dyDescent="0.2">
      <c r="A196" s="4" t="s">
        <v>558</v>
      </c>
      <c r="B196" s="4" t="s">
        <v>559</v>
      </c>
      <c r="C196" s="4" t="s">
        <v>560</v>
      </c>
      <c r="D196" s="4" t="s">
        <v>445</v>
      </c>
      <c r="E196" s="4" t="s">
        <v>561</v>
      </c>
      <c r="F196" s="4" t="s">
        <v>559</v>
      </c>
      <c r="G196" s="4" t="s">
        <v>562</v>
      </c>
      <c r="H196" s="4" t="s">
        <v>445</v>
      </c>
      <c r="I196" s="4" t="str">
        <f t="shared" si="26"/>
        <v>1010</v>
      </c>
      <c r="J196" s="4" t="s">
        <v>743</v>
      </c>
      <c r="K196" s="4" t="s">
        <v>744</v>
      </c>
      <c r="L196" s="4" t="s">
        <v>743</v>
      </c>
      <c r="M196" s="4" t="s">
        <v>745</v>
      </c>
      <c r="N196" s="4" t="s">
        <v>746</v>
      </c>
      <c r="O196" s="4" t="s">
        <v>754</v>
      </c>
      <c r="P196" s="4" t="s">
        <v>563</v>
      </c>
      <c r="Q196" s="4" t="str">
        <f>"8088217662"</f>
        <v>8088217662</v>
      </c>
      <c r="S196" s="4" t="str">
        <f>"00880882176624"</f>
        <v>00880882176624</v>
      </c>
      <c r="T196" s="24">
        <v>40823</v>
      </c>
      <c r="U196" s="24">
        <v>40823</v>
      </c>
      <c r="V196" s="24">
        <v>1</v>
      </c>
      <c r="W196" s="4" t="str">
        <f>"8088217662"</f>
        <v>8088217662</v>
      </c>
      <c r="X196" s="4" t="s">
        <v>563</v>
      </c>
      <c r="Y196" s="4" t="str">
        <f t="shared" si="29"/>
        <v>1010</v>
      </c>
      <c r="Z196" s="4" t="str">
        <f t="shared" si="33"/>
        <v>11</v>
      </c>
      <c r="AA196" s="4" t="s">
        <v>93</v>
      </c>
      <c r="AB196" s="4" t="s">
        <v>564</v>
      </c>
      <c r="AC196" s="4" t="s">
        <v>563</v>
      </c>
      <c r="AD196" s="4" t="s">
        <v>565</v>
      </c>
      <c r="AE196" s="4" t="s">
        <v>566</v>
      </c>
      <c r="AF196" s="4" t="s">
        <v>567</v>
      </c>
      <c r="AH196" s="4" t="s">
        <v>568</v>
      </c>
      <c r="AI196" s="4" t="s">
        <v>569</v>
      </c>
      <c r="AJ196" s="4" t="s">
        <v>570</v>
      </c>
      <c r="AK196" s="4" t="s">
        <v>577</v>
      </c>
      <c r="AL196" s="4" t="s">
        <v>578</v>
      </c>
      <c r="AN196" s="4" t="str">
        <f t="shared" si="35"/>
        <v>1</v>
      </c>
      <c r="AO196" s="4" t="s">
        <v>579</v>
      </c>
      <c r="AP196" s="4" t="s">
        <v>574</v>
      </c>
      <c r="AQ196" s="4" t="s">
        <v>580</v>
      </c>
      <c r="AR196" s="4" t="str">
        <f t="shared" si="34"/>
        <v>.7500</v>
      </c>
      <c r="AS196" s="4" t="str">
        <f t="shared" si="36"/>
        <v>7.50</v>
      </c>
      <c r="AT196" s="4" t="s">
        <v>581</v>
      </c>
      <c r="AU196" s="4" t="str">
        <f t="shared" si="37"/>
        <v>7.50</v>
      </c>
      <c r="AV196" s="4">
        <v>6</v>
      </c>
      <c r="AW196" s="4">
        <v>-8</v>
      </c>
      <c r="AX196" s="4">
        <v>-60</v>
      </c>
      <c r="AY196" s="4">
        <v>-2</v>
      </c>
      <c r="AZ196" s="4">
        <v>0.86</v>
      </c>
      <c r="BA196" s="4">
        <v>45</v>
      </c>
      <c r="BB196" s="4">
        <v>-15.86</v>
      </c>
      <c r="BC196" s="4">
        <v>44.14</v>
      </c>
      <c r="BD196" s="4">
        <v>0</v>
      </c>
    </row>
    <row r="197" spans="1:56" x14ac:dyDescent="0.2">
      <c r="A197" s="4" t="s">
        <v>558</v>
      </c>
      <c r="B197" s="4" t="s">
        <v>559</v>
      </c>
      <c r="C197" s="4" t="s">
        <v>560</v>
      </c>
      <c r="D197" s="4" t="s">
        <v>445</v>
      </c>
      <c r="E197" s="4" t="s">
        <v>561</v>
      </c>
      <c r="F197" s="4" t="s">
        <v>559</v>
      </c>
      <c r="G197" s="4" t="s">
        <v>562</v>
      </c>
      <c r="H197" s="4" t="s">
        <v>445</v>
      </c>
      <c r="I197" s="4" t="str">
        <f t="shared" si="26"/>
        <v>1010</v>
      </c>
      <c r="J197" s="4" t="s">
        <v>755</v>
      </c>
      <c r="K197" s="4" t="s">
        <v>756</v>
      </c>
      <c r="L197" s="4" t="s">
        <v>755</v>
      </c>
      <c r="M197" s="4" t="s">
        <v>757</v>
      </c>
      <c r="N197" s="4" t="s">
        <v>469</v>
      </c>
      <c r="O197" s="4" t="s">
        <v>758</v>
      </c>
      <c r="P197" s="4" t="s">
        <v>563</v>
      </c>
      <c r="Q197" s="4" t="str">
        <f>"8088216682"</f>
        <v>8088216682</v>
      </c>
      <c r="S197" s="4" t="str">
        <f>"00880882166823"</f>
        <v>00880882166823</v>
      </c>
      <c r="T197" s="24">
        <v>39962</v>
      </c>
      <c r="U197" s="24">
        <v>39962</v>
      </c>
      <c r="V197" s="24">
        <v>1</v>
      </c>
      <c r="W197" s="4" t="str">
        <f>"8088216682"</f>
        <v>8088216682</v>
      </c>
      <c r="X197" s="4" t="s">
        <v>563</v>
      </c>
      <c r="Y197" s="4" t="str">
        <f t="shared" si="29"/>
        <v>1010</v>
      </c>
      <c r="Z197" s="4" t="str">
        <f t="shared" si="33"/>
        <v>11</v>
      </c>
      <c r="AA197" s="4" t="s">
        <v>93</v>
      </c>
      <c r="AB197" s="4" t="s">
        <v>564</v>
      </c>
      <c r="AC197" s="4" t="s">
        <v>563</v>
      </c>
      <c r="AD197" s="4" t="s">
        <v>565</v>
      </c>
      <c r="AE197" s="4" t="s">
        <v>566</v>
      </c>
      <c r="AF197" s="4" t="s">
        <v>567</v>
      </c>
      <c r="AH197" s="4" t="s">
        <v>568</v>
      </c>
      <c r="AI197" s="4" t="s">
        <v>569</v>
      </c>
      <c r="AJ197" s="4" t="s">
        <v>570</v>
      </c>
      <c r="AK197" s="4" t="s">
        <v>577</v>
      </c>
      <c r="AL197" s="4" t="s">
        <v>578</v>
      </c>
      <c r="AN197" s="4" t="str">
        <f t="shared" si="35"/>
        <v>1</v>
      </c>
      <c r="AO197" s="4" t="s">
        <v>579</v>
      </c>
      <c r="AP197" s="4" t="s">
        <v>574</v>
      </c>
      <c r="AQ197" s="4" t="s">
        <v>580</v>
      </c>
      <c r="AR197" s="4" t="str">
        <f t="shared" si="34"/>
        <v>.7500</v>
      </c>
      <c r="AS197" s="4" t="str">
        <f t="shared" si="36"/>
        <v>7.50</v>
      </c>
      <c r="AT197" s="4" t="s">
        <v>581</v>
      </c>
      <c r="AU197" s="4" t="str">
        <f t="shared" si="37"/>
        <v>7.50</v>
      </c>
      <c r="AV197" s="4">
        <v>90</v>
      </c>
      <c r="AW197" s="4">
        <v>-15</v>
      </c>
      <c r="AX197" s="4">
        <v>-107.25</v>
      </c>
      <c r="AY197" s="4">
        <v>75</v>
      </c>
      <c r="AZ197" s="4">
        <v>53.48</v>
      </c>
      <c r="BA197" s="4">
        <v>675.16</v>
      </c>
      <c r="BB197" s="4">
        <v>514.42999999999995</v>
      </c>
      <c r="BC197" s="4">
        <v>621.67999999999995</v>
      </c>
      <c r="BD197" s="4">
        <v>0</v>
      </c>
    </row>
    <row r="198" spans="1:56" x14ac:dyDescent="0.2">
      <c r="A198" s="4" t="s">
        <v>558</v>
      </c>
      <c r="B198" s="4" t="s">
        <v>559</v>
      </c>
      <c r="C198" s="4" t="s">
        <v>560</v>
      </c>
      <c r="D198" s="4" t="s">
        <v>445</v>
      </c>
      <c r="E198" s="4" t="s">
        <v>561</v>
      </c>
      <c r="F198" s="4" t="s">
        <v>559</v>
      </c>
      <c r="G198" s="4" t="s">
        <v>562</v>
      </c>
      <c r="H198" s="4" t="s">
        <v>445</v>
      </c>
      <c r="I198" s="4" t="str">
        <f t="shared" si="26"/>
        <v>1010</v>
      </c>
      <c r="J198" s="4" t="s">
        <v>755</v>
      </c>
      <c r="K198" s="4" t="s">
        <v>756</v>
      </c>
      <c r="L198" s="4" t="s">
        <v>755</v>
      </c>
      <c r="M198" s="4" t="s">
        <v>757</v>
      </c>
      <c r="N198" s="4" t="s">
        <v>469</v>
      </c>
      <c r="O198" s="4" t="s">
        <v>468</v>
      </c>
      <c r="P198" s="4" t="s">
        <v>563</v>
      </c>
      <c r="Q198" s="4" t="str">
        <f>"8088217552"</f>
        <v>8088217552</v>
      </c>
      <c r="S198" s="4" t="str">
        <f>"00880882175528"</f>
        <v>00880882175528</v>
      </c>
      <c r="T198" s="24">
        <v>40795</v>
      </c>
      <c r="U198" s="24">
        <v>40795</v>
      </c>
      <c r="V198" s="24">
        <v>1</v>
      </c>
      <c r="W198" s="4" t="str">
        <f>"8088217552"</f>
        <v>8088217552</v>
      </c>
      <c r="X198" s="4" t="s">
        <v>563</v>
      </c>
      <c r="Y198" s="4" t="str">
        <f t="shared" si="29"/>
        <v>1010</v>
      </c>
      <c r="Z198" s="4" t="str">
        <f t="shared" si="33"/>
        <v>11</v>
      </c>
      <c r="AA198" s="4" t="s">
        <v>93</v>
      </c>
      <c r="AB198" s="4" t="s">
        <v>564</v>
      </c>
      <c r="AC198" s="4" t="s">
        <v>563</v>
      </c>
      <c r="AD198" s="4" t="s">
        <v>565</v>
      </c>
      <c r="AE198" s="4" t="s">
        <v>566</v>
      </c>
      <c r="AF198" s="4" t="s">
        <v>567</v>
      </c>
      <c r="AH198" s="4" t="s">
        <v>568</v>
      </c>
      <c r="AI198" s="4" t="s">
        <v>569</v>
      </c>
      <c r="AJ198" s="4" t="s">
        <v>570</v>
      </c>
      <c r="AK198" s="4" t="s">
        <v>577</v>
      </c>
      <c r="AL198" s="4" t="s">
        <v>578</v>
      </c>
      <c r="AN198" s="4" t="str">
        <f t="shared" si="35"/>
        <v>1</v>
      </c>
      <c r="AO198" s="4" t="s">
        <v>579</v>
      </c>
      <c r="AP198" s="4" t="s">
        <v>574</v>
      </c>
      <c r="AQ198" s="4" t="s">
        <v>580</v>
      </c>
      <c r="AR198" s="4" t="str">
        <f t="shared" si="34"/>
        <v>.7500</v>
      </c>
      <c r="AS198" s="4" t="str">
        <f t="shared" si="36"/>
        <v>7.50</v>
      </c>
      <c r="AT198" s="4" t="s">
        <v>581</v>
      </c>
      <c r="AU198" s="4" t="str">
        <f t="shared" si="37"/>
        <v>7.50</v>
      </c>
      <c r="AV198" s="4">
        <v>174</v>
      </c>
      <c r="AW198" s="4">
        <v>-123</v>
      </c>
      <c r="AX198" s="4">
        <v>-879.45</v>
      </c>
      <c r="AY198" s="4">
        <v>51</v>
      </c>
      <c r="AZ198" s="4">
        <v>108.7</v>
      </c>
      <c r="BA198" s="4">
        <v>1305.3399999999999</v>
      </c>
      <c r="BB198" s="4">
        <v>317.19</v>
      </c>
      <c r="BC198" s="4">
        <v>1196.6400000000001</v>
      </c>
      <c r="BD198" s="4">
        <v>0</v>
      </c>
    </row>
    <row r="199" spans="1:56" x14ac:dyDescent="0.2">
      <c r="A199" s="4" t="s">
        <v>558</v>
      </c>
      <c r="B199" s="4" t="s">
        <v>559</v>
      </c>
      <c r="C199" s="4" t="s">
        <v>560</v>
      </c>
      <c r="D199" s="4" t="s">
        <v>445</v>
      </c>
      <c r="E199" s="4" t="s">
        <v>561</v>
      </c>
      <c r="F199" s="4" t="s">
        <v>559</v>
      </c>
      <c r="G199" s="4" t="s">
        <v>562</v>
      </c>
      <c r="H199" s="4" t="s">
        <v>445</v>
      </c>
      <c r="I199" s="4" t="str">
        <f t="shared" si="26"/>
        <v>1010</v>
      </c>
      <c r="J199" s="4" t="s">
        <v>759</v>
      </c>
      <c r="K199" s="4" t="s">
        <v>760</v>
      </c>
      <c r="L199" s="4" t="s">
        <v>759</v>
      </c>
      <c r="M199" s="4" t="s">
        <v>760</v>
      </c>
      <c r="N199" s="4" t="s">
        <v>761</v>
      </c>
      <c r="O199" s="4" t="s">
        <v>762</v>
      </c>
      <c r="P199" s="4" t="s">
        <v>563</v>
      </c>
      <c r="Q199" s="4" t="str">
        <f>"8088215942"</f>
        <v>8088215942</v>
      </c>
      <c r="S199" s="4" t="str">
        <f>"00880882159429"</f>
        <v>00880882159429</v>
      </c>
      <c r="T199" s="24">
        <v>37561</v>
      </c>
      <c r="U199" s="24">
        <v>37561</v>
      </c>
      <c r="V199" s="24">
        <v>1</v>
      </c>
      <c r="W199" s="4" t="str">
        <f>"8088215942"</f>
        <v>8088215942</v>
      </c>
      <c r="X199" s="4" t="s">
        <v>563</v>
      </c>
      <c r="Y199" s="4" t="str">
        <f t="shared" si="29"/>
        <v>1010</v>
      </c>
      <c r="Z199" s="4" t="str">
        <f t="shared" si="33"/>
        <v>11</v>
      </c>
      <c r="AA199" s="4" t="s">
        <v>93</v>
      </c>
      <c r="AB199" s="4" t="s">
        <v>564</v>
      </c>
      <c r="AC199" s="4" t="s">
        <v>563</v>
      </c>
      <c r="AD199" s="4" t="s">
        <v>565</v>
      </c>
      <c r="AE199" s="4" t="s">
        <v>566</v>
      </c>
      <c r="AF199" s="4" t="s">
        <v>567</v>
      </c>
      <c r="AH199" s="4" t="s">
        <v>568</v>
      </c>
      <c r="AI199" s="4" t="s">
        <v>569</v>
      </c>
      <c r="AJ199" s="4" t="s">
        <v>570</v>
      </c>
      <c r="AK199" s="4" t="s">
        <v>577</v>
      </c>
      <c r="AL199" s="4" t="s">
        <v>578</v>
      </c>
      <c r="AN199" s="4" t="str">
        <f t="shared" si="35"/>
        <v>1</v>
      </c>
      <c r="AO199" s="4" t="s">
        <v>579</v>
      </c>
      <c r="AP199" s="4" t="s">
        <v>574</v>
      </c>
      <c r="AQ199" s="4" t="s">
        <v>580</v>
      </c>
      <c r="AR199" s="4" t="str">
        <f t="shared" si="34"/>
        <v>.7500</v>
      </c>
      <c r="AS199" s="4" t="str">
        <f t="shared" si="36"/>
        <v>7.50</v>
      </c>
      <c r="AT199" s="4" t="s">
        <v>581</v>
      </c>
      <c r="AU199" s="4" t="str">
        <f t="shared" si="37"/>
        <v>7.50</v>
      </c>
      <c r="AV199" s="4">
        <v>0</v>
      </c>
      <c r="AW199" s="4">
        <v>-1</v>
      </c>
      <c r="AX199" s="4">
        <v>-7.15</v>
      </c>
      <c r="AY199" s="4">
        <v>-1</v>
      </c>
      <c r="AZ199" s="4">
        <v>0</v>
      </c>
      <c r="BA199" s="4">
        <v>0</v>
      </c>
      <c r="BB199" s="4">
        <v>-7.15</v>
      </c>
      <c r="BC199" s="4">
        <v>0</v>
      </c>
      <c r="BD199" s="4">
        <v>0</v>
      </c>
    </row>
    <row r="200" spans="1:56" x14ac:dyDescent="0.2">
      <c r="A200" s="4" t="s">
        <v>558</v>
      </c>
      <c r="B200" s="4" t="s">
        <v>559</v>
      </c>
      <c r="C200" s="4" t="s">
        <v>560</v>
      </c>
      <c r="D200" s="4" t="s">
        <v>445</v>
      </c>
      <c r="E200" s="4" t="s">
        <v>561</v>
      </c>
      <c r="F200" s="4" t="s">
        <v>559</v>
      </c>
      <c r="G200" s="4" t="s">
        <v>562</v>
      </c>
      <c r="H200" s="4" t="s">
        <v>445</v>
      </c>
      <c r="I200" s="4" t="str">
        <f t="shared" si="26"/>
        <v>1010</v>
      </c>
      <c r="J200" s="4" t="s">
        <v>759</v>
      </c>
      <c r="K200" s="4" t="s">
        <v>760</v>
      </c>
      <c r="L200" s="4" t="s">
        <v>759</v>
      </c>
      <c r="M200" s="4" t="s">
        <v>760</v>
      </c>
      <c r="N200" s="4" t="s">
        <v>761</v>
      </c>
      <c r="O200" s="4" t="s">
        <v>763</v>
      </c>
      <c r="P200" s="4" t="s">
        <v>563</v>
      </c>
      <c r="Q200" s="4" t="str">
        <f>"8088215912"</f>
        <v>8088215912</v>
      </c>
      <c r="S200" s="4" t="str">
        <f>"00880882159122"</f>
        <v>00880882159122</v>
      </c>
      <c r="T200" s="24">
        <v>39395</v>
      </c>
      <c r="U200" s="24">
        <v>39395</v>
      </c>
      <c r="V200" s="24">
        <v>1</v>
      </c>
      <c r="W200" s="4" t="str">
        <f>"8088215912"</f>
        <v>8088215912</v>
      </c>
      <c r="X200" s="4" t="s">
        <v>563</v>
      </c>
      <c r="Y200" s="4" t="str">
        <f t="shared" si="29"/>
        <v>1010</v>
      </c>
      <c r="Z200" s="4" t="str">
        <f t="shared" si="33"/>
        <v>11</v>
      </c>
      <c r="AA200" s="4" t="s">
        <v>93</v>
      </c>
      <c r="AB200" s="4" t="s">
        <v>564</v>
      </c>
      <c r="AC200" s="4" t="s">
        <v>563</v>
      </c>
      <c r="AD200" s="4" t="s">
        <v>565</v>
      </c>
      <c r="AE200" s="4" t="s">
        <v>566</v>
      </c>
      <c r="AF200" s="4" t="s">
        <v>567</v>
      </c>
      <c r="AH200" s="4" t="s">
        <v>568</v>
      </c>
      <c r="AI200" s="4" t="s">
        <v>569</v>
      </c>
      <c r="AJ200" s="4" t="s">
        <v>570</v>
      </c>
      <c r="AK200" s="4" t="s">
        <v>577</v>
      </c>
      <c r="AL200" s="4" t="s">
        <v>578</v>
      </c>
      <c r="AN200" s="4" t="str">
        <f t="shared" si="35"/>
        <v>1</v>
      </c>
      <c r="AO200" s="4" t="s">
        <v>645</v>
      </c>
      <c r="AP200" s="4" t="s">
        <v>574</v>
      </c>
      <c r="AQ200" s="4" t="s">
        <v>575</v>
      </c>
      <c r="AR200" s="4" t="str">
        <f t="shared" si="34"/>
        <v>.7500</v>
      </c>
      <c r="AS200" s="4" t="str">
        <f>"10.32"</f>
        <v>10.32</v>
      </c>
      <c r="AT200" s="4" t="s">
        <v>646</v>
      </c>
      <c r="AU200" s="4" t="str">
        <f>"10.32"</f>
        <v>10.32</v>
      </c>
      <c r="AV200" s="4">
        <v>167</v>
      </c>
      <c r="AW200" s="4">
        <v>-67</v>
      </c>
      <c r="AX200" s="4">
        <v>-673.24</v>
      </c>
      <c r="AY200" s="4">
        <v>100</v>
      </c>
      <c r="AZ200" s="4">
        <v>0</v>
      </c>
      <c r="BA200" s="4">
        <v>1723.44</v>
      </c>
      <c r="BB200" s="4">
        <v>1050.2</v>
      </c>
      <c r="BC200" s="4">
        <v>1723.44</v>
      </c>
      <c r="BD200" s="4">
        <v>0</v>
      </c>
    </row>
    <row r="201" spans="1:56" x14ac:dyDescent="0.2">
      <c r="A201" s="4" t="s">
        <v>558</v>
      </c>
      <c r="B201" s="4" t="s">
        <v>559</v>
      </c>
      <c r="C201" s="4" t="s">
        <v>560</v>
      </c>
      <c r="D201" s="4" t="s">
        <v>445</v>
      </c>
      <c r="E201" s="4" t="s">
        <v>561</v>
      </c>
      <c r="F201" s="4" t="s">
        <v>559</v>
      </c>
      <c r="G201" s="4" t="s">
        <v>562</v>
      </c>
      <c r="H201" s="4" t="s">
        <v>445</v>
      </c>
      <c r="I201" s="4" t="str">
        <f t="shared" si="26"/>
        <v>1010</v>
      </c>
      <c r="J201" s="4" t="s">
        <v>759</v>
      </c>
      <c r="K201" s="4" t="s">
        <v>760</v>
      </c>
      <c r="L201" s="4" t="s">
        <v>759</v>
      </c>
      <c r="M201" s="4" t="s">
        <v>760</v>
      </c>
      <c r="N201" s="4" t="s">
        <v>761</v>
      </c>
      <c r="O201" s="4" t="s">
        <v>764</v>
      </c>
      <c r="P201" s="4" t="s">
        <v>563</v>
      </c>
      <c r="Q201" s="4" t="str">
        <f>"8088215962"</f>
        <v>8088215962</v>
      </c>
      <c r="S201" s="4" t="str">
        <f>"00880882159627"</f>
        <v>00880882159627</v>
      </c>
      <c r="T201" s="24">
        <v>38604</v>
      </c>
      <c r="U201" s="24">
        <v>38604</v>
      </c>
      <c r="V201" s="24">
        <v>1</v>
      </c>
      <c r="W201" s="4" t="str">
        <f>"8088215962"</f>
        <v>8088215962</v>
      </c>
      <c r="X201" s="4" t="s">
        <v>563</v>
      </c>
      <c r="Y201" s="4" t="str">
        <f t="shared" si="29"/>
        <v>1010</v>
      </c>
      <c r="Z201" s="4" t="str">
        <f t="shared" si="33"/>
        <v>11</v>
      </c>
      <c r="AA201" s="4" t="s">
        <v>93</v>
      </c>
      <c r="AB201" s="4" t="s">
        <v>564</v>
      </c>
      <c r="AC201" s="4" t="s">
        <v>563</v>
      </c>
      <c r="AD201" s="4" t="s">
        <v>565</v>
      </c>
      <c r="AE201" s="4" t="s">
        <v>566</v>
      </c>
      <c r="AF201" s="4" t="s">
        <v>567</v>
      </c>
      <c r="AH201" s="4" t="s">
        <v>568</v>
      </c>
      <c r="AI201" s="4" t="s">
        <v>569</v>
      </c>
      <c r="AJ201" s="4" t="s">
        <v>570</v>
      </c>
      <c r="AK201" s="4" t="s">
        <v>577</v>
      </c>
      <c r="AL201" s="4" t="s">
        <v>578</v>
      </c>
      <c r="AN201" s="4" t="str">
        <f t="shared" si="35"/>
        <v>1</v>
      </c>
      <c r="AO201" s="4" t="s">
        <v>579</v>
      </c>
      <c r="AP201" s="4" t="s">
        <v>574</v>
      </c>
      <c r="AQ201" s="4" t="s">
        <v>580</v>
      </c>
      <c r="AR201" s="4" t="str">
        <f t="shared" si="34"/>
        <v>.7500</v>
      </c>
      <c r="AS201" s="4" t="str">
        <f>"7.50"</f>
        <v>7.50</v>
      </c>
      <c r="AT201" s="4" t="s">
        <v>581</v>
      </c>
      <c r="AU201" s="4" t="str">
        <f>"7.50"</f>
        <v>7.50</v>
      </c>
      <c r="AV201" s="4">
        <v>6</v>
      </c>
      <c r="AW201" s="4">
        <v>0</v>
      </c>
      <c r="AX201" s="4">
        <v>0</v>
      </c>
      <c r="AY201" s="4">
        <v>6</v>
      </c>
      <c r="AZ201" s="4">
        <v>0</v>
      </c>
      <c r="BA201" s="4">
        <v>45</v>
      </c>
      <c r="BB201" s="4">
        <v>45</v>
      </c>
      <c r="BC201" s="4">
        <v>45</v>
      </c>
      <c r="BD201" s="4">
        <v>0</v>
      </c>
    </row>
    <row r="202" spans="1:56" x14ac:dyDescent="0.2">
      <c r="A202" s="4" t="s">
        <v>558</v>
      </c>
      <c r="B202" s="4" t="s">
        <v>559</v>
      </c>
      <c r="C202" s="4" t="s">
        <v>560</v>
      </c>
      <c r="D202" s="4" t="s">
        <v>445</v>
      </c>
      <c r="E202" s="4" t="s">
        <v>561</v>
      </c>
      <c r="F202" s="4" t="s">
        <v>559</v>
      </c>
      <c r="G202" s="4" t="s">
        <v>562</v>
      </c>
      <c r="H202" s="4" t="s">
        <v>445</v>
      </c>
      <c r="I202" s="4" t="str">
        <f t="shared" ref="I202:I210" si="38">"1010"</f>
        <v>1010</v>
      </c>
      <c r="J202" s="4" t="s">
        <v>759</v>
      </c>
      <c r="K202" s="4" t="s">
        <v>760</v>
      </c>
      <c r="L202" s="4" t="s">
        <v>759</v>
      </c>
      <c r="M202" s="4" t="s">
        <v>760</v>
      </c>
      <c r="N202" s="4" t="s">
        <v>761</v>
      </c>
      <c r="O202" s="4" t="s">
        <v>765</v>
      </c>
      <c r="P202" s="4" t="s">
        <v>563</v>
      </c>
      <c r="Q202" s="4" t="str">
        <f>"8088216209"</f>
        <v>8088216209</v>
      </c>
      <c r="S202" s="4" t="str">
        <f>"00880882162092"</f>
        <v>00880882162092</v>
      </c>
      <c r="T202" s="24">
        <v>37232</v>
      </c>
      <c r="U202" s="24">
        <v>37232</v>
      </c>
      <c r="V202" s="24">
        <v>1</v>
      </c>
      <c r="W202" s="4" t="str">
        <f>"8088216209"</f>
        <v>8088216209</v>
      </c>
      <c r="X202" s="4" t="s">
        <v>563</v>
      </c>
      <c r="Y202" s="4" t="str">
        <f t="shared" si="29"/>
        <v>1010</v>
      </c>
      <c r="Z202" s="4" t="str">
        <f t="shared" si="33"/>
        <v>11</v>
      </c>
      <c r="AA202" s="4" t="s">
        <v>93</v>
      </c>
      <c r="AB202" s="4" t="s">
        <v>564</v>
      </c>
      <c r="AC202" s="4" t="s">
        <v>563</v>
      </c>
      <c r="AD202" s="4" t="s">
        <v>565</v>
      </c>
      <c r="AE202" s="4" t="s">
        <v>566</v>
      </c>
      <c r="AF202" s="4" t="s">
        <v>567</v>
      </c>
      <c r="AH202" s="4" t="s">
        <v>568</v>
      </c>
      <c r="AI202" s="4" t="s">
        <v>569</v>
      </c>
      <c r="AJ202" s="4" t="s">
        <v>570</v>
      </c>
      <c r="AK202" s="4" t="s">
        <v>614</v>
      </c>
      <c r="AL202" s="4" t="s">
        <v>615</v>
      </c>
      <c r="AN202" s="4" t="str">
        <f t="shared" si="35"/>
        <v>1</v>
      </c>
      <c r="AO202" s="4" t="s">
        <v>701</v>
      </c>
      <c r="AP202" s="4" t="s">
        <v>574</v>
      </c>
      <c r="AQ202" s="4" t="s">
        <v>575</v>
      </c>
      <c r="AR202" s="4" t="str">
        <f t="shared" si="34"/>
        <v>.7500</v>
      </c>
      <c r="AS202" s="4" t="str">
        <f>"10.78"</f>
        <v>10.78</v>
      </c>
      <c r="AT202" s="4" t="s">
        <v>702</v>
      </c>
      <c r="AU202" s="4" t="str">
        <f>"10.78"</f>
        <v>10.78</v>
      </c>
      <c r="AV202" s="4">
        <v>19</v>
      </c>
      <c r="AW202" s="4">
        <v>0</v>
      </c>
      <c r="AX202" s="4">
        <v>0</v>
      </c>
      <c r="AY202" s="4">
        <v>19</v>
      </c>
      <c r="AZ202" s="4">
        <v>19.84</v>
      </c>
      <c r="BA202" s="4">
        <v>204.82</v>
      </c>
      <c r="BB202" s="4">
        <v>184.98</v>
      </c>
      <c r="BC202" s="4">
        <v>184.98</v>
      </c>
      <c r="BD202" s="4">
        <v>0</v>
      </c>
    </row>
    <row r="203" spans="1:56" x14ac:dyDescent="0.2">
      <c r="A203" s="4" t="s">
        <v>558</v>
      </c>
      <c r="B203" s="4" t="s">
        <v>559</v>
      </c>
      <c r="C203" s="4" t="s">
        <v>560</v>
      </c>
      <c r="D203" s="4" t="s">
        <v>445</v>
      </c>
      <c r="E203" s="4" t="s">
        <v>561</v>
      </c>
      <c r="F203" s="4" t="s">
        <v>559</v>
      </c>
      <c r="G203" s="4" t="s">
        <v>562</v>
      </c>
      <c r="H203" s="4" t="s">
        <v>445</v>
      </c>
      <c r="I203" s="4" t="str">
        <f t="shared" si="38"/>
        <v>1010</v>
      </c>
      <c r="J203" s="4" t="s">
        <v>759</v>
      </c>
      <c r="K203" s="4" t="s">
        <v>760</v>
      </c>
      <c r="L203" s="4" t="s">
        <v>759</v>
      </c>
      <c r="M203" s="4" t="s">
        <v>760</v>
      </c>
      <c r="N203" s="4" t="s">
        <v>761</v>
      </c>
      <c r="O203" s="4" t="s">
        <v>766</v>
      </c>
      <c r="P203" s="4" t="s">
        <v>563</v>
      </c>
      <c r="Q203" s="4" t="str">
        <f>"8088215699"</f>
        <v>8088215699</v>
      </c>
      <c r="S203" s="4" t="str">
        <f>"00880882156992"</f>
        <v>00880882156992</v>
      </c>
      <c r="T203" s="24">
        <v>39038</v>
      </c>
      <c r="U203" s="24">
        <v>39038</v>
      </c>
      <c r="V203" s="24">
        <v>1</v>
      </c>
      <c r="W203" s="4" t="str">
        <f>"8088215699"</f>
        <v>8088215699</v>
      </c>
      <c r="X203" s="4" t="s">
        <v>563</v>
      </c>
      <c r="Y203" s="4" t="str">
        <f t="shared" si="29"/>
        <v>1010</v>
      </c>
      <c r="Z203" s="4" t="str">
        <f t="shared" si="33"/>
        <v>11</v>
      </c>
      <c r="AA203" s="4" t="s">
        <v>93</v>
      </c>
      <c r="AB203" s="4" t="s">
        <v>564</v>
      </c>
      <c r="AC203" s="4" t="s">
        <v>563</v>
      </c>
      <c r="AD203" s="4" t="s">
        <v>640</v>
      </c>
      <c r="AE203" s="4" t="s">
        <v>641</v>
      </c>
      <c r="AF203" s="4" t="s">
        <v>567</v>
      </c>
      <c r="AH203" s="4" t="s">
        <v>568</v>
      </c>
      <c r="AI203" s="4" t="s">
        <v>569</v>
      </c>
      <c r="AJ203" s="4" t="s">
        <v>570</v>
      </c>
      <c r="AK203" s="4" t="s">
        <v>614</v>
      </c>
      <c r="AL203" s="4" t="s">
        <v>615</v>
      </c>
      <c r="AN203" s="4" t="str">
        <f t="shared" si="35"/>
        <v>1</v>
      </c>
      <c r="AO203" s="4" t="s">
        <v>701</v>
      </c>
      <c r="AP203" s="4" t="s">
        <v>574</v>
      </c>
      <c r="AQ203" s="4" t="s">
        <v>575</v>
      </c>
      <c r="AR203" s="4" t="str">
        <f t="shared" si="34"/>
        <v>.7500</v>
      </c>
      <c r="AS203" s="4" t="str">
        <f>"10.78"</f>
        <v>10.78</v>
      </c>
      <c r="AT203" s="4" t="s">
        <v>702</v>
      </c>
      <c r="AU203" s="4" t="str">
        <f>"10.78"</f>
        <v>10.78</v>
      </c>
      <c r="AV203" s="4">
        <v>14</v>
      </c>
      <c r="AW203" s="4">
        <v>0</v>
      </c>
      <c r="AX203" s="4">
        <v>0</v>
      </c>
      <c r="AY203" s="4">
        <v>14</v>
      </c>
      <c r="AZ203" s="4">
        <v>0</v>
      </c>
      <c r="BA203" s="4">
        <v>150.91999999999999</v>
      </c>
      <c r="BB203" s="4">
        <v>150.91999999999999</v>
      </c>
      <c r="BC203" s="4">
        <v>150.91999999999999</v>
      </c>
      <c r="BD203" s="4">
        <v>0</v>
      </c>
    </row>
    <row r="204" spans="1:56" x14ac:dyDescent="0.2">
      <c r="A204" s="4" t="s">
        <v>558</v>
      </c>
      <c r="B204" s="4" t="s">
        <v>559</v>
      </c>
      <c r="C204" s="4" t="s">
        <v>560</v>
      </c>
      <c r="D204" s="4" t="s">
        <v>445</v>
      </c>
      <c r="E204" s="4" t="s">
        <v>561</v>
      </c>
      <c r="F204" s="4" t="s">
        <v>559</v>
      </c>
      <c r="G204" s="4" t="s">
        <v>562</v>
      </c>
      <c r="H204" s="4" t="s">
        <v>445</v>
      </c>
      <c r="I204" s="4" t="str">
        <f t="shared" si="38"/>
        <v>1010</v>
      </c>
      <c r="J204" s="4" t="s">
        <v>759</v>
      </c>
      <c r="K204" s="4" t="s">
        <v>760</v>
      </c>
      <c r="L204" s="4" t="s">
        <v>759</v>
      </c>
      <c r="M204" s="4" t="s">
        <v>760</v>
      </c>
      <c r="N204" s="4" t="s">
        <v>761</v>
      </c>
      <c r="O204" s="4" t="s">
        <v>767</v>
      </c>
      <c r="P204" s="4" t="s">
        <v>563</v>
      </c>
      <c r="Q204" s="4" t="str">
        <f>"8088215952"</f>
        <v>8088215952</v>
      </c>
      <c r="S204" s="4" t="str">
        <f>"00880882159528"</f>
        <v>00880882159528</v>
      </c>
      <c r="T204" s="24">
        <v>39185</v>
      </c>
      <c r="U204" s="24">
        <v>39185</v>
      </c>
      <c r="V204" s="24">
        <v>1</v>
      </c>
      <c r="W204" s="4" t="str">
        <f>"8088215952"</f>
        <v>8088215952</v>
      </c>
      <c r="X204" s="4" t="s">
        <v>563</v>
      </c>
      <c r="Y204" s="4" t="str">
        <f t="shared" si="29"/>
        <v>1010</v>
      </c>
      <c r="Z204" s="4" t="str">
        <f t="shared" si="33"/>
        <v>11</v>
      </c>
      <c r="AA204" s="4" t="s">
        <v>93</v>
      </c>
      <c r="AB204" s="4" t="s">
        <v>564</v>
      </c>
      <c r="AC204" s="4" t="s">
        <v>563</v>
      </c>
      <c r="AD204" s="4" t="s">
        <v>565</v>
      </c>
      <c r="AE204" s="4" t="s">
        <v>566</v>
      </c>
      <c r="AF204" s="4" t="s">
        <v>567</v>
      </c>
      <c r="AH204" s="4" t="s">
        <v>568</v>
      </c>
      <c r="AI204" s="4" t="s">
        <v>569</v>
      </c>
      <c r="AJ204" s="4" t="s">
        <v>570</v>
      </c>
      <c r="AK204" s="4" t="s">
        <v>577</v>
      </c>
      <c r="AL204" s="4" t="s">
        <v>578</v>
      </c>
      <c r="AN204" s="4" t="str">
        <f t="shared" si="35"/>
        <v>1</v>
      </c>
      <c r="AO204" s="4" t="s">
        <v>579</v>
      </c>
      <c r="AP204" s="4" t="s">
        <v>574</v>
      </c>
      <c r="AQ204" s="4" t="s">
        <v>580</v>
      </c>
      <c r="AR204" s="4" t="str">
        <f t="shared" si="34"/>
        <v>.7500</v>
      </c>
      <c r="AS204" s="4" t="str">
        <f>"7.50"</f>
        <v>7.50</v>
      </c>
      <c r="AT204" s="4" t="s">
        <v>581</v>
      </c>
      <c r="AU204" s="4" t="str">
        <f>"7.50"</f>
        <v>7.50</v>
      </c>
      <c r="AV204" s="4">
        <v>0</v>
      </c>
      <c r="AW204" s="4">
        <v>-3</v>
      </c>
      <c r="AX204" s="4">
        <v>-21.45</v>
      </c>
      <c r="AY204" s="4">
        <v>-3</v>
      </c>
      <c r="AZ204" s="4">
        <v>0</v>
      </c>
      <c r="BA204" s="4">
        <v>0</v>
      </c>
      <c r="BB204" s="4">
        <v>-21.45</v>
      </c>
      <c r="BC204" s="4">
        <v>0</v>
      </c>
      <c r="BD204" s="4">
        <v>0</v>
      </c>
    </row>
    <row r="205" spans="1:56" x14ac:dyDescent="0.2">
      <c r="A205" s="4" t="s">
        <v>558</v>
      </c>
      <c r="B205" s="4" t="s">
        <v>559</v>
      </c>
      <c r="C205" s="4" t="s">
        <v>560</v>
      </c>
      <c r="D205" s="4" t="s">
        <v>445</v>
      </c>
      <c r="E205" s="4" t="s">
        <v>561</v>
      </c>
      <c r="F205" s="4" t="s">
        <v>559</v>
      </c>
      <c r="G205" s="4" t="s">
        <v>562</v>
      </c>
      <c r="H205" s="4" t="s">
        <v>445</v>
      </c>
      <c r="I205" s="4" t="str">
        <f t="shared" si="38"/>
        <v>1010</v>
      </c>
      <c r="J205" s="4" t="s">
        <v>759</v>
      </c>
      <c r="K205" s="4" t="s">
        <v>760</v>
      </c>
      <c r="L205" s="4" t="s">
        <v>759</v>
      </c>
      <c r="M205" s="4" t="s">
        <v>760</v>
      </c>
      <c r="N205" s="4" t="s">
        <v>761</v>
      </c>
      <c r="O205" s="4" t="s">
        <v>768</v>
      </c>
      <c r="P205" s="4" t="s">
        <v>563</v>
      </c>
      <c r="Q205" s="4" t="str">
        <f>"8088215932"</f>
        <v>8088215932</v>
      </c>
      <c r="S205" s="4" t="str">
        <f>"00880882159320"</f>
        <v>00880882159320</v>
      </c>
      <c r="T205" s="24">
        <v>36776</v>
      </c>
      <c r="U205" s="24">
        <v>36776</v>
      </c>
      <c r="V205" s="24">
        <v>1</v>
      </c>
      <c r="W205" s="4" t="str">
        <f>"8088215932"</f>
        <v>8088215932</v>
      </c>
      <c r="X205" s="4" t="s">
        <v>563</v>
      </c>
      <c r="Y205" s="4" t="str">
        <f t="shared" si="29"/>
        <v>1010</v>
      </c>
      <c r="Z205" s="4" t="str">
        <f t="shared" si="33"/>
        <v>11</v>
      </c>
      <c r="AA205" s="4" t="s">
        <v>93</v>
      </c>
      <c r="AB205" s="4" t="s">
        <v>564</v>
      </c>
      <c r="AC205" s="4" t="s">
        <v>563</v>
      </c>
      <c r="AD205" s="4" t="s">
        <v>565</v>
      </c>
      <c r="AE205" s="4" t="s">
        <v>566</v>
      </c>
      <c r="AF205" s="4" t="s">
        <v>567</v>
      </c>
      <c r="AH205" s="4" t="s">
        <v>568</v>
      </c>
      <c r="AI205" s="4" t="s">
        <v>569</v>
      </c>
      <c r="AJ205" s="4" t="s">
        <v>570</v>
      </c>
      <c r="AK205" s="4" t="s">
        <v>577</v>
      </c>
      <c r="AL205" s="4" t="s">
        <v>578</v>
      </c>
      <c r="AN205" s="4" t="str">
        <f t="shared" si="35"/>
        <v>1</v>
      </c>
      <c r="AO205" s="4" t="s">
        <v>579</v>
      </c>
      <c r="AP205" s="4" t="s">
        <v>574</v>
      </c>
      <c r="AQ205" s="4" t="s">
        <v>580</v>
      </c>
      <c r="AR205" s="4" t="str">
        <f t="shared" si="34"/>
        <v>.7500</v>
      </c>
      <c r="AS205" s="4" t="str">
        <f>"7.50"</f>
        <v>7.50</v>
      </c>
      <c r="AT205" s="4" t="s">
        <v>581</v>
      </c>
      <c r="AU205" s="4" t="str">
        <f>"7.50"</f>
        <v>7.50</v>
      </c>
      <c r="AV205" s="4">
        <v>118</v>
      </c>
      <c r="AW205" s="4">
        <v>-5</v>
      </c>
      <c r="AX205" s="4">
        <v>-35.75</v>
      </c>
      <c r="AY205" s="4">
        <v>113</v>
      </c>
      <c r="AZ205" s="4">
        <v>6.9</v>
      </c>
      <c r="BA205" s="4">
        <v>885.02</v>
      </c>
      <c r="BB205" s="4">
        <v>842.37</v>
      </c>
      <c r="BC205" s="4">
        <v>878.12</v>
      </c>
      <c r="BD205" s="4">
        <v>0</v>
      </c>
    </row>
    <row r="206" spans="1:56" x14ac:dyDescent="0.2">
      <c r="A206" s="4" t="s">
        <v>558</v>
      </c>
      <c r="B206" s="4" t="s">
        <v>559</v>
      </c>
      <c r="C206" s="4" t="s">
        <v>560</v>
      </c>
      <c r="D206" s="4" t="s">
        <v>445</v>
      </c>
      <c r="E206" s="4" t="s">
        <v>561</v>
      </c>
      <c r="F206" s="4" t="s">
        <v>559</v>
      </c>
      <c r="G206" s="4" t="s">
        <v>562</v>
      </c>
      <c r="H206" s="4" t="s">
        <v>445</v>
      </c>
      <c r="I206" s="4" t="str">
        <f t="shared" si="38"/>
        <v>1010</v>
      </c>
      <c r="J206" s="4" t="s">
        <v>769</v>
      </c>
      <c r="K206" s="4" t="s">
        <v>770</v>
      </c>
      <c r="L206" s="4" t="s">
        <v>769</v>
      </c>
      <c r="M206" s="4" t="s">
        <v>770</v>
      </c>
      <c r="N206" s="4" t="s">
        <v>771</v>
      </c>
      <c r="O206" s="4" t="s">
        <v>772</v>
      </c>
      <c r="P206" s="4" t="s">
        <v>563</v>
      </c>
      <c r="Q206" s="4" t="s">
        <v>773</v>
      </c>
      <c r="S206" s="4" t="str">
        <f>"00825084982420"</f>
        <v>00825084982420</v>
      </c>
      <c r="T206" s="24">
        <v>40060</v>
      </c>
      <c r="U206" s="24">
        <v>40060</v>
      </c>
      <c r="V206" s="24">
        <v>1</v>
      </c>
      <c r="W206" s="4" t="s">
        <v>773</v>
      </c>
      <c r="X206" s="4" t="s">
        <v>563</v>
      </c>
      <c r="Y206" s="4" t="str">
        <f t="shared" si="29"/>
        <v>1010</v>
      </c>
      <c r="Z206" s="4" t="str">
        <f t="shared" si="33"/>
        <v>11</v>
      </c>
      <c r="AA206" s="4" t="s">
        <v>93</v>
      </c>
      <c r="AB206" s="4" t="s">
        <v>564</v>
      </c>
      <c r="AC206" s="4" t="s">
        <v>563</v>
      </c>
      <c r="AD206" s="4" t="s">
        <v>565</v>
      </c>
      <c r="AE206" s="4" t="s">
        <v>566</v>
      </c>
      <c r="AF206" s="4" t="s">
        <v>567</v>
      </c>
      <c r="AH206" s="4" t="s">
        <v>568</v>
      </c>
      <c r="AI206" s="4" t="s">
        <v>569</v>
      </c>
      <c r="AJ206" s="4" t="s">
        <v>570</v>
      </c>
      <c r="AK206" s="4" t="s">
        <v>577</v>
      </c>
      <c r="AL206" s="4" t="s">
        <v>578</v>
      </c>
      <c r="AN206" s="4" t="str">
        <f t="shared" si="35"/>
        <v>1</v>
      </c>
      <c r="AO206" s="4" t="s">
        <v>606</v>
      </c>
      <c r="AP206" s="4" t="s">
        <v>574</v>
      </c>
      <c r="AQ206" s="4" t="s">
        <v>575</v>
      </c>
      <c r="AR206" s="4" t="str">
        <f t="shared" si="34"/>
        <v>.7500</v>
      </c>
      <c r="AS206" s="4" t="str">
        <f>"9.07"</f>
        <v>9.07</v>
      </c>
      <c r="AT206" s="4" t="s">
        <v>607</v>
      </c>
      <c r="AU206" s="4" t="str">
        <f>"9.07"</f>
        <v>9.07</v>
      </c>
      <c r="AV206" s="4">
        <v>120</v>
      </c>
      <c r="AW206" s="4">
        <v>-82</v>
      </c>
      <c r="AX206" s="4">
        <v>-739.19</v>
      </c>
      <c r="AY206" s="4">
        <v>38</v>
      </c>
      <c r="AZ206" s="4">
        <v>16.690000000000001</v>
      </c>
      <c r="BA206" s="4">
        <v>1088.45</v>
      </c>
      <c r="BB206" s="4">
        <v>332.57</v>
      </c>
      <c r="BC206" s="4">
        <v>1071.76</v>
      </c>
      <c r="BD206" s="4">
        <v>0</v>
      </c>
    </row>
    <row r="207" spans="1:56" x14ac:dyDescent="0.2">
      <c r="A207" s="4" t="s">
        <v>558</v>
      </c>
      <c r="B207" s="4" t="s">
        <v>559</v>
      </c>
      <c r="C207" s="4" t="s">
        <v>560</v>
      </c>
      <c r="D207" s="4" t="s">
        <v>445</v>
      </c>
      <c r="E207" s="4" t="s">
        <v>561</v>
      </c>
      <c r="F207" s="4" t="s">
        <v>559</v>
      </c>
      <c r="G207" s="4" t="s">
        <v>562</v>
      </c>
      <c r="H207" s="4" t="s">
        <v>445</v>
      </c>
      <c r="I207" s="4" t="str">
        <f t="shared" si="38"/>
        <v>1010</v>
      </c>
      <c r="J207" s="4" t="s">
        <v>769</v>
      </c>
      <c r="K207" s="4" t="s">
        <v>770</v>
      </c>
      <c r="L207" s="4" t="s">
        <v>769</v>
      </c>
      <c r="M207" s="4" t="s">
        <v>770</v>
      </c>
      <c r="N207" s="4" t="s">
        <v>771</v>
      </c>
      <c r="O207" s="4" t="s">
        <v>772</v>
      </c>
      <c r="P207" s="4" t="s">
        <v>563</v>
      </c>
      <c r="Q207" s="4" t="s">
        <v>774</v>
      </c>
      <c r="S207" s="4" t="str">
        <f>"00825084982321"</f>
        <v>00825084982321</v>
      </c>
      <c r="T207" s="24">
        <v>40088</v>
      </c>
      <c r="U207" s="24">
        <v>40088</v>
      </c>
      <c r="V207" s="24">
        <v>1</v>
      </c>
      <c r="W207" s="4" t="s">
        <v>774</v>
      </c>
      <c r="X207" s="4" t="s">
        <v>563</v>
      </c>
      <c r="Y207" s="4" t="str">
        <f t="shared" si="29"/>
        <v>1010</v>
      </c>
      <c r="Z207" s="4" t="str">
        <f t="shared" si="33"/>
        <v>11</v>
      </c>
      <c r="AA207" s="4" t="s">
        <v>93</v>
      </c>
      <c r="AB207" s="4" t="s">
        <v>564</v>
      </c>
      <c r="AC207" s="4" t="s">
        <v>563</v>
      </c>
      <c r="AD207" s="4" t="s">
        <v>565</v>
      </c>
      <c r="AE207" s="4" t="s">
        <v>566</v>
      </c>
      <c r="AF207" s="4" t="s">
        <v>567</v>
      </c>
      <c r="AH207" s="4" t="s">
        <v>568</v>
      </c>
      <c r="AI207" s="4" t="s">
        <v>589</v>
      </c>
      <c r="AJ207" s="4" t="s">
        <v>590</v>
      </c>
      <c r="AK207" s="4" t="s">
        <v>571</v>
      </c>
      <c r="AL207" s="4" t="s">
        <v>572</v>
      </c>
      <c r="AN207" s="4" t="str">
        <f>"2"</f>
        <v>2</v>
      </c>
      <c r="AO207" s="4" t="s">
        <v>775</v>
      </c>
      <c r="AP207" s="4" t="s">
        <v>574</v>
      </c>
      <c r="AQ207" s="4" t="s">
        <v>575</v>
      </c>
      <c r="AR207" s="4" t="str">
        <f>"1.8000"</f>
        <v>1.8000</v>
      </c>
      <c r="AS207" s="4" t="str">
        <f>"15.49"</f>
        <v>15.49</v>
      </c>
      <c r="AT207" s="4" t="s">
        <v>776</v>
      </c>
      <c r="AU207" s="4" t="str">
        <f>"15.49"</f>
        <v>15.49</v>
      </c>
      <c r="AV207" s="4">
        <v>1</v>
      </c>
      <c r="AW207" s="4">
        <v>0</v>
      </c>
      <c r="AX207" s="4">
        <v>0</v>
      </c>
      <c r="AY207" s="4">
        <v>1</v>
      </c>
      <c r="AZ207" s="4">
        <v>0</v>
      </c>
      <c r="BA207" s="4">
        <v>15.49</v>
      </c>
      <c r="BB207" s="4">
        <v>15.49</v>
      </c>
      <c r="BC207" s="4">
        <v>15.49</v>
      </c>
      <c r="BD207" s="4">
        <v>0</v>
      </c>
    </row>
    <row r="208" spans="1:56" x14ac:dyDescent="0.2">
      <c r="A208" s="4" t="s">
        <v>558</v>
      </c>
      <c r="B208" s="4" t="s">
        <v>559</v>
      </c>
      <c r="C208" s="4" t="s">
        <v>560</v>
      </c>
      <c r="D208" s="4" t="s">
        <v>445</v>
      </c>
      <c r="E208" s="4" t="s">
        <v>561</v>
      </c>
      <c r="F208" s="4" t="s">
        <v>559</v>
      </c>
      <c r="G208" s="4" t="s">
        <v>562</v>
      </c>
      <c r="H208" s="4" t="s">
        <v>445</v>
      </c>
      <c r="I208" s="4" t="str">
        <f t="shared" si="38"/>
        <v>1010</v>
      </c>
      <c r="J208" s="4" t="s">
        <v>777</v>
      </c>
      <c r="K208" s="4" t="s">
        <v>778</v>
      </c>
      <c r="L208" s="4" t="s">
        <v>777</v>
      </c>
      <c r="M208" s="4" t="s">
        <v>778</v>
      </c>
      <c r="N208" s="4" t="s">
        <v>779</v>
      </c>
      <c r="O208" s="4" t="s">
        <v>780</v>
      </c>
      <c r="P208" s="4" t="s">
        <v>563</v>
      </c>
      <c r="Q208" s="4" t="str">
        <f>"8088218332"</f>
        <v>8088218332</v>
      </c>
      <c r="S208" s="4" t="str">
        <f>"00880882183325"</f>
        <v>00880882183325</v>
      </c>
      <c r="T208" s="24">
        <v>41320</v>
      </c>
      <c r="U208" s="24">
        <v>41320</v>
      </c>
      <c r="V208" s="24">
        <v>1</v>
      </c>
      <c r="W208" s="4" t="str">
        <f>"8088218332"</f>
        <v>8088218332</v>
      </c>
      <c r="X208" s="4" t="s">
        <v>563</v>
      </c>
      <c r="Y208" s="4" t="str">
        <f t="shared" si="29"/>
        <v>1010</v>
      </c>
      <c r="Z208" s="4" t="str">
        <f t="shared" si="33"/>
        <v>11</v>
      </c>
      <c r="AA208" s="4" t="s">
        <v>93</v>
      </c>
      <c r="AB208" s="4" t="s">
        <v>564</v>
      </c>
      <c r="AC208" s="4" t="s">
        <v>563</v>
      </c>
      <c r="AD208" s="4" t="s">
        <v>565</v>
      </c>
      <c r="AE208" s="4" t="s">
        <v>566</v>
      </c>
      <c r="AF208" s="4" t="s">
        <v>567</v>
      </c>
      <c r="AH208" s="4" t="s">
        <v>568</v>
      </c>
      <c r="AI208" s="4" t="s">
        <v>569</v>
      </c>
      <c r="AJ208" s="4" t="s">
        <v>570</v>
      </c>
      <c r="AK208" s="4" t="s">
        <v>577</v>
      </c>
      <c r="AL208" s="4" t="s">
        <v>578</v>
      </c>
      <c r="AN208" s="4" t="str">
        <f>"3"</f>
        <v>3</v>
      </c>
      <c r="AO208" s="4" t="s">
        <v>781</v>
      </c>
      <c r="AP208" s="4" t="s">
        <v>584</v>
      </c>
      <c r="AQ208" s="4" t="s">
        <v>575</v>
      </c>
      <c r="AR208" s="4" t="str">
        <f>".7500"</f>
        <v>.7500</v>
      </c>
      <c r="AS208" s="4" t="str">
        <f>"14.81"</f>
        <v>14.81</v>
      </c>
      <c r="AT208" s="4" t="s">
        <v>782</v>
      </c>
      <c r="AU208" s="4" t="str">
        <f>"14.81"</f>
        <v>14.81</v>
      </c>
      <c r="AV208" s="4">
        <v>586</v>
      </c>
      <c r="AW208" s="4">
        <v>-134</v>
      </c>
      <c r="AX208" s="4">
        <v>-1966.34</v>
      </c>
      <c r="AY208" s="4">
        <v>452</v>
      </c>
      <c r="AZ208" s="4">
        <v>357.75</v>
      </c>
      <c r="BA208" s="4">
        <v>8677.09</v>
      </c>
      <c r="BB208" s="4">
        <v>6353</v>
      </c>
      <c r="BC208" s="4">
        <v>8319.34</v>
      </c>
      <c r="BD208" s="4">
        <v>0</v>
      </c>
    </row>
    <row r="209" spans="1:56" x14ac:dyDescent="0.2">
      <c r="A209" s="4" t="s">
        <v>558</v>
      </c>
      <c r="B209" s="4" t="s">
        <v>559</v>
      </c>
      <c r="C209" s="4" t="s">
        <v>560</v>
      </c>
      <c r="D209" s="4" t="s">
        <v>445</v>
      </c>
      <c r="E209" s="4" t="s">
        <v>561</v>
      </c>
      <c r="F209" s="4" t="s">
        <v>559</v>
      </c>
      <c r="G209" s="4" t="s">
        <v>562</v>
      </c>
      <c r="H209" s="4" t="s">
        <v>445</v>
      </c>
      <c r="I209" s="4" t="str">
        <f t="shared" si="38"/>
        <v>1010</v>
      </c>
      <c r="J209" s="4" t="s">
        <v>777</v>
      </c>
      <c r="K209" s="4" t="s">
        <v>778</v>
      </c>
      <c r="L209" s="4" t="s">
        <v>777</v>
      </c>
      <c r="M209" s="4" t="s">
        <v>778</v>
      </c>
      <c r="N209" s="4" t="s">
        <v>779</v>
      </c>
      <c r="O209" s="4" t="s">
        <v>783</v>
      </c>
      <c r="P209" s="4" t="s">
        <v>563</v>
      </c>
      <c r="Q209" s="4" t="str">
        <f>"8088218662"</f>
        <v>8088218662</v>
      </c>
      <c r="S209" s="4" t="str">
        <f>"00880882186623"</f>
        <v>00880882186623</v>
      </c>
      <c r="T209" s="24">
        <v>41446</v>
      </c>
      <c r="U209" s="24">
        <v>41446</v>
      </c>
      <c r="V209" s="24">
        <v>1</v>
      </c>
      <c r="W209" s="4" t="str">
        <f>"8088218662"</f>
        <v>8088218662</v>
      </c>
      <c r="X209" s="4" t="s">
        <v>563</v>
      </c>
      <c r="Y209" s="4" t="str">
        <f t="shared" si="29"/>
        <v>1010</v>
      </c>
      <c r="Z209" s="4" t="str">
        <f t="shared" si="33"/>
        <v>11</v>
      </c>
      <c r="AA209" s="4" t="s">
        <v>93</v>
      </c>
      <c r="AB209" s="4" t="s">
        <v>564</v>
      </c>
      <c r="AC209" s="4" t="s">
        <v>563</v>
      </c>
      <c r="AD209" s="4" t="s">
        <v>565</v>
      </c>
      <c r="AE209" s="4" t="s">
        <v>566</v>
      </c>
      <c r="AF209" s="4" t="s">
        <v>567</v>
      </c>
      <c r="AH209" s="4" t="s">
        <v>568</v>
      </c>
      <c r="AI209" s="4" t="s">
        <v>569</v>
      </c>
      <c r="AJ209" s="4" t="s">
        <v>570</v>
      </c>
      <c r="AK209" s="4" t="s">
        <v>577</v>
      </c>
      <c r="AL209" s="4" t="s">
        <v>578</v>
      </c>
      <c r="AN209" s="4" t="str">
        <f>"2"</f>
        <v>2</v>
      </c>
      <c r="AO209" s="4" t="s">
        <v>645</v>
      </c>
      <c r="AP209" s="4" t="s">
        <v>584</v>
      </c>
      <c r="AQ209" s="4" t="s">
        <v>575</v>
      </c>
      <c r="AR209" s="4" t="str">
        <f>".7500"</f>
        <v>.7500</v>
      </c>
      <c r="AS209" s="4" t="str">
        <f>"10.32"</f>
        <v>10.32</v>
      </c>
      <c r="AT209" s="4" t="s">
        <v>646</v>
      </c>
      <c r="AU209" s="4" t="str">
        <f>"10.32"</f>
        <v>10.32</v>
      </c>
      <c r="AV209" s="4">
        <v>1023</v>
      </c>
      <c r="AW209" s="4">
        <v>-29</v>
      </c>
      <c r="AX209" s="4">
        <v>-292.63</v>
      </c>
      <c r="AY209" s="4">
        <v>994</v>
      </c>
      <c r="AZ209" s="4">
        <v>302.51</v>
      </c>
      <c r="BA209" s="4">
        <v>10502.31</v>
      </c>
      <c r="BB209" s="4">
        <v>9907.17</v>
      </c>
      <c r="BC209" s="4">
        <v>10199.799999999999</v>
      </c>
      <c r="BD209" s="4">
        <v>0</v>
      </c>
    </row>
    <row r="210" spans="1:56" x14ac:dyDescent="0.2">
      <c r="A210" s="4" t="s">
        <v>558</v>
      </c>
      <c r="B210" s="4" t="s">
        <v>559</v>
      </c>
      <c r="C210" s="4" t="s">
        <v>560</v>
      </c>
      <c r="D210" s="4" t="s">
        <v>445</v>
      </c>
      <c r="E210" s="4" t="s">
        <v>561</v>
      </c>
      <c r="F210" s="4" t="s">
        <v>559</v>
      </c>
      <c r="G210" s="4" t="s">
        <v>562</v>
      </c>
      <c r="H210" s="4" t="s">
        <v>445</v>
      </c>
      <c r="I210" s="4" t="str">
        <f t="shared" si="38"/>
        <v>1010</v>
      </c>
      <c r="J210" s="4" t="s">
        <v>777</v>
      </c>
      <c r="K210" s="4" t="s">
        <v>778</v>
      </c>
      <c r="L210" s="4" t="s">
        <v>777</v>
      </c>
      <c r="M210" s="4" t="s">
        <v>778</v>
      </c>
      <c r="N210" s="4" t="s">
        <v>779</v>
      </c>
      <c r="O210" s="4" t="s">
        <v>783</v>
      </c>
      <c r="P210" s="4" t="s">
        <v>563</v>
      </c>
      <c r="Q210" s="4" t="str">
        <f>"8088218662"</f>
        <v>8088218662</v>
      </c>
      <c r="S210" s="4" t="str">
        <f>"00880882186623"</f>
        <v>00880882186623</v>
      </c>
      <c r="T210" s="24">
        <v>41446</v>
      </c>
      <c r="U210" s="24">
        <v>41446</v>
      </c>
      <c r="V210" s="24">
        <v>1</v>
      </c>
      <c r="W210" s="4" t="str">
        <f>"8088218662"</f>
        <v>8088218662</v>
      </c>
      <c r="X210" s="4" t="s">
        <v>563</v>
      </c>
      <c r="Y210" s="4" t="str">
        <f t="shared" si="29"/>
        <v>1010</v>
      </c>
      <c r="Z210" s="4" t="str">
        <f>"53"</f>
        <v>53</v>
      </c>
      <c r="AA210" s="4" t="s">
        <v>93</v>
      </c>
      <c r="AB210" s="4" t="s">
        <v>564</v>
      </c>
      <c r="AC210" s="4" t="s">
        <v>563</v>
      </c>
      <c r="AD210" s="4" t="s">
        <v>565</v>
      </c>
      <c r="AE210" s="4" t="s">
        <v>566</v>
      </c>
      <c r="AF210" s="4" t="s">
        <v>568</v>
      </c>
      <c r="AH210" s="4" t="s">
        <v>568</v>
      </c>
      <c r="AI210" s="4" t="s">
        <v>569</v>
      </c>
      <c r="AJ210" s="4" t="s">
        <v>570</v>
      </c>
      <c r="AK210" s="4" t="s">
        <v>577</v>
      </c>
      <c r="AL210" s="4" t="s">
        <v>578</v>
      </c>
      <c r="AN210" s="4" t="str">
        <f>"2"</f>
        <v>2</v>
      </c>
      <c r="AO210" s="4" t="s">
        <v>645</v>
      </c>
      <c r="AP210" s="4" t="s">
        <v>584</v>
      </c>
      <c r="AQ210" s="4" t="s">
        <v>575</v>
      </c>
      <c r="AR210" s="4" t="str">
        <f>".7500"</f>
        <v>.7500</v>
      </c>
      <c r="AS210" s="4" t="str">
        <f>"10.32"</f>
        <v>10.32</v>
      </c>
      <c r="AT210" s="4" t="s">
        <v>646</v>
      </c>
      <c r="AU210" s="4" t="str">
        <f>"10.32"</f>
        <v>10.32</v>
      </c>
      <c r="AV210" s="4">
        <v>2</v>
      </c>
      <c r="AW210" s="4">
        <v>0</v>
      </c>
      <c r="AX210" s="4">
        <v>0</v>
      </c>
      <c r="AY210" s="4">
        <v>2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</row>
    <row r="211" spans="1:56" x14ac:dyDescent="0.2">
      <c r="A211" s="4" t="s">
        <v>558</v>
      </c>
      <c r="B211" s="4" t="s">
        <v>559</v>
      </c>
      <c r="C211" s="4" t="s">
        <v>560</v>
      </c>
      <c r="D211" s="4" t="s">
        <v>445</v>
      </c>
      <c r="E211" s="4" t="s">
        <v>561</v>
      </c>
      <c r="F211" s="4" t="s">
        <v>559</v>
      </c>
      <c r="G211" s="4" t="s">
        <v>562</v>
      </c>
      <c r="H211" s="4" t="s">
        <v>445</v>
      </c>
      <c r="I211" s="4" t="str">
        <f>"1030"</f>
        <v>1030</v>
      </c>
      <c r="J211" s="4" t="s">
        <v>444</v>
      </c>
      <c r="K211" s="4" t="s">
        <v>443</v>
      </c>
      <c r="L211" s="4" t="s">
        <v>444</v>
      </c>
      <c r="M211" s="4" t="s">
        <v>445</v>
      </c>
      <c r="N211" s="4" t="s">
        <v>784</v>
      </c>
      <c r="O211" s="4" t="s">
        <v>453</v>
      </c>
      <c r="P211" s="4" t="s">
        <v>563</v>
      </c>
      <c r="Q211" s="4" t="str">
        <f>"8088218481"</f>
        <v>8088218481</v>
      </c>
      <c r="S211" s="4" t="str">
        <f>"00880882184810"</f>
        <v>00880882184810</v>
      </c>
      <c r="T211" s="24">
        <v>41376</v>
      </c>
      <c r="U211" s="24">
        <v>41376</v>
      </c>
      <c r="V211" s="24">
        <v>1</v>
      </c>
      <c r="W211" s="4" t="str">
        <f>"8088218481"</f>
        <v>8088218481</v>
      </c>
      <c r="X211" s="4" t="s">
        <v>563</v>
      </c>
      <c r="Y211" s="4" t="str">
        <f>"1030"</f>
        <v>1030</v>
      </c>
      <c r="Z211" s="4" t="str">
        <f>"11"</f>
        <v>11</v>
      </c>
      <c r="AA211" s="4" t="s">
        <v>93</v>
      </c>
      <c r="AB211" s="4" t="s">
        <v>564</v>
      </c>
      <c r="AC211" s="4" t="s">
        <v>563</v>
      </c>
      <c r="AD211" s="4" t="s">
        <v>785</v>
      </c>
      <c r="AE211" s="4" t="s">
        <v>786</v>
      </c>
      <c r="AF211" s="4" t="s">
        <v>567</v>
      </c>
      <c r="AH211" s="4" t="s">
        <v>568</v>
      </c>
      <c r="AI211" s="4" t="s">
        <v>569</v>
      </c>
      <c r="AJ211" s="4" t="s">
        <v>570</v>
      </c>
      <c r="AK211" s="4" t="s">
        <v>571</v>
      </c>
      <c r="AL211" s="4" t="s">
        <v>572</v>
      </c>
      <c r="AN211" s="4" t="str">
        <f>"1"</f>
        <v>1</v>
      </c>
      <c r="AO211" s="4" t="s">
        <v>573</v>
      </c>
      <c r="AP211" s="4" t="s">
        <v>584</v>
      </c>
      <c r="AQ211" s="4" t="s">
        <v>575</v>
      </c>
      <c r="AR211" s="4" t="str">
        <f>"1.8000"</f>
        <v>1.8000</v>
      </c>
      <c r="AS211" s="4" t="str">
        <f>"10.40"</f>
        <v>10.40</v>
      </c>
      <c r="AT211" s="4" t="s">
        <v>576</v>
      </c>
      <c r="AU211" s="4" t="str">
        <f>"10.40"</f>
        <v>10.40</v>
      </c>
      <c r="AV211" s="4">
        <v>6</v>
      </c>
      <c r="AW211" s="4">
        <v>0</v>
      </c>
      <c r="AX211" s="4">
        <v>0</v>
      </c>
      <c r="AY211" s="4">
        <v>6</v>
      </c>
      <c r="AZ211" s="4">
        <v>0</v>
      </c>
      <c r="BA211" s="4">
        <v>62.4</v>
      </c>
      <c r="BB211" s="4">
        <v>62.4</v>
      </c>
      <c r="BC211" s="4">
        <v>62.4</v>
      </c>
      <c r="BD211" s="4">
        <v>0</v>
      </c>
    </row>
    <row r="212" spans="1:56" x14ac:dyDescent="0.2">
      <c r="A212" s="4" t="s">
        <v>558</v>
      </c>
      <c r="B212" s="4" t="s">
        <v>559</v>
      </c>
      <c r="C212" s="4" t="s">
        <v>560</v>
      </c>
      <c r="D212" s="4" t="s">
        <v>445</v>
      </c>
      <c r="E212" s="4" t="s">
        <v>561</v>
      </c>
      <c r="F212" s="4" t="s">
        <v>559</v>
      </c>
      <c r="G212" s="4" t="s">
        <v>562</v>
      </c>
      <c r="H212" s="4" t="s">
        <v>445</v>
      </c>
      <c r="I212" s="4" t="str">
        <f>"1030"</f>
        <v>1030</v>
      </c>
      <c r="J212" s="4" t="s">
        <v>444</v>
      </c>
      <c r="K212" s="4" t="s">
        <v>443</v>
      </c>
      <c r="L212" s="4" t="s">
        <v>444</v>
      </c>
      <c r="M212" s="4" t="s">
        <v>445</v>
      </c>
      <c r="N212" s="4" t="s">
        <v>784</v>
      </c>
      <c r="O212" s="4" t="s">
        <v>453</v>
      </c>
      <c r="P212" s="4" t="s">
        <v>563</v>
      </c>
      <c r="Q212" s="4" t="str">
        <f>"8088218482"</f>
        <v>8088218482</v>
      </c>
      <c r="S212" s="4" t="str">
        <f>"00880882184827"</f>
        <v>00880882184827</v>
      </c>
      <c r="T212" s="24">
        <v>41376</v>
      </c>
      <c r="U212" s="24">
        <v>41376</v>
      </c>
      <c r="V212" s="24">
        <v>1</v>
      </c>
      <c r="W212" s="4" t="str">
        <f>"8088218482"</f>
        <v>8088218482</v>
      </c>
      <c r="X212" s="4" t="s">
        <v>563</v>
      </c>
      <c r="Y212" s="4" t="str">
        <f>"1030"</f>
        <v>1030</v>
      </c>
      <c r="Z212" s="4" t="str">
        <f>"11"</f>
        <v>11</v>
      </c>
      <c r="AA212" s="4" t="s">
        <v>93</v>
      </c>
      <c r="AB212" s="4" t="s">
        <v>564</v>
      </c>
      <c r="AC212" s="4" t="s">
        <v>563</v>
      </c>
      <c r="AD212" s="4" t="s">
        <v>785</v>
      </c>
      <c r="AE212" s="4" t="s">
        <v>786</v>
      </c>
      <c r="AF212" s="4" t="s">
        <v>567</v>
      </c>
      <c r="AH212" s="4" t="s">
        <v>568</v>
      </c>
      <c r="AI212" s="4" t="s">
        <v>569</v>
      </c>
      <c r="AJ212" s="4" t="s">
        <v>570</v>
      </c>
      <c r="AK212" s="4" t="s">
        <v>577</v>
      </c>
      <c r="AL212" s="4" t="s">
        <v>578</v>
      </c>
      <c r="AN212" s="4" t="str">
        <f>"1"</f>
        <v>1</v>
      </c>
      <c r="AO212" s="4" t="s">
        <v>579</v>
      </c>
      <c r="AP212" s="4" t="s">
        <v>584</v>
      </c>
      <c r="AQ212" s="4" t="s">
        <v>580</v>
      </c>
      <c r="AR212" s="4" t="str">
        <f>".7500"</f>
        <v>.7500</v>
      </c>
      <c r="AS212" s="4" t="str">
        <f>"7.50"</f>
        <v>7.50</v>
      </c>
      <c r="AT212" s="4" t="s">
        <v>581</v>
      </c>
      <c r="AU212" s="4" t="str">
        <f>"7.50"</f>
        <v>7.50</v>
      </c>
      <c r="AV212" s="4">
        <v>34</v>
      </c>
      <c r="AW212" s="4">
        <v>-87</v>
      </c>
      <c r="AX212" s="4">
        <v>-492.05</v>
      </c>
      <c r="AY212" s="4">
        <v>-53</v>
      </c>
      <c r="AZ212" s="4">
        <v>1.73</v>
      </c>
      <c r="BA212" s="4">
        <v>255.01</v>
      </c>
      <c r="BB212" s="4">
        <v>-238.77</v>
      </c>
      <c r="BC212" s="4">
        <v>253.28</v>
      </c>
      <c r="BD212" s="4">
        <v>0</v>
      </c>
    </row>
  </sheetData>
  <autoFilter ref="A9:BD2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C8" sqref="C8"/>
    </sheetView>
  </sheetViews>
  <sheetFormatPr defaultRowHeight="12.75" x14ac:dyDescent="0.2"/>
  <cols>
    <col min="1" max="1" width="18.28515625" bestFit="1" customWidth="1"/>
    <col min="2" max="2" width="17" customWidth="1"/>
    <col min="3" max="3" width="12.85546875" bestFit="1" customWidth="1"/>
    <col min="4" max="4" width="11.7109375" customWidth="1"/>
    <col min="5" max="5" width="20.42578125" bestFit="1" customWidth="1"/>
    <col min="6" max="6" width="23.5703125" bestFit="1" customWidth="1"/>
    <col min="7" max="7" width="25.85546875" bestFit="1" customWidth="1"/>
    <col min="8" max="8" width="12.28515625" customWidth="1"/>
    <col min="9" max="10" width="11.7109375" customWidth="1"/>
  </cols>
  <sheetData>
    <row r="2" spans="1:3" x14ac:dyDescent="0.2">
      <c r="A2" s="2" t="s">
        <v>4</v>
      </c>
      <c r="B2" t="s">
        <v>94</v>
      </c>
    </row>
    <row r="3" spans="1:3" x14ac:dyDescent="0.2">
      <c r="A3" s="2" t="s">
        <v>3</v>
      </c>
      <c r="B3" t="s">
        <v>36</v>
      </c>
    </row>
    <row r="5" spans="1:3" x14ac:dyDescent="0.2">
      <c r="A5" s="2" t="s">
        <v>35</v>
      </c>
      <c r="B5" s="2" t="s">
        <v>32</v>
      </c>
    </row>
    <row r="6" spans="1:3" x14ac:dyDescent="0.2">
      <c r="A6" s="2" t="s">
        <v>34</v>
      </c>
      <c r="B6" t="s">
        <v>441</v>
      </c>
      <c r="C6" t="s">
        <v>33</v>
      </c>
    </row>
    <row r="7" spans="1:3" x14ac:dyDescent="0.2">
      <c r="A7" s="3" t="s">
        <v>127</v>
      </c>
      <c r="B7" s="20">
        <v>-296097.35000000003</v>
      </c>
      <c r="C7" s="20">
        <v>-296097.35000000003</v>
      </c>
    </row>
    <row r="8" spans="1:3" x14ac:dyDescent="0.2">
      <c r="A8" s="3" t="s">
        <v>239</v>
      </c>
      <c r="B8" s="20">
        <v>65788.09</v>
      </c>
      <c r="C8" s="20">
        <v>65788.09</v>
      </c>
    </row>
    <row r="9" spans="1:3" x14ac:dyDescent="0.2">
      <c r="A9" s="3" t="s">
        <v>97</v>
      </c>
      <c r="B9" s="20">
        <v>21894.66</v>
      </c>
      <c r="C9" s="20">
        <v>21894.66</v>
      </c>
    </row>
    <row r="10" spans="1:3" x14ac:dyDescent="0.2">
      <c r="A10" s="3" t="s">
        <v>112</v>
      </c>
      <c r="B10" s="20">
        <v>47855.939999999988</v>
      </c>
      <c r="C10" s="20">
        <v>47855.939999999988</v>
      </c>
    </row>
    <row r="11" spans="1:3" x14ac:dyDescent="0.2">
      <c r="A11" s="3" t="s">
        <v>330</v>
      </c>
      <c r="B11" s="20">
        <v>13820.1</v>
      </c>
      <c r="C11" s="20">
        <v>13820.1</v>
      </c>
    </row>
    <row r="12" spans="1:3" x14ac:dyDescent="0.2">
      <c r="A12" s="3" t="s">
        <v>101</v>
      </c>
      <c r="B12" s="20">
        <v>23528.599999999995</v>
      </c>
      <c r="C12" s="20">
        <v>23528.599999999995</v>
      </c>
    </row>
    <row r="13" spans="1:3" x14ac:dyDescent="0.2">
      <c r="A13" s="3" t="s">
        <v>173</v>
      </c>
      <c r="B13" s="20">
        <v>10499.44</v>
      </c>
      <c r="C13" s="20">
        <v>10499.44</v>
      </c>
    </row>
    <row r="14" spans="1:3" x14ac:dyDescent="0.2">
      <c r="A14" s="3" t="s">
        <v>75</v>
      </c>
      <c r="B14" s="20">
        <v>-39897.419999999991</v>
      </c>
      <c r="C14" s="20">
        <v>-39897.419999999991</v>
      </c>
    </row>
    <row r="15" spans="1:3" x14ac:dyDescent="0.2">
      <c r="A15" s="3" t="s">
        <v>76</v>
      </c>
      <c r="B15" s="20">
        <v>-0.8999999999996362</v>
      </c>
      <c r="C15" s="20">
        <v>-0.8999999999996362</v>
      </c>
    </row>
    <row r="16" spans="1:3" x14ac:dyDescent="0.2">
      <c r="A16" s="3" t="s">
        <v>214</v>
      </c>
      <c r="B16" s="20">
        <v>22736.84</v>
      </c>
      <c r="C16" s="20">
        <v>22736.84</v>
      </c>
    </row>
    <row r="17" spans="1:3" x14ac:dyDescent="0.2">
      <c r="A17" s="3" t="s">
        <v>439</v>
      </c>
      <c r="B17" s="20">
        <v>11688.57</v>
      </c>
      <c r="C17" s="20">
        <v>11688.57</v>
      </c>
    </row>
    <row r="18" spans="1:3" x14ac:dyDescent="0.2">
      <c r="A18" s="3" t="s">
        <v>33</v>
      </c>
      <c r="B18" s="20">
        <v>-118183.43000000002</v>
      </c>
      <c r="C18" s="20">
        <v>-118183.43000000002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opLeftCell="O168" workbookViewId="0">
      <selection activeCell="Y20" sqref="Y20"/>
    </sheetView>
  </sheetViews>
  <sheetFormatPr defaultColWidth="11.42578125" defaultRowHeight="12.75" outlineLevelRow="6" x14ac:dyDescent="0.2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5703125" bestFit="1" customWidth="1"/>
    <col min="8" max="8" width="8.5703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0.28515625" bestFit="1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5703125" bestFit="1" customWidth="1"/>
    <col min="19" max="19" width="7.5703125" bestFit="1" customWidth="1"/>
  </cols>
  <sheetData>
    <row r="1" spans="1:19" s="23" customFormat="1" x14ac:dyDescent="0.2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</row>
    <row r="2" spans="1:19" s="23" customFormat="1" outlineLevel="6" x14ac:dyDescent="0.2">
      <c r="A2" s="27" t="s">
        <v>20</v>
      </c>
      <c r="B2" s="27" t="s">
        <v>21</v>
      </c>
      <c r="C2" s="27"/>
      <c r="D2" s="27"/>
      <c r="E2" s="27" t="s">
        <v>94</v>
      </c>
      <c r="F2" s="27"/>
      <c r="G2" s="27" t="s">
        <v>95</v>
      </c>
      <c r="H2" s="27" t="s">
        <v>96</v>
      </c>
      <c r="I2" s="28">
        <v>41517</v>
      </c>
      <c r="J2" s="27" t="s">
        <v>22</v>
      </c>
      <c r="K2" s="27" t="s">
        <v>23</v>
      </c>
      <c r="L2" s="29">
        <v>5765.6</v>
      </c>
      <c r="M2" s="27" t="s">
        <v>24</v>
      </c>
      <c r="N2" s="27" t="s">
        <v>97</v>
      </c>
      <c r="O2" s="27" t="s">
        <v>98</v>
      </c>
      <c r="P2" s="28">
        <v>41517</v>
      </c>
      <c r="Q2" s="27" t="s">
        <v>99</v>
      </c>
      <c r="R2" s="27"/>
      <c r="S2" s="27" t="s">
        <v>25</v>
      </c>
    </row>
    <row r="3" spans="1:19" s="23" customFormat="1" outlineLevel="6" x14ac:dyDescent="0.2">
      <c r="A3" s="27" t="s">
        <v>20</v>
      </c>
      <c r="B3" s="27" t="s">
        <v>21</v>
      </c>
      <c r="C3" s="27"/>
      <c r="D3" s="27"/>
      <c r="E3" s="27" t="s">
        <v>94</v>
      </c>
      <c r="F3" s="27"/>
      <c r="G3" s="27" t="s">
        <v>95</v>
      </c>
      <c r="H3" s="27" t="s">
        <v>100</v>
      </c>
      <c r="I3" s="28">
        <v>41517</v>
      </c>
      <c r="J3" s="27" t="s">
        <v>22</v>
      </c>
      <c r="K3" s="27" t="s">
        <v>23</v>
      </c>
      <c r="L3" s="29">
        <v>1056.74</v>
      </c>
      <c r="M3" s="27" t="s">
        <v>24</v>
      </c>
      <c r="N3" s="27" t="s">
        <v>101</v>
      </c>
      <c r="O3" s="27" t="s">
        <v>98</v>
      </c>
      <c r="P3" s="28">
        <v>41517</v>
      </c>
      <c r="Q3" s="27" t="s">
        <v>102</v>
      </c>
      <c r="R3" s="27"/>
      <c r="S3" s="27" t="s">
        <v>25</v>
      </c>
    </row>
    <row r="4" spans="1:19" s="23" customFormat="1" outlineLevel="6" x14ac:dyDescent="0.2">
      <c r="A4" s="27" t="s">
        <v>20</v>
      </c>
      <c r="B4" s="27" t="s">
        <v>21</v>
      </c>
      <c r="C4" s="27"/>
      <c r="D4" s="27"/>
      <c r="E4" s="27" t="s">
        <v>94</v>
      </c>
      <c r="F4" s="27"/>
      <c r="G4" s="27" t="s">
        <v>95</v>
      </c>
      <c r="H4" s="27" t="s">
        <v>103</v>
      </c>
      <c r="I4" s="28">
        <v>41517</v>
      </c>
      <c r="J4" s="27" t="s">
        <v>22</v>
      </c>
      <c r="K4" s="27" t="s">
        <v>23</v>
      </c>
      <c r="L4" s="29">
        <v>2833.14</v>
      </c>
      <c r="M4" s="27" t="s">
        <v>24</v>
      </c>
      <c r="N4" s="27" t="s">
        <v>101</v>
      </c>
      <c r="O4" s="27" t="s">
        <v>98</v>
      </c>
      <c r="P4" s="28">
        <v>41517</v>
      </c>
      <c r="Q4" s="27" t="s">
        <v>104</v>
      </c>
      <c r="R4" s="27"/>
      <c r="S4" s="27" t="s">
        <v>25</v>
      </c>
    </row>
    <row r="5" spans="1:19" s="23" customFormat="1" outlineLevel="6" x14ac:dyDescent="0.2">
      <c r="A5" s="27" t="s">
        <v>20</v>
      </c>
      <c r="B5" s="27" t="s">
        <v>21</v>
      </c>
      <c r="C5" s="27"/>
      <c r="D5" s="27"/>
      <c r="E5" s="27" t="s">
        <v>94</v>
      </c>
      <c r="F5" s="27"/>
      <c r="G5" s="27" t="s">
        <v>95</v>
      </c>
      <c r="H5" s="27" t="s">
        <v>105</v>
      </c>
      <c r="I5" s="28">
        <v>41517</v>
      </c>
      <c r="J5" s="27" t="s">
        <v>22</v>
      </c>
      <c r="K5" s="27" t="s">
        <v>23</v>
      </c>
      <c r="L5" s="29">
        <v>315</v>
      </c>
      <c r="M5" s="27" t="s">
        <v>24</v>
      </c>
      <c r="N5" s="27" t="s">
        <v>101</v>
      </c>
      <c r="O5" s="27" t="s">
        <v>98</v>
      </c>
      <c r="P5" s="28">
        <v>41517</v>
      </c>
      <c r="Q5" s="27" t="s">
        <v>106</v>
      </c>
      <c r="R5" s="27"/>
      <c r="S5" s="27" t="s">
        <v>25</v>
      </c>
    </row>
    <row r="6" spans="1:19" s="23" customFormat="1" outlineLevel="6" x14ac:dyDescent="0.2">
      <c r="A6" s="27" t="s">
        <v>20</v>
      </c>
      <c r="B6" s="27" t="s">
        <v>21</v>
      </c>
      <c r="C6" s="27"/>
      <c r="D6" s="27"/>
      <c r="E6" s="27" t="s">
        <v>94</v>
      </c>
      <c r="F6" s="27"/>
      <c r="G6" s="27" t="s">
        <v>95</v>
      </c>
      <c r="H6" s="27" t="s">
        <v>107</v>
      </c>
      <c r="I6" s="28">
        <v>41517</v>
      </c>
      <c r="J6" s="27" t="s">
        <v>22</v>
      </c>
      <c r="K6" s="27" t="s">
        <v>23</v>
      </c>
      <c r="L6" s="29">
        <v>0.91</v>
      </c>
      <c r="M6" s="27" t="s">
        <v>24</v>
      </c>
      <c r="N6" s="27" t="s">
        <v>101</v>
      </c>
      <c r="O6" s="27" t="s">
        <v>98</v>
      </c>
      <c r="P6" s="28">
        <v>41517</v>
      </c>
      <c r="Q6" s="27" t="s">
        <v>108</v>
      </c>
      <c r="R6" s="27"/>
      <c r="S6" s="27" t="s">
        <v>25</v>
      </c>
    </row>
    <row r="7" spans="1:19" s="23" customFormat="1" outlineLevel="6" x14ac:dyDescent="0.2">
      <c r="A7" s="27" t="s">
        <v>20</v>
      </c>
      <c r="B7" s="27" t="s">
        <v>21</v>
      </c>
      <c r="C7" s="27"/>
      <c r="D7" s="27"/>
      <c r="E7" s="27" t="s">
        <v>94</v>
      </c>
      <c r="F7" s="27"/>
      <c r="G7" s="27" t="s">
        <v>95</v>
      </c>
      <c r="H7" s="27" t="s">
        <v>109</v>
      </c>
      <c r="I7" s="28">
        <v>41517</v>
      </c>
      <c r="J7" s="27" t="s">
        <v>22</v>
      </c>
      <c r="K7" s="27" t="s">
        <v>23</v>
      </c>
      <c r="L7" s="29">
        <v>9295.42</v>
      </c>
      <c r="M7" s="27" t="s">
        <v>24</v>
      </c>
      <c r="N7" s="27" t="s">
        <v>101</v>
      </c>
      <c r="O7" s="27" t="s">
        <v>98</v>
      </c>
      <c r="P7" s="28">
        <v>41517</v>
      </c>
      <c r="Q7" s="27" t="s">
        <v>110</v>
      </c>
      <c r="R7" s="27"/>
      <c r="S7" s="27" t="s">
        <v>25</v>
      </c>
    </row>
    <row r="8" spans="1:19" s="23" customFormat="1" outlineLevel="6" x14ac:dyDescent="0.2">
      <c r="A8" s="27" t="s">
        <v>20</v>
      </c>
      <c r="B8" s="27" t="s">
        <v>21</v>
      </c>
      <c r="C8" s="27"/>
      <c r="D8" s="27"/>
      <c r="E8" s="27" t="s">
        <v>94</v>
      </c>
      <c r="F8" s="27"/>
      <c r="G8" s="27" t="s">
        <v>95</v>
      </c>
      <c r="H8" s="27" t="s">
        <v>111</v>
      </c>
      <c r="I8" s="28">
        <v>41517</v>
      </c>
      <c r="J8" s="27" t="s">
        <v>22</v>
      </c>
      <c r="K8" s="27" t="s">
        <v>23</v>
      </c>
      <c r="L8" s="29">
        <v>10.37</v>
      </c>
      <c r="M8" s="27" t="s">
        <v>24</v>
      </c>
      <c r="N8" s="27" t="s">
        <v>112</v>
      </c>
      <c r="O8" s="27" t="s">
        <v>98</v>
      </c>
      <c r="P8" s="28">
        <v>41517</v>
      </c>
      <c r="Q8" s="27" t="s">
        <v>113</v>
      </c>
      <c r="R8" s="27"/>
      <c r="S8" s="27" t="s">
        <v>25</v>
      </c>
    </row>
    <row r="9" spans="1:19" s="23" customFormat="1" outlineLevel="6" x14ac:dyDescent="0.2">
      <c r="A9" s="27" t="s">
        <v>20</v>
      </c>
      <c r="B9" s="27" t="s">
        <v>21</v>
      </c>
      <c r="C9" s="27"/>
      <c r="D9" s="27"/>
      <c r="E9" s="27" t="s">
        <v>94</v>
      </c>
      <c r="F9" s="27"/>
      <c r="G9" s="27" t="s">
        <v>95</v>
      </c>
      <c r="H9" s="27" t="s">
        <v>114</v>
      </c>
      <c r="I9" s="28">
        <v>41517</v>
      </c>
      <c r="J9" s="27" t="s">
        <v>22</v>
      </c>
      <c r="K9" s="27" t="s">
        <v>23</v>
      </c>
      <c r="L9" s="29">
        <v>25.92</v>
      </c>
      <c r="M9" s="27" t="s">
        <v>24</v>
      </c>
      <c r="N9" s="27" t="s">
        <v>112</v>
      </c>
      <c r="O9" s="27" t="s">
        <v>98</v>
      </c>
      <c r="P9" s="28">
        <v>41517</v>
      </c>
      <c r="Q9" s="27" t="s">
        <v>115</v>
      </c>
      <c r="R9" s="27"/>
      <c r="S9" s="27" t="s">
        <v>25</v>
      </c>
    </row>
    <row r="10" spans="1:19" s="23" customFormat="1" outlineLevel="6" x14ac:dyDescent="0.2">
      <c r="A10" s="27" t="s">
        <v>20</v>
      </c>
      <c r="B10" s="27" t="s">
        <v>21</v>
      </c>
      <c r="C10" s="27"/>
      <c r="D10" s="27"/>
      <c r="E10" s="27" t="s">
        <v>94</v>
      </c>
      <c r="F10" s="27"/>
      <c r="G10" s="27" t="s">
        <v>95</v>
      </c>
      <c r="H10" s="27" t="s">
        <v>116</v>
      </c>
      <c r="I10" s="28">
        <v>41517</v>
      </c>
      <c r="J10" s="27" t="s">
        <v>22</v>
      </c>
      <c r="K10" s="27" t="s">
        <v>23</v>
      </c>
      <c r="L10" s="29">
        <v>18578.03</v>
      </c>
      <c r="M10" s="27" t="s">
        <v>24</v>
      </c>
      <c r="N10" s="27" t="s">
        <v>112</v>
      </c>
      <c r="O10" s="27" t="s">
        <v>98</v>
      </c>
      <c r="P10" s="28">
        <v>41517</v>
      </c>
      <c r="Q10" s="27" t="s">
        <v>117</v>
      </c>
      <c r="R10" s="27"/>
      <c r="S10" s="27" t="s">
        <v>25</v>
      </c>
    </row>
    <row r="11" spans="1:19" s="23" customFormat="1" outlineLevel="6" x14ac:dyDescent="0.2">
      <c r="A11" s="27" t="s">
        <v>20</v>
      </c>
      <c r="B11" s="27" t="s">
        <v>21</v>
      </c>
      <c r="C11" s="27"/>
      <c r="D11" s="27"/>
      <c r="E11" s="27" t="s">
        <v>94</v>
      </c>
      <c r="F11" s="27"/>
      <c r="G11" s="27" t="s">
        <v>95</v>
      </c>
      <c r="H11" s="27" t="s">
        <v>118</v>
      </c>
      <c r="I11" s="28">
        <v>41517</v>
      </c>
      <c r="J11" s="27" t="s">
        <v>22</v>
      </c>
      <c r="K11" s="27" t="s">
        <v>23</v>
      </c>
      <c r="L11" s="29">
        <v>1.82</v>
      </c>
      <c r="M11" s="27" t="s">
        <v>24</v>
      </c>
      <c r="N11" s="27" t="s">
        <v>112</v>
      </c>
      <c r="O11" s="27" t="s">
        <v>98</v>
      </c>
      <c r="P11" s="28">
        <v>41517</v>
      </c>
      <c r="Q11" s="27" t="s">
        <v>119</v>
      </c>
      <c r="R11" s="27"/>
      <c r="S11" s="27" t="s">
        <v>25</v>
      </c>
    </row>
    <row r="12" spans="1:19" s="23" customFormat="1" outlineLevel="6" x14ac:dyDescent="0.2">
      <c r="A12" s="27" t="s">
        <v>20</v>
      </c>
      <c r="B12" s="27" t="s">
        <v>21</v>
      </c>
      <c r="C12" s="27"/>
      <c r="D12" s="27"/>
      <c r="E12" s="27" t="s">
        <v>94</v>
      </c>
      <c r="F12" s="27"/>
      <c r="G12" s="27" t="s">
        <v>95</v>
      </c>
      <c r="H12" s="27" t="s">
        <v>120</v>
      </c>
      <c r="I12" s="28">
        <v>41517</v>
      </c>
      <c r="J12" s="27" t="s">
        <v>22</v>
      </c>
      <c r="K12" s="27" t="s">
        <v>23</v>
      </c>
      <c r="L12" s="29">
        <v>2112.75</v>
      </c>
      <c r="M12" s="27" t="s">
        <v>24</v>
      </c>
      <c r="N12" s="27" t="s">
        <v>112</v>
      </c>
      <c r="O12" s="27" t="s">
        <v>98</v>
      </c>
      <c r="P12" s="28">
        <v>41517</v>
      </c>
      <c r="Q12" s="27" t="s">
        <v>121</v>
      </c>
      <c r="R12" s="27"/>
      <c r="S12" s="27" t="s">
        <v>25</v>
      </c>
    </row>
    <row r="13" spans="1:19" s="23" customFormat="1" outlineLevel="6" x14ac:dyDescent="0.2">
      <c r="A13" s="27" t="s">
        <v>20</v>
      </c>
      <c r="B13" s="27" t="s">
        <v>21</v>
      </c>
      <c r="C13" s="27"/>
      <c r="D13" s="27"/>
      <c r="E13" s="27" t="s">
        <v>94</v>
      </c>
      <c r="F13" s="27"/>
      <c r="G13" s="27" t="s">
        <v>95</v>
      </c>
      <c r="H13" s="27" t="s">
        <v>122</v>
      </c>
      <c r="I13" s="28">
        <v>41517</v>
      </c>
      <c r="J13" s="27" t="s">
        <v>22</v>
      </c>
      <c r="K13" s="27" t="s">
        <v>23</v>
      </c>
      <c r="L13" s="29">
        <v>17215.48</v>
      </c>
      <c r="M13" s="27" t="s">
        <v>24</v>
      </c>
      <c r="N13" s="27" t="s">
        <v>112</v>
      </c>
      <c r="O13" s="27" t="s">
        <v>98</v>
      </c>
      <c r="P13" s="28">
        <v>41517</v>
      </c>
      <c r="Q13" s="27" t="s">
        <v>123</v>
      </c>
      <c r="R13" s="27"/>
      <c r="S13" s="27" t="s">
        <v>25</v>
      </c>
    </row>
    <row r="14" spans="1:19" s="23" customFormat="1" outlineLevel="6" x14ac:dyDescent="0.2">
      <c r="A14" s="27" t="s">
        <v>20</v>
      </c>
      <c r="B14" s="27" t="s">
        <v>21</v>
      </c>
      <c r="C14" s="27"/>
      <c r="D14" s="27"/>
      <c r="E14" s="27" t="s">
        <v>94</v>
      </c>
      <c r="F14" s="27"/>
      <c r="G14" s="27" t="s">
        <v>95</v>
      </c>
      <c r="H14" s="27" t="s">
        <v>124</v>
      </c>
      <c r="I14" s="28">
        <v>41517</v>
      </c>
      <c r="J14" s="27" t="s">
        <v>22</v>
      </c>
      <c r="K14" s="27" t="s">
        <v>23</v>
      </c>
      <c r="L14" s="29">
        <v>5640.31</v>
      </c>
      <c r="M14" s="27" t="s">
        <v>24</v>
      </c>
      <c r="N14" s="27" t="s">
        <v>112</v>
      </c>
      <c r="O14" s="27" t="s">
        <v>98</v>
      </c>
      <c r="P14" s="28">
        <v>41517</v>
      </c>
      <c r="Q14" s="27" t="s">
        <v>125</v>
      </c>
      <c r="R14" s="27"/>
      <c r="S14" s="27" t="s">
        <v>25</v>
      </c>
    </row>
    <row r="15" spans="1:19" s="23" customFormat="1" outlineLevel="5" x14ac:dyDescent="0.2">
      <c r="A15" s="27" t="s">
        <v>20</v>
      </c>
      <c r="B15" s="27" t="s">
        <v>21</v>
      </c>
      <c r="C15" s="27"/>
      <c r="D15" s="27"/>
      <c r="E15" s="27" t="s">
        <v>94</v>
      </c>
      <c r="F15" s="27"/>
      <c r="G15" s="27" t="s">
        <v>95</v>
      </c>
      <c r="H15" s="27" t="s">
        <v>126</v>
      </c>
      <c r="I15" s="28">
        <v>41517</v>
      </c>
      <c r="J15" s="27" t="s">
        <v>22</v>
      </c>
      <c r="K15" s="27" t="s">
        <v>23</v>
      </c>
      <c r="L15" s="29">
        <v>-148.1</v>
      </c>
      <c r="M15" s="27" t="s">
        <v>24</v>
      </c>
      <c r="N15" s="27" t="s">
        <v>127</v>
      </c>
      <c r="O15" s="27" t="s">
        <v>98</v>
      </c>
      <c r="P15" s="28">
        <v>41517</v>
      </c>
      <c r="Q15" s="27" t="s">
        <v>128</v>
      </c>
      <c r="R15" s="27"/>
      <c r="S15" s="27" t="s">
        <v>25</v>
      </c>
    </row>
    <row r="16" spans="1:19" x14ac:dyDescent="0.2">
      <c r="A16" s="27" t="s">
        <v>20</v>
      </c>
      <c r="B16" s="27" t="s">
        <v>21</v>
      </c>
      <c r="C16" s="27"/>
      <c r="D16" s="27"/>
      <c r="E16" s="27" t="s">
        <v>94</v>
      </c>
      <c r="F16" s="27"/>
      <c r="G16" s="27" t="s">
        <v>95</v>
      </c>
      <c r="H16" s="27" t="s">
        <v>129</v>
      </c>
      <c r="I16" s="28">
        <v>41517</v>
      </c>
      <c r="J16" s="27" t="s">
        <v>22</v>
      </c>
      <c r="K16" s="27" t="s">
        <v>23</v>
      </c>
      <c r="L16" s="29">
        <v>-13225.02</v>
      </c>
      <c r="M16" s="27" t="s">
        <v>24</v>
      </c>
      <c r="N16" s="27" t="s">
        <v>127</v>
      </c>
      <c r="O16" s="27" t="s">
        <v>98</v>
      </c>
      <c r="P16" s="28">
        <v>41517</v>
      </c>
      <c r="Q16" s="27" t="s">
        <v>130</v>
      </c>
      <c r="R16" s="27"/>
      <c r="S16" s="27" t="s">
        <v>25</v>
      </c>
    </row>
    <row r="17" spans="1:19" x14ac:dyDescent="0.2">
      <c r="A17" s="27" t="s">
        <v>20</v>
      </c>
      <c r="B17" s="27" t="s">
        <v>21</v>
      </c>
      <c r="C17" s="27"/>
      <c r="D17" s="27"/>
      <c r="E17" s="27" t="s">
        <v>94</v>
      </c>
      <c r="F17" s="27"/>
      <c r="G17" s="27" t="s">
        <v>95</v>
      </c>
      <c r="H17" s="27" t="s">
        <v>131</v>
      </c>
      <c r="I17" s="28">
        <v>41517</v>
      </c>
      <c r="J17" s="27" t="s">
        <v>22</v>
      </c>
      <c r="K17" s="27" t="s">
        <v>23</v>
      </c>
      <c r="L17" s="29">
        <v>-34202.99</v>
      </c>
      <c r="M17" s="27" t="s">
        <v>24</v>
      </c>
      <c r="N17" s="27" t="s">
        <v>127</v>
      </c>
      <c r="O17" s="27" t="s">
        <v>98</v>
      </c>
      <c r="P17" s="28">
        <v>41517</v>
      </c>
      <c r="Q17" s="27" t="s">
        <v>132</v>
      </c>
      <c r="R17" s="27"/>
      <c r="S17" s="27" t="s">
        <v>25</v>
      </c>
    </row>
    <row r="18" spans="1:19" x14ac:dyDescent="0.2">
      <c r="A18" s="27" t="s">
        <v>20</v>
      </c>
      <c r="B18" s="27" t="s">
        <v>21</v>
      </c>
      <c r="C18" s="27"/>
      <c r="D18" s="27"/>
      <c r="E18" s="27" t="s">
        <v>94</v>
      </c>
      <c r="F18" s="27"/>
      <c r="G18" s="27" t="s">
        <v>95</v>
      </c>
      <c r="H18" s="27" t="s">
        <v>133</v>
      </c>
      <c r="I18" s="28">
        <v>41517</v>
      </c>
      <c r="J18" s="27" t="s">
        <v>22</v>
      </c>
      <c r="K18" s="27" t="s">
        <v>23</v>
      </c>
      <c r="L18" s="29">
        <v>-110476.75</v>
      </c>
      <c r="M18" s="27" t="s">
        <v>24</v>
      </c>
      <c r="N18" s="27" t="s">
        <v>127</v>
      </c>
      <c r="O18" s="27" t="s">
        <v>98</v>
      </c>
      <c r="P18" s="28">
        <v>41517</v>
      </c>
      <c r="Q18" s="27" t="s">
        <v>134</v>
      </c>
      <c r="R18" s="27"/>
      <c r="S18" s="27" t="s">
        <v>25</v>
      </c>
    </row>
    <row r="19" spans="1:19" x14ac:dyDescent="0.2">
      <c r="A19" s="27" t="s">
        <v>20</v>
      </c>
      <c r="B19" s="27" t="s">
        <v>21</v>
      </c>
      <c r="C19" s="27"/>
      <c r="D19" s="27"/>
      <c r="E19" s="27" t="s">
        <v>94</v>
      </c>
      <c r="F19" s="27"/>
      <c r="G19" s="27" t="s">
        <v>95</v>
      </c>
      <c r="H19" s="27" t="s">
        <v>135</v>
      </c>
      <c r="I19" s="28">
        <v>41517</v>
      </c>
      <c r="J19" s="27" t="s">
        <v>22</v>
      </c>
      <c r="K19" s="27" t="s">
        <v>23</v>
      </c>
      <c r="L19" s="29">
        <v>-10.4</v>
      </c>
      <c r="M19" s="27" t="s">
        <v>24</v>
      </c>
      <c r="N19" s="27" t="s">
        <v>127</v>
      </c>
      <c r="O19" s="27" t="s">
        <v>98</v>
      </c>
      <c r="P19" s="28">
        <v>41517</v>
      </c>
      <c r="Q19" s="27" t="s">
        <v>136</v>
      </c>
      <c r="R19" s="27"/>
      <c r="S19" s="27" t="s">
        <v>25</v>
      </c>
    </row>
    <row r="20" spans="1:19" x14ac:dyDescent="0.2">
      <c r="A20" s="27" t="s">
        <v>20</v>
      </c>
      <c r="B20" s="27" t="s">
        <v>21</v>
      </c>
      <c r="C20" s="27"/>
      <c r="D20" s="27"/>
      <c r="E20" s="27" t="s">
        <v>94</v>
      </c>
      <c r="F20" s="27"/>
      <c r="G20" s="27" t="s">
        <v>95</v>
      </c>
      <c r="H20" s="27" t="s">
        <v>137</v>
      </c>
      <c r="I20" s="28">
        <v>41517</v>
      </c>
      <c r="J20" s="27" t="s">
        <v>22</v>
      </c>
      <c r="K20" s="27" t="s">
        <v>23</v>
      </c>
      <c r="L20" s="29">
        <v>-1.62</v>
      </c>
      <c r="M20" s="27" t="s">
        <v>24</v>
      </c>
      <c r="N20" s="27" t="s">
        <v>76</v>
      </c>
      <c r="O20" s="27" t="s">
        <v>98</v>
      </c>
      <c r="P20" s="28">
        <v>41517</v>
      </c>
      <c r="Q20" s="27" t="s">
        <v>138</v>
      </c>
      <c r="R20" s="27"/>
      <c r="S20" s="27" t="s">
        <v>25</v>
      </c>
    </row>
    <row r="21" spans="1:19" x14ac:dyDescent="0.2">
      <c r="A21" s="27" t="s">
        <v>20</v>
      </c>
      <c r="B21" s="27" t="s">
        <v>21</v>
      </c>
      <c r="C21" s="27"/>
      <c r="D21" s="27"/>
      <c r="E21" s="27" t="s">
        <v>94</v>
      </c>
      <c r="F21" s="27"/>
      <c r="G21" s="27" t="s">
        <v>95</v>
      </c>
      <c r="H21" s="27" t="s">
        <v>139</v>
      </c>
      <c r="I21" s="28">
        <v>41517</v>
      </c>
      <c r="J21" s="27" t="s">
        <v>22</v>
      </c>
      <c r="K21" s="27" t="s">
        <v>23</v>
      </c>
      <c r="L21" s="29">
        <v>-0.05</v>
      </c>
      <c r="M21" s="27" t="s">
        <v>24</v>
      </c>
      <c r="N21" s="27" t="s">
        <v>76</v>
      </c>
      <c r="O21" s="27" t="s">
        <v>98</v>
      </c>
      <c r="P21" s="28">
        <v>41517</v>
      </c>
      <c r="Q21" s="27" t="s">
        <v>140</v>
      </c>
      <c r="R21" s="27"/>
      <c r="S21" s="27" t="s">
        <v>25</v>
      </c>
    </row>
    <row r="22" spans="1:19" x14ac:dyDescent="0.2">
      <c r="A22" s="27" t="s">
        <v>20</v>
      </c>
      <c r="B22" s="27" t="s">
        <v>21</v>
      </c>
      <c r="C22" s="27"/>
      <c r="D22" s="27"/>
      <c r="E22" s="27" t="s">
        <v>94</v>
      </c>
      <c r="F22" s="27"/>
      <c r="G22" s="27" t="s">
        <v>95</v>
      </c>
      <c r="H22" s="27" t="s">
        <v>141</v>
      </c>
      <c r="I22" s="28">
        <v>41517</v>
      </c>
      <c r="J22" s="27" t="s">
        <v>22</v>
      </c>
      <c r="K22" s="27" t="s">
        <v>23</v>
      </c>
      <c r="L22" s="29">
        <v>-0.06</v>
      </c>
      <c r="M22" s="27" t="s">
        <v>24</v>
      </c>
      <c r="N22" s="27" t="s">
        <v>76</v>
      </c>
      <c r="O22" s="27" t="s">
        <v>98</v>
      </c>
      <c r="P22" s="28">
        <v>41517</v>
      </c>
      <c r="Q22" s="27" t="s">
        <v>142</v>
      </c>
      <c r="R22" s="27"/>
      <c r="S22" s="27" t="s">
        <v>25</v>
      </c>
    </row>
    <row r="23" spans="1:19" x14ac:dyDescent="0.2">
      <c r="A23" s="27" t="s">
        <v>20</v>
      </c>
      <c r="B23" s="27" t="s">
        <v>21</v>
      </c>
      <c r="C23" s="27"/>
      <c r="D23" s="27"/>
      <c r="E23" s="27" t="s">
        <v>94</v>
      </c>
      <c r="F23" s="27"/>
      <c r="G23" s="27" t="s">
        <v>95</v>
      </c>
      <c r="H23" s="27" t="s">
        <v>143</v>
      </c>
      <c r="I23" s="28">
        <v>41517</v>
      </c>
      <c r="J23" s="27" t="s">
        <v>22</v>
      </c>
      <c r="K23" s="27" t="s">
        <v>23</v>
      </c>
      <c r="L23" s="29">
        <v>-0.03</v>
      </c>
      <c r="M23" s="27" t="s">
        <v>24</v>
      </c>
      <c r="N23" s="27" t="s">
        <v>76</v>
      </c>
      <c r="O23" s="27" t="s">
        <v>98</v>
      </c>
      <c r="P23" s="28">
        <v>41517</v>
      </c>
      <c r="Q23" s="27" t="s">
        <v>144</v>
      </c>
      <c r="R23" s="27"/>
      <c r="S23" s="27" t="s">
        <v>25</v>
      </c>
    </row>
    <row r="24" spans="1:19" x14ac:dyDescent="0.2">
      <c r="A24" s="27" t="s">
        <v>20</v>
      </c>
      <c r="B24" s="27" t="s">
        <v>21</v>
      </c>
      <c r="C24" s="27"/>
      <c r="D24" s="27"/>
      <c r="E24" s="27" t="s">
        <v>94</v>
      </c>
      <c r="F24" s="27"/>
      <c r="G24" s="27" t="s">
        <v>95</v>
      </c>
      <c r="H24" s="27" t="s">
        <v>145</v>
      </c>
      <c r="I24" s="28">
        <v>41517</v>
      </c>
      <c r="J24" s="27" t="s">
        <v>22</v>
      </c>
      <c r="K24" s="27" t="s">
        <v>23</v>
      </c>
      <c r="L24" s="29">
        <v>-0.02</v>
      </c>
      <c r="M24" s="27" t="s">
        <v>24</v>
      </c>
      <c r="N24" s="27" t="s">
        <v>76</v>
      </c>
      <c r="O24" s="27" t="s">
        <v>98</v>
      </c>
      <c r="P24" s="28">
        <v>41517</v>
      </c>
      <c r="Q24" s="27" t="s">
        <v>146</v>
      </c>
      <c r="R24" s="27"/>
      <c r="S24" s="27" t="s">
        <v>25</v>
      </c>
    </row>
    <row r="25" spans="1:19" x14ac:dyDescent="0.2">
      <c r="A25" s="27" t="s">
        <v>20</v>
      </c>
      <c r="B25" s="27" t="s">
        <v>21</v>
      </c>
      <c r="C25" s="27"/>
      <c r="D25" s="27"/>
      <c r="E25" s="27" t="s">
        <v>94</v>
      </c>
      <c r="F25" s="27"/>
      <c r="G25" s="27" t="s">
        <v>95</v>
      </c>
      <c r="H25" s="27" t="s">
        <v>147</v>
      </c>
      <c r="I25" s="28">
        <v>41517</v>
      </c>
      <c r="J25" s="27" t="s">
        <v>22</v>
      </c>
      <c r="K25" s="27" t="s">
        <v>23</v>
      </c>
      <c r="L25" s="29">
        <v>0.44</v>
      </c>
      <c r="M25" s="27" t="s">
        <v>24</v>
      </c>
      <c r="N25" s="27" t="s">
        <v>76</v>
      </c>
      <c r="O25" s="27" t="s">
        <v>98</v>
      </c>
      <c r="P25" s="28">
        <v>41517</v>
      </c>
      <c r="Q25" s="27" t="s">
        <v>148</v>
      </c>
      <c r="R25" s="27"/>
      <c r="S25" s="27" t="s">
        <v>25</v>
      </c>
    </row>
    <row r="26" spans="1:19" x14ac:dyDescent="0.2">
      <c r="A26" s="27" t="s">
        <v>20</v>
      </c>
      <c r="B26" s="27" t="s">
        <v>21</v>
      </c>
      <c r="C26" s="27"/>
      <c r="D26" s="27"/>
      <c r="E26" s="27" t="s">
        <v>94</v>
      </c>
      <c r="F26" s="27"/>
      <c r="G26" s="27" t="s">
        <v>95</v>
      </c>
      <c r="H26" s="27" t="s">
        <v>149</v>
      </c>
      <c r="I26" s="28">
        <v>41517</v>
      </c>
      <c r="J26" s="27" t="s">
        <v>22</v>
      </c>
      <c r="K26" s="27" t="s">
        <v>23</v>
      </c>
      <c r="L26" s="29">
        <v>0.49</v>
      </c>
      <c r="M26" s="27" t="s">
        <v>24</v>
      </c>
      <c r="N26" s="27" t="s">
        <v>76</v>
      </c>
      <c r="O26" s="27" t="s">
        <v>98</v>
      </c>
      <c r="P26" s="28">
        <v>41517</v>
      </c>
      <c r="Q26" s="27" t="s">
        <v>150</v>
      </c>
      <c r="R26" s="27"/>
      <c r="S26" s="27" t="s">
        <v>25</v>
      </c>
    </row>
    <row r="27" spans="1:19" x14ac:dyDescent="0.2">
      <c r="A27" s="27" t="s">
        <v>20</v>
      </c>
      <c r="B27" s="27" t="s">
        <v>21</v>
      </c>
      <c r="C27" s="27"/>
      <c r="D27" s="27"/>
      <c r="E27" s="27" t="s">
        <v>94</v>
      </c>
      <c r="F27" s="27"/>
      <c r="G27" s="27" t="s">
        <v>95</v>
      </c>
      <c r="H27" s="27" t="s">
        <v>151</v>
      </c>
      <c r="I27" s="28">
        <v>41517</v>
      </c>
      <c r="J27" s="27" t="s">
        <v>22</v>
      </c>
      <c r="K27" s="27" t="s">
        <v>23</v>
      </c>
      <c r="L27" s="29">
        <v>0.65</v>
      </c>
      <c r="M27" s="27" t="s">
        <v>24</v>
      </c>
      <c r="N27" s="27" t="s">
        <v>76</v>
      </c>
      <c r="O27" s="27" t="s">
        <v>98</v>
      </c>
      <c r="P27" s="28">
        <v>41517</v>
      </c>
      <c r="Q27" s="27" t="s">
        <v>152</v>
      </c>
      <c r="R27" s="27"/>
      <c r="S27" s="27" t="s">
        <v>25</v>
      </c>
    </row>
    <row r="28" spans="1:19" x14ac:dyDescent="0.2">
      <c r="A28" s="27" t="s">
        <v>20</v>
      </c>
      <c r="B28" s="27" t="s">
        <v>21</v>
      </c>
      <c r="C28" s="27"/>
      <c r="D28" s="27"/>
      <c r="E28" s="27" t="s">
        <v>94</v>
      </c>
      <c r="F28" s="27"/>
      <c r="G28" s="27" t="s">
        <v>95</v>
      </c>
      <c r="H28" s="27" t="s">
        <v>153</v>
      </c>
      <c r="I28" s="28">
        <v>41517</v>
      </c>
      <c r="J28" s="27" t="s">
        <v>22</v>
      </c>
      <c r="K28" s="27" t="s">
        <v>23</v>
      </c>
      <c r="L28" s="29">
        <v>1.37</v>
      </c>
      <c r="M28" s="27" t="s">
        <v>24</v>
      </c>
      <c r="N28" s="27" t="s">
        <v>76</v>
      </c>
      <c r="O28" s="27" t="s">
        <v>98</v>
      </c>
      <c r="P28" s="28">
        <v>41517</v>
      </c>
      <c r="Q28" s="27" t="s">
        <v>154</v>
      </c>
      <c r="R28" s="27"/>
      <c r="S28" s="27" t="s">
        <v>25</v>
      </c>
    </row>
    <row r="29" spans="1:19" x14ac:dyDescent="0.2">
      <c r="A29" s="27" t="s">
        <v>20</v>
      </c>
      <c r="B29" s="27" t="s">
        <v>21</v>
      </c>
      <c r="C29" s="27"/>
      <c r="D29" s="27"/>
      <c r="E29" s="27" t="s">
        <v>94</v>
      </c>
      <c r="F29" s="27"/>
      <c r="G29" s="27" t="s">
        <v>95</v>
      </c>
      <c r="H29" s="27" t="s">
        <v>155</v>
      </c>
      <c r="I29" s="28">
        <v>41517</v>
      </c>
      <c r="J29" s="27" t="s">
        <v>22</v>
      </c>
      <c r="K29" s="27" t="s">
        <v>23</v>
      </c>
      <c r="L29" s="29">
        <v>1.21</v>
      </c>
      <c r="M29" s="27" t="s">
        <v>24</v>
      </c>
      <c r="N29" s="27" t="s">
        <v>76</v>
      </c>
      <c r="O29" s="27" t="s">
        <v>98</v>
      </c>
      <c r="P29" s="28">
        <v>41517</v>
      </c>
      <c r="Q29" s="27" t="s">
        <v>156</v>
      </c>
      <c r="R29" s="27"/>
      <c r="S29" s="27" t="s">
        <v>25</v>
      </c>
    </row>
    <row r="30" spans="1:19" x14ac:dyDescent="0.2">
      <c r="A30" s="27" t="s">
        <v>20</v>
      </c>
      <c r="B30" s="27" t="s">
        <v>21</v>
      </c>
      <c r="C30" s="27"/>
      <c r="D30" s="27"/>
      <c r="E30" s="27" t="s">
        <v>94</v>
      </c>
      <c r="F30" s="27"/>
      <c r="G30" s="27" t="s">
        <v>95</v>
      </c>
      <c r="H30" s="27" t="s">
        <v>157</v>
      </c>
      <c r="I30" s="28">
        <v>41517</v>
      </c>
      <c r="J30" s="27" t="s">
        <v>22</v>
      </c>
      <c r="K30" s="27" t="s">
        <v>23</v>
      </c>
      <c r="L30" s="29">
        <v>0.28999999999999998</v>
      </c>
      <c r="M30" s="27" t="s">
        <v>24</v>
      </c>
      <c r="N30" s="27" t="s">
        <v>76</v>
      </c>
      <c r="O30" s="27" t="s">
        <v>98</v>
      </c>
      <c r="P30" s="28">
        <v>41517</v>
      </c>
      <c r="Q30" s="27" t="s">
        <v>78</v>
      </c>
      <c r="R30" s="27"/>
      <c r="S30" s="27" t="s">
        <v>25</v>
      </c>
    </row>
    <row r="31" spans="1:19" x14ac:dyDescent="0.2">
      <c r="A31" s="27" t="s">
        <v>20</v>
      </c>
      <c r="B31" s="27" t="s">
        <v>21</v>
      </c>
      <c r="C31" s="27"/>
      <c r="D31" s="27"/>
      <c r="E31" s="27" t="s">
        <v>94</v>
      </c>
      <c r="F31" s="27"/>
      <c r="G31" s="27" t="s">
        <v>95</v>
      </c>
      <c r="H31" s="27" t="s">
        <v>158</v>
      </c>
      <c r="I31" s="28">
        <v>41517</v>
      </c>
      <c r="J31" s="27" t="s">
        <v>22</v>
      </c>
      <c r="K31" s="27" t="s">
        <v>23</v>
      </c>
      <c r="L31" s="29">
        <v>0.55000000000000004</v>
      </c>
      <c r="M31" s="27" t="s">
        <v>24</v>
      </c>
      <c r="N31" s="27" t="s">
        <v>76</v>
      </c>
      <c r="O31" s="27" t="s">
        <v>98</v>
      </c>
      <c r="P31" s="28">
        <v>41517</v>
      </c>
      <c r="Q31" s="27" t="s">
        <v>159</v>
      </c>
      <c r="R31" s="27"/>
      <c r="S31" s="27" t="s">
        <v>25</v>
      </c>
    </row>
    <row r="32" spans="1:19" x14ac:dyDescent="0.2">
      <c r="A32" s="27" t="s">
        <v>20</v>
      </c>
      <c r="B32" s="27" t="s">
        <v>21</v>
      </c>
      <c r="C32" s="27"/>
      <c r="D32" s="27"/>
      <c r="E32" s="27" t="s">
        <v>94</v>
      </c>
      <c r="F32" s="27"/>
      <c r="G32" s="27" t="s">
        <v>95</v>
      </c>
      <c r="H32" s="27" t="s">
        <v>160</v>
      </c>
      <c r="I32" s="28">
        <v>41517</v>
      </c>
      <c r="J32" s="27" t="s">
        <v>22</v>
      </c>
      <c r="K32" s="27" t="s">
        <v>23</v>
      </c>
      <c r="L32" s="29">
        <v>0.62</v>
      </c>
      <c r="M32" s="27" t="s">
        <v>24</v>
      </c>
      <c r="N32" s="27" t="s">
        <v>76</v>
      </c>
      <c r="O32" s="27" t="s">
        <v>98</v>
      </c>
      <c r="P32" s="28">
        <v>41517</v>
      </c>
      <c r="Q32" s="27" t="s">
        <v>161</v>
      </c>
      <c r="R32" s="27"/>
      <c r="S32" s="27" t="s">
        <v>25</v>
      </c>
    </row>
    <row r="33" spans="1:19" x14ac:dyDescent="0.2">
      <c r="A33" s="27" t="s">
        <v>20</v>
      </c>
      <c r="B33" s="27" t="s">
        <v>21</v>
      </c>
      <c r="C33" s="27"/>
      <c r="D33" s="27"/>
      <c r="E33" s="27" t="s">
        <v>94</v>
      </c>
      <c r="F33" s="27"/>
      <c r="G33" s="27" t="s">
        <v>95</v>
      </c>
      <c r="H33" s="27" t="s">
        <v>162</v>
      </c>
      <c r="I33" s="28">
        <v>41517</v>
      </c>
      <c r="J33" s="27" t="s">
        <v>22</v>
      </c>
      <c r="K33" s="27" t="s">
        <v>23</v>
      </c>
      <c r="L33" s="29">
        <v>-0.04</v>
      </c>
      <c r="M33" s="27" t="s">
        <v>24</v>
      </c>
      <c r="N33" s="27" t="s">
        <v>76</v>
      </c>
      <c r="O33" s="27" t="s">
        <v>98</v>
      </c>
      <c r="P33" s="28">
        <v>41517</v>
      </c>
      <c r="Q33" s="27" t="s">
        <v>163</v>
      </c>
      <c r="R33" s="27"/>
      <c r="S33" s="27" t="s">
        <v>25</v>
      </c>
    </row>
    <row r="34" spans="1:19" x14ac:dyDescent="0.2">
      <c r="A34" s="27" t="s">
        <v>20</v>
      </c>
      <c r="B34" s="27" t="s">
        <v>21</v>
      </c>
      <c r="C34" s="27"/>
      <c r="D34" s="27"/>
      <c r="E34" s="27" t="s">
        <v>94</v>
      </c>
      <c r="F34" s="27"/>
      <c r="G34" s="27" t="s">
        <v>95</v>
      </c>
      <c r="H34" s="27" t="s">
        <v>164</v>
      </c>
      <c r="I34" s="28">
        <v>41517</v>
      </c>
      <c r="J34" s="27" t="s">
        <v>22</v>
      </c>
      <c r="K34" s="27" t="s">
        <v>23</v>
      </c>
      <c r="L34" s="29">
        <v>-0.02</v>
      </c>
      <c r="M34" s="27" t="s">
        <v>24</v>
      </c>
      <c r="N34" s="27" t="s">
        <v>76</v>
      </c>
      <c r="O34" s="27" t="s">
        <v>98</v>
      </c>
      <c r="P34" s="28">
        <v>41517</v>
      </c>
      <c r="Q34" s="27" t="s">
        <v>146</v>
      </c>
      <c r="R34" s="27"/>
      <c r="S34" s="27" t="s">
        <v>25</v>
      </c>
    </row>
    <row r="35" spans="1:19" x14ac:dyDescent="0.2">
      <c r="A35" s="27" t="s">
        <v>20</v>
      </c>
      <c r="B35" s="27" t="s">
        <v>21</v>
      </c>
      <c r="C35" s="27"/>
      <c r="D35" s="27"/>
      <c r="E35" s="27" t="s">
        <v>94</v>
      </c>
      <c r="F35" s="27"/>
      <c r="G35" s="27" t="s">
        <v>95</v>
      </c>
      <c r="H35" s="27" t="s">
        <v>165</v>
      </c>
      <c r="I35" s="28">
        <v>41517</v>
      </c>
      <c r="J35" s="27" t="s">
        <v>22</v>
      </c>
      <c r="K35" s="27" t="s">
        <v>23</v>
      </c>
      <c r="L35" s="29">
        <v>-0.06</v>
      </c>
      <c r="M35" s="27" t="s">
        <v>24</v>
      </c>
      <c r="N35" s="27" t="s">
        <v>76</v>
      </c>
      <c r="O35" s="27" t="s">
        <v>98</v>
      </c>
      <c r="P35" s="28">
        <v>41517</v>
      </c>
      <c r="Q35" s="27" t="s">
        <v>142</v>
      </c>
      <c r="R35" s="27"/>
      <c r="S35" s="27" t="s">
        <v>25</v>
      </c>
    </row>
    <row r="36" spans="1:19" x14ac:dyDescent="0.2">
      <c r="A36" s="27" t="s">
        <v>20</v>
      </c>
      <c r="B36" s="27" t="s">
        <v>21</v>
      </c>
      <c r="C36" s="27"/>
      <c r="D36" s="27"/>
      <c r="E36" s="27" t="s">
        <v>94</v>
      </c>
      <c r="F36" s="27"/>
      <c r="G36" s="27" t="s">
        <v>95</v>
      </c>
      <c r="H36" s="27" t="s">
        <v>166</v>
      </c>
      <c r="I36" s="28">
        <v>41517</v>
      </c>
      <c r="J36" s="27" t="s">
        <v>22</v>
      </c>
      <c r="K36" s="27" t="s">
        <v>23</v>
      </c>
      <c r="L36" s="29">
        <v>-0.04</v>
      </c>
      <c r="M36" s="27" t="s">
        <v>24</v>
      </c>
      <c r="N36" s="27" t="s">
        <v>76</v>
      </c>
      <c r="O36" s="27" t="s">
        <v>98</v>
      </c>
      <c r="P36" s="28">
        <v>41517</v>
      </c>
      <c r="Q36" s="27" t="s">
        <v>163</v>
      </c>
      <c r="R36" s="27"/>
      <c r="S36" s="27" t="s">
        <v>25</v>
      </c>
    </row>
    <row r="37" spans="1:19" x14ac:dyDescent="0.2">
      <c r="A37" s="27" t="s">
        <v>20</v>
      </c>
      <c r="B37" s="27" t="s">
        <v>21</v>
      </c>
      <c r="C37" s="27"/>
      <c r="D37" s="27"/>
      <c r="E37" s="27" t="s">
        <v>94</v>
      </c>
      <c r="F37" s="27"/>
      <c r="G37" s="27" t="s">
        <v>95</v>
      </c>
      <c r="H37" s="27" t="s">
        <v>167</v>
      </c>
      <c r="I37" s="28">
        <v>41517</v>
      </c>
      <c r="J37" s="27" t="s">
        <v>22</v>
      </c>
      <c r="K37" s="27" t="s">
        <v>23</v>
      </c>
      <c r="L37" s="29">
        <v>-0.03</v>
      </c>
      <c r="M37" s="27" t="s">
        <v>24</v>
      </c>
      <c r="N37" s="27" t="s">
        <v>76</v>
      </c>
      <c r="O37" s="27" t="s">
        <v>98</v>
      </c>
      <c r="P37" s="28">
        <v>41517</v>
      </c>
      <c r="Q37" s="27" t="s">
        <v>144</v>
      </c>
      <c r="R37" s="27"/>
      <c r="S37" s="27" t="s">
        <v>25</v>
      </c>
    </row>
    <row r="38" spans="1:19" x14ac:dyDescent="0.2">
      <c r="A38" s="27" t="s">
        <v>20</v>
      </c>
      <c r="B38" s="27" t="s">
        <v>21</v>
      </c>
      <c r="C38" s="27"/>
      <c r="D38" s="27"/>
      <c r="E38" s="27" t="s">
        <v>94</v>
      </c>
      <c r="F38" s="27"/>
      <c r="G38" s="27" t="s">
        <v>95</v>
      </c>
      <c r="H38" s="27" t="s">
        <v>168</v>
      </c>
      <c r="I38" s="28">
        <v>41517</v>
      </c>
      <c r="J38" s="27" t="s">
        <v>22</v>
      </c>
      <c r="K38" s="27" t="s">
        <v>23</v>
      </c>
      <c r="L38" s="29">
        <v>-0.01</v>
      </c>
      <c r="M38" s="27" t="s">
        <v>24</v>
      </c>
      <c r="N38" s="27" t="s">
        <v>76</v>
      </c>
      <c r="O38" s="27" t="s">
        <v>98</v>
      </c>
      <c r="P38" s="28">
        <v>41517</v>
      </c>
      <c r="Q38" s="27" t="s">
        <v>169</v>
      </c>
      <c r="R38" s="27"/>
      <c r="S38" s="27" t="s">
        <v>25</v>
      </c>
    </row>
    <row r="39" spans="1:19" x14ac:dyDescent="0.2">
      <c r="A39" s="27" t="s">
        <v>20</v>
      </c>
      <c r="B39" s="27" t="s">
        <v>21</v>
      </c>
      <c r="C39" s="27"/>
      <c r="D39" s="27"/>
      <c r="E39" s="27" t="s">
        <v>94</v>
      </c>
      <c r="F39" s="27"/>
      <c r="G39" s="27" t="s">
        <v>95</v>
      </c>
      <c r="H39" s="27" t="s">
        <v>170</v>
      </c>
      <c r="I39" s="28">
        <v>41517</v>
      </c>
      <c r="J39" s="27" t="s">
        <v>22</v>
      </c>
      <c r="K39" s="27" t="s">
        <v>23</v>
      </c>
      <c r="L39" s="29">
        <v>-51.2</v>
      </c>
      <c r="M39" s="27" t="s">
        <v>24</v>
      </c>
      <c r="N39" s="27" t="s">
        <v>76</v>
      </c>
      <c r="O39" s="27" t="s">
        <v>98</v>
      </c>
      <c r="P39" s="28">
        <v>41517</v>
      </c>
      <c r="Q39" s="27" t="s">
        <v>171</v>
      </c>
      <c r="R39" s="27"/>
      <c r="S39" s="27" t="s">
        <v>25</v>
      </c>
    </row>
    <row r="40" spans="1:19" x14ac:dyDescent="0.2">
      <c r="A40" s="27" t="s">
        <v>20</v>
      </c>
      <c r="B40" s="27" t="s">
        <v>21</v>
      </c>
      <c r="C40" s="27"/>
      <c r="D40" s="27"/>
      <c r="E40" s="27" t="s">
        <v>94</v>
      </c>
      <c r="F40" s="27"/>
      <c r="G40" s="27" t="s">
        <v>95</v>
      </c>
      <c r="H40" s="27" t="s">
        <v>172</v>
      </c>
      <c r="I40" s="28">
        <v>41517</v>
      </c>
      <c r="J40" s="27" t="s">
        <v>22</v>
      </c>
      <c r="K40" s="27" t="s">
        <v>23</v>
      </c>
      <c r="L40" s="29">
        <v>607.5</v>
      </c>
      <c r="M40" s="27" t="s">
        <v>24</v>
      </c>
      <c r="N40" s="27" t="s">
        <v>173</v>
      </c>
      <c r="O40" s="27" t="s">
        <v>98</v>
      </c>
      <c r="P40" s="28">
        <v>41517</v>
      </c>
      <c r="Q40" s="27" t="s">
        <v>174</v>
      </c>
      <c r="R40" s="27"/>
      <c r="S40" s="27" t="s">
        <v>25</v>
      </c>
    </row>
    <row r="41" spans="1:19" x14ac:dyDescent="0.2">
      <c r="A41" s="27" t="s">
        <v>20</v>
      </c>
      <c r="B41" s="27" t="s">
        <v>21</v>
      </c>
      <c r="C41" s="27"/>
      <c r="D41" s="27"/>
      <c r="E41" s="27" t="s">
        <v>94</v>
      </c>
      <c r="F41" s="27"/>
      <c r="G41" s="27" t="s">
        <v>95</v>
      </c>
      <c r="H41" s="27" t="s">
        <v>175</v>
      </c>
      <c r="I41" s="28">
        <v>41517</v>
      </c>
      <c r="J41" s="27" t="s">
        <v>22</v>
      </c>
      <c r="K41" s="27" t="s">
        <v>23</v>
      </c>
      <c r="L41" s="29">
        <v>1852.5</v>
      </c>
      <c r="M41" s="27" t="s">
        <v>24</v>
      </c>
      <c r="N41" s="27" t="s">
        <v>173</v>
      </c>
      <c r="O41" s="27" t="s">
        <v>98</v>
      </c>
      <c r="P41" s="28">
        <v>41517</v>
      </c>
      <c r="Q41" s="27" t="s">
        <v>176</v>
      </c>
      <c r="R41" s="27"/>
      <c r="S41" s="27" t="s">
        <v>25</v>
      </c>
    </row>
    <row r="42" spans="1:19" x14ac:dyDescent="0.2">
      <c r="A42" s="27" t="s">
        <v>20</v>
      </c>
      <c r="B42" s="27" t="s">
        <v>21</v>
      </c>
      <c r="C42" s="27"/>
      <c r="D42" s="27"/>
      <c r="E42" s="27" t="s">
        <v>94</v>
      </c>
      <c r="F42" s="27"/>
      <c r="G42" s="27" t="s">
        <v>95</v>
      </c>
      <c r="H42" s="27" t="s">
        <v>177</v>
      </c>
      <c r="I42" s="28">
        <v>41517</v>
      </c>
      <c r="J42" s="27" t="s">
        <v>22</v>
      </c>
      <c r="K42" s="27" t="s">
        <v>23</v>
      </c>
      <c r="L42" s="29">
        <v>67.5</v>
      </c>
      <c r="M42" s="27" t="s">
        <v>24</v>
      </c>
      <c r="N42" s="27" t="s">
        <v>173</v>
      </c>
      <c r="O42" s="27" t="s">
        <v>98</v>
      </c>
      <c r="P42" s="28">
        <v>41517</v>
      </c>
      <c r="Q42" s="27" t="s">
        <v>178</v>
      </c>
      <c r="R42" s="27"/>
      <c r="S42" s="27" t="s">
        <v>25</v>
      </c>
    </row>
    <row r="43" spans="1:19" x14ac:dyDescent="0.2">
      <c r="A43" s="27" t="s">
        <v>20</v>
      </c>
      <c r="B43" s="27" t="s">
        <v>21</v>
      </c>
      <c r="C43" s="27"/>
      <c r="D43" s="27"/>
      <c r="E43" s="27" t="s">
        <v>94</v>
      </c>
      <c r="F43" s="27"/>
      <c r="G43" s="27" t="s">
        <v>95</v>
      </c>
      <c r="H43" s="27" t="s">
        <v>179</v>
      </c>
      <c r="I43" s="28">
        <v>41517</v>
      </c>
      <c r="J43" s="27" t="s">
        <v>22</v>
      </c>
      <c r="K43" s="27" t="s">
        <v>23</v>
      </c>
      <c r="L43" s="29">
        <v>394.5</v>
      </c>
      <c r="M43" s="27" t="s">
        <v>24</v>
      </c>
      <c r="N43" s="27" t="s">
        <v>173</v>
      </c>
      <c r="O43" s="27" t="s">
        <v>98</v>
      </c>
      <c r="P43" s="28">
        <v>41517</v>
      </c>
      <c r="Q43" s="27" t="s">
        <v>180</v>
      </c>
      <c r="R43" s="27"/>
      <c r="S43" s="27" t="s">
        <v>25</v>
      </c>
    </row>
    <row r="44" spans="1:19" x14ac:dyDescent="0.2">
      <c r="A44" s="27" t="s">
        <v>20</v>
      </c>
      <c r="B44" s="27" t="s">
        <v>21</v>
      </c>
      <c r="C44" s="27"/>
      <c r="D44" s="27"/>
      <c r="E44" s="27" t="s">
        <v>94</v>
      </c>
      <c r="F44" s="27"/>
      <c r="G44" s="27" t="s">
        <v>95</v>
      </c>
      <c r="H44" s="27" t="s">
        <v>181</v>
      </c>
      <c r="I44" s="28">
        <v>41517</v>
      </c>
      <c r="J44" s="27" t="s">
        <v>22</v>
      </c>
      <c r="K44" s="27" t="s">
        <v>23</v>
      </c>
      <c r="L44" s="29">
        <v>4410</v>
      </c>
      <c r="M44" s="27" t="s">
        <v>24</v>
      </c>
      <c r="N44" s="27" t="s">
        <v>173</v>
      </c>
      <c r="O44" s="27" t="s">
        <v>98</v>
      </c>
      <c r="P44" s="28">
        <v>41517</v>
      </c>
      <c r="Q44" s="27" t="s">
        <v>182</v>
      </c>
      <c r="R44" s="27"/>
      <c r="S44" s="27" t="s">
        <v>25</v>
      </c>
    </row>
    <row r="45" spans="1:19" x14ac:dyDescent="0.2">
      <c r="A45" s="27" t="s">
        <v>20</v>
      </c>
      <c r="B45" s="27" t="s">
        <v>21</v>
      </c>
      <c r="C45" s="27"/>
      <c r="D45" s="27"/>
      <c r="E45" s="27" t="s">
        <v>94</v>
      </c>
      <c r="F45" s="27"/>
      <c r="G45" s="27" t="s">
        <v>95</v>
      </c>
      <c r="H45" s="27" t="s">
        <v>183</v>
      </c>
      <c r="I45" s="28">
        <v>41517</v>
      </c>
      <c r="J45" s="27" t="s">
        <v>22</v>
      </c>
      <c r="K45" s="27" t="s">
        <v>23</v>
      </c>
      <c r="L45" s="29">
        <v>12.84</v>
      </c>
      <c r="M45" s="27" t="s">
        <v>24</v>
      </c>
      <c r="N45" s="27" t="s">
        <v>173</v>
      </c>
      <c r="O45" s="27" t="s">
        <v>98</v>
      </c>
      <c r="P45" s="28">
        <v>41517</v>
      </c>
      <c r="Q45" s="27" t="s">
        <v>184</v>
      </c>
      <c r="R45" s="27"/>
      <c r="S45" s="27" t="s">
        <v>25</v>
      </c>
    </row>
    <row r="46" spans="1:19" x14ac:dyDescent="0.2">
      <c r="A46" s="27" t="s">
        <v>20</v>
      </c>
      <c r="B46" s="27" t="s">
        <v>21</v>
      </c>
      <c r="C46" s="27"/>
      <c r="D46" s="27"/>
      <c r="E46" s="27" t="s">
        <v>94</v>
      </c>
      <c r="F46" s="27"/>
      <c r="G46" s="27" t="s">
        <v>95</v>
      </c>
      <c r="H46" s="27" t="s">
        <v>185</v>
      </c>
      <c r="I46" s="28">
        <v>41517</v>
      </c>
      <c r="J46" s="27" t="s">
        <v>22</v>
      </c>
      <c r="K46" s="27" t="s">
        <v>23</v>
      </c>
      <c r="L46" s="29">
        <v>49.61</v>
      </c>
      <c r="M46" s="27" t="s">
        <v>24</v>
      </c>
      <c r="N46" s="27" t="s">
        <v>173</v>
      </c>
      <c r="O46" s="27" t="s">
        <v>98</v>
      </c>
      <c r="P46" s="28">
        <v>41517</v>
      </c>
      <c r="Q46" s="27" t="s">
        <v>186</v>
      </c>
      <c r="R46" s="27"/>
      <c r="S46" s="27" t="s">
        <v>25</v>
      </c>
    </row>
    <row r="47" spans="1:19" x14ac:dyDescent="0.2">
      <c r="A47" s="27" t="s">
        <v>20</v>
      </c>
      <c r="B47" s="27" t="s">
        <v>21</v>
      </c>
      <c r="C47" s="27"/>
      <c r="D47" s="27"/>
      <c r="E47" s="27" t="s">
        <v>94</v>
      </c>
      <c r="F47" s="27"/>
      <c r="G47" s="27" t="s">
        <v>95</v>
      </c>
      <c r="H47" s="27" t="s">
        <v>187</v>
      </c>
      <c r="I47" s="28">
        <v>41517</v>
      </c>
      <c r="J47" s="27" t="s">
        <v>22</v>
      </c>
      <c r="K47" s="27" t="s">
        <v>23</v>
      </c>
      <c r="L47" s="29">
        <v>1904.5</v>
      </c>
      <c r="M47" s="27" t="s">
        <v>24</v>
      </c>
      <c r="N47" s="27" t="s">
        <v>173</v>
      </c>
      <c r="O47" s="27" t="s">
        <v>98</v>
      </c>
      <c r="P47" s="28">
        <v>41517</v>
      </c>
      <c r="Q47" s="27" t="s">
        <v>188</v>
      </c>
      <c r="R47" s="27"/>
      <c r="S47" s="27" t="s">
        <v>25</v>
      </c>
    </row>
    <row r="48" spans="1:19" x14ac:dyDescent="0.2">
      <c r="A48" s="27" t="s">
        <v>20</v>
      </c>
      <c r="B48" s="27" t="s">
        <v>21</v>
      </c>
      <c r="C48" s="27"/>
      <c r="D48" s="27"/>
      <c r="E48" s="27" t="s">
        <v>94</v>
      </c>
      <c r="F48" s="27"/>
      <c r="G48" s="27" t="s">
        <v>95</v>
      </c>
      <c r="H48" s="27" t="s">
        <v>189</v>
      </c>
      <c r="I48" s="28">
        <v>41517</v>
      </c>
      <c r="J48" s="27" t="s">
        <v>22</v>
      </c>
      <c r="K48" s="27" t="s">
        <v>23</v>
      </c>
      <c r="L48" s="29">
        <v>24.98</v>
      </c>
      <c r="M48" s="27" t="s">
        <v>24</v>
      </c>
      <c r="N48" s="27" t="s">
        <v>173</v>
      </c>
      <c r="O48" s="27" t="s">
        <v>98</v>
      </c>
      <c r="P48" s="28">
        <v>41517</v>
      </c>
      <c r="Q48" s="27" t="s">
        <v>190</v>
      </c>
      <c r="R48" s="27"/>
      <c r="S48" s="27" t="s">
        <v>25</v>
      </c>
    </row>
    <row r="49" spans="1:19" x14ac:dyDescent="0.2">
      <c r="A49" s="27" t="s">
        <v>20</v>
      </c>
      <c r="B49" s="27" t="s">
        <v>21</v>
      </c>
      <c r="C49" s="27"/>
      <c r="D49" s="27"/>
      <c r="E49" s="27" t="s">
        <v>94</v>
      </c>
      <c r="F49" s="27"/>
      <c r="G49" s="27" t="s">
        <v>95</v>
      </c>
      <c r="H49" s="27" t="s">
        <v>191</v>
      </c>
      <c r="I49" s="28">
        <v>41517</v>
      </c>
      <c r="J49" s="27" t="s">
        <v>22</v>
      </c>
      <c r="K49" s="27" t="s">
        <v>23</v>
      </c>
      <c r="L49" s="29">
        <v>14.03</v>
      </c>
      <c r="M49" s="27" t="s">
        <v>24</v>
      </c>
      <c r="N49" s="27" t="s">
        <v>173</v>
      </c>
      <c r="O49" s="27" t="s">
        <v>98</v>
      </c>
      <c r="P49" s="28">
        <v>41517</v>
      </c>
      <c r="Q49" s="27" t="s">
        <v>192</v>
      </c>
      <c r="R49" s="27"/>
      <c r="S49" s="27" t="s">
        <v>25</v>
      </c>
    </row>
    <row r="50" spans="1:19" x14ac:dyDescent="0.2">
      <c r="A50" s="27" t="s">
        <v>20</v>
      </c>
      <c r="B50" s="27" t="s">
        <v>21</v>
      </c>
      <c r="C50" s="27"/>
      <c r="D50" s="27"/>
      <c r="E50" s="27" t="s">
        <v>94</v>
      </c>
      <c r="F50" s="27"/>
      <c r="G50" s="27" t="s">
        <v>95</v>
      </c>
      <c r="H50" s="27" t="s">
        <v>193</v>
      </c>
      <c r="I50" s="28">
        <v>41517</v>
      </c>
      <c r="J50" s="27" t="s">
        <v>22</v>
      </c>
      <c r="K50" s="27" t="s">
        <v>23</v>
      </c>
      <c r="L50" s="29">
        <v>1035</v>
      </c>
      <c r="M50" s="27" t="s">
        <v>24</v>
      </c>
      <c r="N50" s="27" t="s">
        <v>173</v>
      </c>
      <c r="O50" s="27" t="s">
        <v>98</v>
      </c>
      <c r="P50" s="28">
        <v>41517</v>
      </c>
      <c r="Q50" s="27" t="s">
        <v>194</v>
      </c>
      <c r="R50" s="27"/>
      <c r="S50" s="27" t="s">
        <v>25</v>
      </c>
    </row>
    <row r="51" spans="1:19" x14ac:dyDescent="0.2">
      <c r="A51" s="27" t="s">
        <v>20</v>
      </c>
      <c r="B51" s="27" t="s">
        <v>21</v>
      </c>
      <c r="C51" s="27"/>
      <c r="D51" s="27"/>
      <c r="E51" s="27" t="s">
        <v>94</v>
      </c>
      <c r="F51" s="27"/>
      <c r="G51" s="27" t="s">
        <v>95</v>
      </c>
      <c r="H51" s="27" t="s">
        <v>195</v>
      </c>
      <c r="I51" s="28">
        <v>41517</v>
      </c>
      <c r="J51" s="27" t="s">
        <v>22</v>
      </c>
      <c r="K51" s="27" t="s">
        <v>23</v>
      </c>
      <c r="L51" s="29">
        <v>1.25</v>
      </c>
      <c r="M51" s="27" t="s">
        <v>24</v>
      </c>
      <c r="N51" s="27" t="s">
        <v>173</v>
      </c>
      <c r="O51" s="27" t="s">
        <v>98</v>
      </c>
      <c r="P51" s="28">
        <v>41517</v>
      </c>
      <c r="Q51" s="27" t="s">
        <v>196</v>
      </c>
      <c r="R51" s="27"/>
      <c r="S51" s="27" t="s">
        <v>25</v>
      </c>
    </row>
    <row r="52" spans="1:19" x14ac:dyDescent="0.2">
      <c r="A52" s="27" t="s">
        <v>20</v>
      </c>
      <c r="B52" s="27" t="s">
        <v>21</v>
      </c>
      <c r="C52" s="27"/>
      <c r="D52" s="27"/>
      <c r="E52" s="27" t="s">
        <v>94</v>
      </c>
      <c r="F52" s="27"/>
      <c r="G52" s="27" t="s">
        <v>95</v>
      </c>
      <c r="H52" s="27" t="s">
        <v>197</v>
      </c>
      <c r="I52" s="28">
        <v>41517</v>
      </c>
      <c r="J52" s="27" t="s">
        <v>22</v>
      </c>
      <c r="K52" s="27" t="s">
        <v>23</v>
      </c>
      <c r="L52" s="29">
        <v>0.1</v>
      </c>
      <c r="M52" s="27" t="s">
        <v>24</v>
      </c>
      <c r="N52" s="27" t="s">
        <v>173</v>
      </c>
      <c r="O52" s="27" t="s">
        <v>98</v>
      </c>
      <c r="P52" s="28">
        <v>41517</v>
      </c>
      <c r="Q52" s="27" t="s">
        <v>198</v>
      </c>
      <c r="R52" s="27"/>
      <c r="S52" s="27" t="s">
        <v>25</v>
      </c>
    </row>
    <row r="53" spans="1:19" x14ac:dyDescent="0.2">
      <c r="A53" s="27" t="s">
        <v>20</v>
      </c>
      <c r="B53" s="27" t="s">
        <v>21</v>
      </c>
      <c r="C53" s="27"/>
      <c r="D53" s="27"/>
      <c r="E53" s="27" t="s">
        <v>94</v>
      </c>
      <c r="F53" s="27"/>
      <c r="G53" s="27" t="s">
        <v>95</v>
      </c>
      <c r="H53" s="27" t="s">
        <v>199</v>
      </c>
      <c r="I53" s="28">
        <v>41517</v>
      </c>
      <c r="J53" s="27" t="s">
        <v>22</v>
      </c>
      <c r="K53" s="27" t="s">
        <v>23</v>
      </c>
      <c r="L53" s="29">
        <v>1.38</v>
      </c>
      <c r="M53" s="27" t="s">
        <v>24</v>
      </c>
      <c r="N53" s="27" t="s">
        <v>173</v>
      </c>
      <c r="O53" s="27" t="s">
        <v>98</v>
      </c>
      <c r="P53" s="28">
        <v>41517</v>
      </c>
      <c r="Q53" s="27" t="s">
        <v>200</v>
      </c>
      <c r="R53" s="27"/>
      <c r="S53" s="27" t="s">
        <v>25</v>
      </c>
    </row>
    <row r="54" spans="1:19" x14ac:dyDescent="0.2">
      <c r="A54" s="27" t="s">
        <v>20</v>
      </c>
      <c r="B54" s="27" t="s">
        <v>21</v>
      </c>
      <c r="C54" s="27"/>
      <c r="D54" s="27"/>
      <c r="E54" s="27" t="s">
        <v>94</v>
      </c>
      <c r="F54" s="27"/>
      <c r="G54" s="27" t="s">
        <v>95</v>
      </c>
      <c r="H54" s="27" t="s">
        <v>201</v>
      </c>
      <c r="I54" s="28">
        <v>41517</v>
      </c>
      <c r="J54" s="27" t="s">
        <v>22</v>
      </c>
      <c r="K54" s="27" t="s">
        <v>23</v>
      </c>
      <c r="L54" s="29">
        <v>1</v>
      </c>
      <c r="M54" s="27" t="s">
        <v>24</v>
      </c>
      <c r="N54" s="27" t="s">
        <v>173</v>
      </c>
      <c r="O54" s="27" t="s">
        <v>98</v>
      </c>
      <c r="P54" s="28">
        <v>41517</v>
      </c>
      <c r="Q54" s="27" t="s">
        <v>202</v>
      </c>
      <c r="R54" s="27"/>
      <c r="S54" s="27" t="s">
        <v>25</v>
      </c>
    </row>
    <row r="55" spans="1:19" x14ac:dyDescent="0.2">
      <c r="A55" s="27" t="s">
        <v>20</v>
      </c>
      <c r="B55" s="27" t="s">
        <v>21</v>
      </c>
      <c r="C55" s="27"/>
      <c r="D55" s="27"/>
      <c r="E55" s="27" t="s">
        <v>94</v>
      </c>
      <c r="F55" s="27"/>
      <c r="G55" s="27" t="s">
        <v>95</v>
      </c>
      <c r="H55" s="27" t="s">
        <v>203</v>
      </c>
      <c r="I55" s="28">
        <v>41517</v>
      </c>
      <c r="J55" s="27" t="s">
        <v>22</v>
      </c>
      <c r="K55" s="27" t="s">
        <v>23</v>
      </c>
      <c r="L55" s="29">
        <v>0.25</v>
      </c>
      <c r="M55" s="27" t="s">
        <v>24</v>
      </c>
      <c r="N55" s="27" t="s">
        <v>173</v>
      </c>
      <c r="O55" s="27" t="s">
        <v>98</v>
      </c>
      <c r="P55" s="28">
        <v>41517</v>
      </c>
      <c r="Q55" s="27" t="s">
        <v>204</v>
      </c>
      <c r="R55" s="27"/>
      <c r="S55" s="27" t="s">
        <v>25</v>
      </c>
    </row>
    <row r="56" spans="1:19" x14ac:dyDescent="0.2">
      <c r="A56" s="27" t="s">
        <v>20</v>
      </c>
      <c r="B56" s="27" t="s">
        <v>21</v>
      </c>
      <c r="C56" s="27"/>
      <c r="D56" s="27"/>
      <c r="E56" s="27" t="s">
        <v>94</v>
      </c>
      <c r="F56" s="27"/>
      <c r="G56" s="27" t="s">
        <v>95</v>
      </c>
      <c r="H56" s="27" t="s">
        <v>205</v>
      </c>
      <c r="I56" s="28">
        <v>41517</v>
      </c>
      <c r="J56" s="27" t="s">
        <v>22</v>
      </c>
      <c r="K56" s="27" t="s">
        <v>23</v>
      </c>
      <c r="L56" s="29">
        <v>8607.9500000000007</v>
      </c>
      <c r="M56" s="27" t="s">
        <v>24</v>
      </c>
      <c r="N56" s="27" t="s">
        <v>101</v>
      </c>
      <c r="O56" s="27" t="s">
        <v>98</v>
      </c>
      <c r="P56" s="28">
        <v>41517</v>
      </c>
      <c r="Q56" s="27" t="s">
        <v>206</v>
      </c>
      <c r="R56" s="27"/>
      <c r="S56" s="27" t="s">
        <v>25</v>
      </c>
    </row>
    <row r="57" spans="1:19" x14ac:dyDescent="0.2">
      <c r="A57" s="27" t="s">
        <v>20</v>
      </c>
      <c r="B57" s="27" t="s">
        <v>21</v>
      </c>
      <c r="C57" s="27"/>
      <c r="D57" s="27"/>
      <c r="E57" s="27" t="s">
        <v>94</v>
      </c>
      <c r="F57" s="27"/>
      <c r="G57" s="27" t="s">
        <v>95</v>
      </c>
      <c r="H57" s="27" t="s">
        <v>207</v>
      </c>
      <c r="I57" s="28">
        <v>41517</v>
      </c>
      <c r="J57" s="27" t="s">
        <v>22</v>
      </c>
      <c r="K57" s="27" t="s">
        <v>23</v>
      </c>
      <c r="L57" s="29">
        <v>-2.29</v>
      </c>
      <c r="M57" s="27" t="s">
        <v>24</v>
      </c>
      <c r="N57" s="27" t="s">
        <v>76</v>
      </c>
      <c r="O57" s="27" t="s">
        <v>98</v>
      </c>
      <c r="P57" s="28">
        <v>41517</v>
      </c>
      <c r="Q57" s="27" t="s">
        <v>208</v>
      </c>
      <c r="R57" s="27"/>
      <c r="S57" s="27" t="s">
        <v>25</v>
      </c>
    </row>
    <row r="58" spans="1:19" x14ac:dyDescent="0.2">
      <c r="A58" s="27" t="s">
        <v>20</v>
      </c>
      <c r="B58" s="27" t="s">
        <v>21</v>
      </c>
      <c r="C58" s="27"/>
      <c r="D58" s="27"/>
      <c r="E58" s="27" t="s">
        <v>94</v>
      </c>
      <c r="F58" s="27"/>
      <c r="G58" s="27" t="s">
        <v>95</v>
      </c>
      <c r="H58" s="27" t="s">
        <v>209</v>
      </c>
      <c r="I58" s="28">
        <v>41517</v>
      </c>
      <c r="J58" s="27" t="s">
        <v>22</v>
      </c>
      <c r="K58" s="27" t="s">
        <v>23</v>
      </c>
      <c r="L58" s="29">
        <v>-7.46</v>
      </c>
      <c r="M58" s="27" t="s">
        <v>24</v>
      </c>
      <c r="N58" s="27" t="s">
        <v>76</v>
      </c>
      <c r="O58" s="27" t="s">
        <v>98</v>
      </c>
      <c r="P58" s="28">
        <v>41517</v>
      </c>
      <c r="Q58" s="27" t="s">
        <v>210</v>
      </c>
      <c r="R58" s="27"/>
      <c r="S58" s="27" t="s">
        <v>25</v>
      </c>
    </row>
    <row r="59" spans="1:19" x14ac:dyDescent="0.2">
      <c r="A59" s="27" t="s">
        <v>20</v>
      </c>
      <c r="B59" s="27" t="s">
        <v>21</v>
      </c>
      <c r="C59" s="27"/>
      <c r="D59" s="27"/>
      <c r="E59" s="27" t="s">
        <v>94</v>
      </c>
      <c r="F59" s="27"/>
      <c r="G59" s="27" t="s">
        <v>95</v>
      </c>
      <c r="H59" s="27" t="s">
        <v>211</v>
      </c>
      <c r="I59" s="28">
        <v>41517</v>
      </c>
      <c r="J59" s="27" t="s">
        <v>22</v>
      </c>
      <c r="K59" s="27" t="s">
        <v>23</v>
      </c>
      <c r="L59" s="29">
        <v>-4.9800000000000004</v>
      </c>
      <c r="M59" s="27" t="s">
        <v>24</v>
      </c>
      <c r="N59" s="27" t="s">
        <v>76</v>
      </c>
      <c r="O59" s="27" t="s">
        <v>98</v>
      </c>
      <c r="P59" s="28">
        <v>41517</v>
      </c>
      <c r="Q59" s="27" t="s">
        <v>212</v>
      </c>
      <c r="R59" s="27"/>
      <c r="S59" s="27" t="s">
        <v>25</v>
      </c>
    </row>
    <row r="60" spans="1:19" x14ac:dyDescent="0.2">
      <c r="A60" s="27" t="s">
        <v>20</v>
      </c>
      <c r="B60" s="27" t="s">
        <v>21</v>
      </c>
      <c r="C60" s="27"/>
      <c r="D60" s="27"/>
      <c r="E60" s="27" t="s">
        <v>94</v>
      </c>
      <c r="F60" s="27"/>
      <c r="G60" s="27" t="s">
        <v>95</v>
      </c>
      <c r="H60" s="27" t="s">
        <v>213</v>
      </c>
      <c r="I60" s="28">
        <v>41517</v>
      </c>
      <c r="J60" s="27" t="s">
        <v>22</v>
      </c>
      <c r="K60" s="27" t="s">
        <v>23</v>
      </c>
      <c r="L60" s="29">
        <v>1640</v>
      </c>
      <c r="M60" s="27" t="s">
        <v>24</v>
      </c>
      <c r="N60" s="27" t="s">
        <v>214</v>
      </c>
      <c r="O60" s="27" t="s">
        <v>98</v>
      </c>
      <c r="P60" s="28">
        <v>41517</v>
      </c>
      <c r="Q60" s="27" t="s">
        <v>215</v>
      </c>
      <c r="R60" s="27"/>
      <c r="S60" s="27" t="s">
        <v>25</v>
      </c>
    </row>
    <row r="61" spans="1:19" x14ac:dyDescent="0.2">
      <c r="A61" s="27" t="s">
        <v>20</v>
      </c>
      <c r="B61" s="27" t="s">
        <v>21</v>
      </c>
      <c r="C61" s="27"/>
      <c r="D61" s="27"/>
      <c r="E61" s="27" t="s">
        <v>94</v>
      </c>
      <c r="F61" s="27"/>
      <c r="G61" s="27" t="s">
        <v>95</v>
      </c>
      <c r="H61" s="27" t="s">
        <v>216</v>
      </c>
      <c r="I61" s="28">
        <v>41517</v>
      </c>
      <c r="J61" s="27" t="s">
        <v>22</v>
      </c>
      <c r="K61" s="27" t="s">
        <v>23</v>
      </c>
      <c r="L61" s="29">
        <v>1755.12</v>
      </c>
      <c r="M61" s="27" t="s">
        <v>24</v>
      </c>
      <c r="N61" s="27" t="s">
        <v>214</v>
      </c>
      <c r="O61" s="27" t="s">
        <v>98</v>
      </c>
      <c r="P61" s="28">
        <v>41517</v>
      </c>
      <c r="Q61" s="27" t="s">
        <v>217</v>
      </c>
      <c r="R61" s="27"/>
      <c r="S61" s="27" t="s">
        <v>25</v>
      </c>
    </row>
    <row r="62" spans="1:19" x14ac:dyDescent="0.2">
      <c r="A62" s="27" t="s">
        <v>20</v>
      </c>
      <c r="B62" s="27" t="s">
        <v>21</v>
      </c>
      <c r="C62" s="27"/>
      <c r="D62" s="27"/>
      <c r="E62" s="27" t="s">
        <v>94</v>
      </c>
      <c r="F62" s="27"/>
      <c r="G62" s="27" t="s">
        <v>95</v>
      </c>
      <c r="H62" s="27" t="s">
        <v>218</v>
      </c>
      <c r="I62" s="28">
        <v>41517</v>
      </c>
      <c r="J62" s="27" t="s">
        <v>22</v>
      </c>
      <c r="K62" s="27" t="s">
        <v>23</v>
      </c>
      <c r="L62" s="29">
        <v>-7632.8</v>
      </c>
      <c r="M62" s="27" t="s">
        <v>24</v>
      </c>
      <c r="N62" s="27" t="s">
        <v>214</v>
      </c>
      <c r="O62" s="27" t="s">
        <v>98</v>
      </c>
      <c r="P62" s="28">
        <v>41517</v>
      </c>
      <c r="Q62" s="27" t="s">
        <v>219</v>
      </c>
      <c r="R62" s="27"/>
      <c r="S62" s="27" t="s">
        <v>25</v>
      </c>
    </row>
    <row r="63" spans="1:19" x14ac:dyDescent="0.2">
      <c r="A63" s="27" t="s">
        <v>20</v>
      </c>
      <c r="B63" s="27" t="s">
        <v>21</v>
      </c>
      <c r="C63" s="27"/>
      <c r="D63" s="27"/>
      <c r="E63" s="27" t="s">
        <v>94</v>
      </c>
      <c r="F63" s="27"/>
      <c r="G63" s="27" t="s">
        <v>95</v>
      </c>
      <c r="H63" s="27" t="s">
        <v>220</v>
      </c>
      <c r="I63" s="28">
        <v>41517</v>
      </c>
      <c r="J63" s="27" t="s">
        <v>22</v>
      </c>
      <c r="K63" s="27" t="s">
        <v>23</v>
      </c>
      <c r="L63" s="29">
        <v>-4055.77</v>
      </c>
      <c r="M63" s="27" t="s">
        <v>24</v>
      </c>
      <c r="N63" s="27" t="s">
        <v>214</v>
      </c>
      <c r="O63" s="27" t="s">
        <v>98</v>
      </c>
      <c r="P63" s="28">
        <v>41517</v>
      </c>
      <c r="Q63" s="27" t="s">
        <v>221</v>
      </c>
      <c r="R63" s="27"/>
      <c r="S63" s="27" t="s">
        <v>25</v>
      </c>
    </row>
    <row r="64" spans="1:19" x14ac:dyDescent="0.2">
      <c r="A64" s="27" t="s">
        <v>20</v>
      </c>
      <c r="B64" s="27" t="s">
        <v>21</v>
      </c>
      <c r="C64" s="27"/>
      <c r="D64" s="27"/>
      <c r="E64" s="27" t="s">
        <v>94</v>
      </c>
      <c r="F64" s="27"/>
      <c r="G64" s="27" t="s">
        <v>95</v>
      </c>
      <c r="H64" s="27" t="s">
        <v>222</v>
      </c>
      <c r="I64" s="28">
        <v>41517</v>
      </c>
      <c r="J64" s="27" t="s">
        <v>22</v>
      </c>
      <c r="K64" s="27" t="s">
        <v>23</v>
      </c>
      <c r="L64" s="29">
        <v>60</v>
      </c>
      <c r="M64" s="27" t="s">
        <v>24</v>
      </c>
      <c r="N64" s="27" t="s">
        <v>214</v>
      </c>
      <c r="O64" s="27" t="s">
        <v>98</v>
      </c>
      <c r="P64" s="28">
        <v>41517</v>
      </c>
      <c r="Q64" s="27" t="s">
        <v>223</v>
      </c>
      <c r="R64" s="27"/>
      <c r="S64" s="27" t="s">
        <v>25</v>
      </c>
    </row>
    <row r="65" spans="1:19" x14ac:dyDescent="0.2">
      <c r="A65" s="27" t="s">
        <v>20</v>
      </c>
      <c r="B65" s="27" t="s">
        <v>21</v>
      </c>
      <c r="C65" s="27"/>
      <c r="D65" s="27"/>
      <c r="E65" s="27" t="s">
        <v>94</v>
      </c>
      <c r="F65" s="27"/>
      <c r="G65" s="27" t="s">
        <v>95</v>
      </c>
      <c r="H65" s="27" t="s">
        <v>224</v>
      </c>
      <c r="I65" s="28">
        <v>41517</v>
      </c>
      <c r="J65" s="27" t="s">
        <v>22</v>
      </c>
      <c r="K65" s="27" t="s">
        <v>23</v>
      </c>
      <c r="L65" s="29">
        <v>15713.07</v>
      </c>
      <c r="M65" s="27" t="s">
        <v>24</v>
      </c>
      <c r="N65" s="27" t="s">
        <v>214</v>
      </c>
      <c r="O65" s="27" t="s">
        <v>98</v>
      </c>
      <c r="P65" s="28">
        <v>41517</v>
      </c>
      <c r="Q65" s="27" t="s">
        <v>225</v>
      </c>
      <c r="R65" s="27"/>
      <c r="S65" s="27" t="s">
        <v>25</v>
      </c>
    </row>
    <row r="66" spans="1:19" x14ac:dyDescent="0.2">
      <c r="A66" s="27" t="s">
        <v>20</v>
      </c>
      <c r="B66" s="27" t="s">
        <v>21</v>
      </c>
      <c r="C66" s="27"/>
      <c r="D66" s="27"/>
      <c r="E66" s="27" t="s">
        <v>94</v>
      </c>
      <c r="F66" s="27"/>
      <c r="G66" s="27" t="s">
        <v>95</v>
      </c>
      <c r="H66" s="27" t="s">
        <v>226</v>
      </c>
      <c r="I66" s="28">
        <v>41517</v>
      </c>
      <c r="J66" s="27" t="s">
        <v>22</v>
      </c>
      <c r="K66" s="27" t="s">
        <v>23</v>
      </c>
      <c r="L66" s="29">
        <v>22001.95</v>
      </c>
      <c r="M66" s="27" t="s">
        <v>24</v>
      </c>
      <c r="N66" s="27" t="s">
        <v>214</v>
      </c>
      <c r="O66" s="27" t="s">
        <v>98</v>
      </c>
      <c r="P66" s="28">
        <v>41517</v>
      </c>
      <c r="Q66" s="27" t="s">
        <v>227</v>
      </c>
      <c r="R66" s="27"/>
      <c r="S66" s="27" t="s">
        <v>25</v>
      </c>
    </row>
    <row r="67" spans="1:19" x14ac:dyDescent="0.2">
      <c r="A67" s="27" t="s">
        <v>20</v>
      </c>
      <c r="B67" s="27" t="s">
        <v>21</v>
      </c>
      <c r="C67" s="27"/>
      <c r="D67" s="27"/>
      <c r="E67" s="27" t="s">
        <v>94</v>
      </c>
      <c r="F67" s="27"/>
      <c r="G67" s="27" t="s">
        <v>95</v>
      </c>
      <c r="H67" s="27" t="s">
        <v>228</v>
      </c>
      <c r="I67" s="28">
        <v>41517</v>
      </c>
      <c r="J67" s="27" t="s">
        <v>22</v>
      </c>
      <c r="K67" s="27" t="s">
        <v>23</v>
      </c>
      <c r="L67" s="29">
        <v>-6744.98</v>
      </c>
      <c r="M67" s="27" t="s">
        <v>24</v>
      </c>
      <c r="N67" s="27" t="s">
        <v>214</v>
      </c>
      <c r="O67" s="27" t="s">
        <v>98</v>
      </c>
      <c r="P67" s="28">
        <v>41517</v>
      </c>
      <c r="Q67" s="27" t="s">
        <v>229</v>
      </c>
      <c r="R67" s="27"/>
      <c r="S67" s="27" t="s">
        <v>25</v>
      </c>
    </row>
    <row r="68" spans="1:19" x14ac:dyDescent="0.2">
      <c r="A68" s="27" t="s">
        <v>20</v>
      </c>
      <c r="B68" s="27" t="s">
        <v>21</v>
      </c>
      <c r="C68" s="27"/>
      <c r="D68" s="27"/>
      <c r="E68" s="27" t="s">
        <v>94</v>
      </c>
      <c r="F68" s="27"/>
      <c r="G68" s="27" t="s">
        <v>95</v>
      </c>
      <c r="H68" s="27" t="s">
        <v>230</v>
      </c>
      <c r="I68" s="28">
        <v>41517</v>
      </c>
      <c r="J68" s="27" t="s">
        <v>22</v>
      </c>
      <c r="K68" s="27" t="s">
        <v>23</v>
      </c>
      <c r="L68" s="29">
        <v>0.25</v>
      </c>
      <c r="M68" s="27" t="s">
        <v>24</v>
      </c>
      <c r="N68" s="27" t="s">
        <v>214</v>
      </c>
      <c r="O68" s="27" t="s">
        <v>98</v>
      </c>
      <c r="P68" s="28">
        <v>41517</v>
      </c>
      <c r="Q68" s="27" t="s">
        <v>204</v>
      </c>
      <c r="R68" s="27"/>
      <c r="S68" s="27" t="s">
        <v>25</v>
      </c>
    </row>
    <row r="69" spans="1:19" x14ac:dyDescent="0.2">
      <c r="A69" s="27" t="s">
        <v>20</v>
      </c>
      <c r="B69" s="27" t="s">
        <v>21</v>
      </c>
      <c r="C69" s="27"/>
      <c r="D69" s="27"/>
      <c r="E69" s="27" t="s">
        <v>94</v>
      </c>
      <c r="F69" s="27"/>
      <c r="G69" s="27" t="s">
        <v>95</v>
      </c>
      <c r="H69" s="27" t="s">
        <v>231</v>
      </c>
      <c r="I69" s="28">
        <v>41517</v>
      </c>
      <c r="J69" s="27" t="s">
        <v>22</v>
      </c>
      <c r="K69" s="27" t="s">
        <v>23</v>
      </c>
      <c r="L69" s="29">
        <v>-12</v>
      </c>
      <c r="M69" s="27" t="s">
        <v>24</v>
      </c>
      <c r="N69" s="27" t="s">
        <v>127</v>
      </c>
      <c r="O69" s="27" t="s">
        <v>98</v>
      </c>
      <c r="P69" s="28">
        <v>41517</v>
      </c>
      <c r="Q69" s="27" t="s">
        <v>232</v>
      </c>
      <c r="R69" s="27"/>
      <c r="S69" s="27" t="s">
        <v>25</v>
      </c>
    </row>
    <row r="70" spans="1:19" x14ac:dyDescent="0.2">
      <c r="A70" s="27" t="s">
        <v>20</v>
      </c>
      <c r="B70" s="27" t="s">
        <v>21</v>
      </c>
      <c r="C70" s="27"/>
      <c r="D70" s="27"/>
      <c r="E70" s="27" t="s">
        <v>94</v>
      </c>
      <c r="F70" s="27"/>
      <c r="G70" s="27" t="s">
        <v>95</v>
      </c>
      <c r="H70" s="27" t="s">
        <v>233</v>
      </c>
      <c r="I70" s="28">
        <v>41517</v>
      </c>
      <c r="J70" s="27" t="s">
        <v>22</v>
      </c>
      <c r="K70" s="27" t="s">
        <v>23</v>
      </c>
      <c r="L70" s="29">
        <v>-59.24</v>
      </c>
      <c r="M70" s="27" t="s">
        <v>24</v>
      </c>
      <c r="N70" s="27" t="s">
        <v>127</v>
      </c>
      <c r="O70" s="27" t="s">
        <v>98</v>
      </c>
      <c r="P70" s="28">
        <v>41517</v>
      </c>
      <c r="Q70" s="27" t="s">
        <v>234</v>
      </c>
      <c r="R70" s="27"/>
      <c r="S70" s="27" t="s">
        <v>25</v>
      </c>
    </row>
    <row r="71" spans="1:19" x14ac:dyDescent="0.2">
      <c r="A71" s="27" t="s">
        <v>20</v>
      </c>
      <c r="B71" s="27" t="s">
        <v>21</v>
      </c>
      <c r="C71" s="27"/>
      <c r="D71" s="27"/>
      <c r="E71" s="27" t="s">
        <v>94</v>
      </c>
      <c r="F71" s="27"/>
      <c r="G71" s="27" t="s">
        <v>95</v>
      </c>
      <c r="H71" s="27" t="s">
        <v>235</v>
      </c>
      <c r="I71" s="28">
        <v>41517</v>
      </c>
      <c r="J71" s="27" t="s">
        <v>22</v>
      </c>
      <c r="K71" s="27" t="s">
        <v>23</v>
      </c>
      <c r="L71" s="29">
        <v>-111925.75</v>
      </c>
      <c r="M71" s="27" t="s">
        <v>24</v>
      </c>
      <c r="N71" s="27" t="s">
        <v>127</v>
      </c>
      <c r="O71" s="27" t="s">
        <v>98</v>
      </c>
      <c r="P71" s="28">
        <v>41517</v>
      </c>
      <c r="Q71" s="27" t="s">
        <v>236</v>
      </c>
      <c r="R71" s="27" t="s">
        <v>237</v>
      </c>
      <c r="S71" s="27" t="s">
        <v>25</v>
      </c>
    </row>
    <row r="72" spans="1:19" x14ac:dyDescent="0.2">
      <c r="A72" s="27" t="s">
        <v>20</v>
      </c>
      <c r="B72" s="27" t="s">
        <v>21</v>
      </c>
      <c r="C72" s="27"/>
      <c r="D72" s="27"/>
      <c r="E72" s="27" t="s">
        <v>94</v>
      </c>
      <c r="F72" s="27"/>
      <c r="G72" s="27" t="s">
        <v>95</v>
      </c>
      <c r="H72" s="27" t="s">
        <v>238</v>
      </c>
      <c r="I72" s="28">
        <v>41517</v>
      </c>
      <c r="J72" s="27" t="s">
        <v>22</v>
      </c>
      <c r="K72" s="27" t="s">
        <v>23</v>
      </c>
      <c r="L72" s="29">
        <v>60724.18</v>
      </c>
      <c r="M72" s="27" t="s">
        <v>24</v>
      </c>
      <c r="N72" s="27" t="s">
        <v>239</v>
      </c>
      <c r="O72" s="27" t="s">
        <v>98</v>
      </c>
      <c r="P72" s="28">
        <v>41517</v>
      </c>
      <c r="Q72" s="27" t="s">
        <v>240</v>
      </c>
      <c r="R72" s="27"/>
      <c r="S72" s="27" t="s">
        <v>25</v>
      </c>
    </row>
    <row r="73" spans="1:19" x14ac:dyDescent="0.2">
      <c r="A73" s="27" t="s">
        <v>20</v>
      </c>
      <c r="B73" s="27" t="s">
        <v>21</v>
      </c>
      <c r="C73" s="27"/>
      <c r="D73" s="27"/>
      <c r="E73" s="27" t="s">
        <v>94</v>
      </c>
      <c r="F73" s="27"/>
      <c r="G73" s="27" t="s">
        <v>95</v>
      </c>
      <c r="H73" s="27" t="s">
        <v>241</v>
      </c>
      <c r="I73" s="28">
        <v>41517</v>
      </c>
      <c r="J73" s="27" t="s">
        <v>22</v>
      </c>
      <c r="K73" s="27" t="s">
        <v>23</v>
      </c>
      <c r="L73" s="29">
        <v>28.6</v>
      </c>
      <c r="M73" s="27" t="s">
        <v>24</v>
      </c>
      <c r="N73" s="27" t="s">
        <v>239</v>
      </c>
      <c r="O73" s="27" t="s">
        <v>98</v>
      </c>
      <c r="P73" s="28">
        <v>41517</v>
      </c>
      <c r="Q73" s="27" t="s">
        <v>242</v>
      </c>
      <c r="R73" s="27"/>
      <c r="S73" s="27" t="s">
        <v>25</v>
      </c>
    </row>
    <row r="74" spans="1:19" x14ac:dyDescent="0.2">
      <c r="A74" s="27" t="s">
        <v>20</v>
      </c>
      <c r="B74" s="27" t="s">
        <v>21</v>
      </c>
      <c r="C74" s="27"/>
      <c r="D74" s="27"/>
      <c r="E74" s="27" t="s">
        <v>94</v>
      </c>
      <c r="F74" s="27"/>
      <c r="G74" s="27" t="s">
        <v>95</v>
      </c>
      <c r="H74" s="27" t="s">
        <v>243</v>
      </c>
      <c r="I74" s="28">
        <v>41517</v>
      </c>
      <c r="J74" s="27" t="s">
        <v>22</v>
      </c>
      <c r="K74" s="27" t="s">
        <v>23</v>
      </c>
      <c r="L74" s="29">
        <v>3.3</v>
      </c>
      <c r="M74" s="27" t="s">
        <v>24</v>
      </c>
      <c r="N74" s="27" t="s">
        <v>239</v>
      </c>
      <c r="O74" s="27" t="s">
        <v>98</v>
      </c>
      <c r="P74" s="28">
        <v>41517</v>
      </c>
      <c r="Q74" s="27" t="s">
        <v>244</v>
      </c>
      <c r="R74" s="27"/>
      <c r="S74" s="27" t="s">
        <v>25</v>
      </c>
    </row>
    <row r="75" spans="1:19" x14ac:dyDescent="0.2">
      <c r="A75" s="27" t="s">
        <v>20</v>
      </c>
      <c r="B75" s="27" t="s">
        <v>21</v>
      </c>
      <c r="C75" s="27"/>
      <c r="D75" s="27"/>
      <c r="E75" s="27" t="s">
        <v>94</v>
      </c>
      <c r="F75" s="27"/>
      <c r="G75" s="27" t="s">
        <v>95</v>
      </c>
      <c r="H75" s="27" t="s">
        <v>245</v>
      </c>
      <c r="I75" s="28">
        <v>41517</v>
      </c>
      <c r="J75" s="27" t="s">
        <v>22</v>
      </c>
      <c r="K75" s="27" t="s">
        <v>23</v>
      </c>
      <c r="L75" s="29">
        <v>1152.1500000000001</v>
      </c>
      <c r="M75" s="27" t="s">
        <v>24</v>
      </c>
      <c r="N75" s="27" t="s">
        <v>97</v>
      </c>
      <c r="O75" s="27" t="s">
        <v>98</v>
      </c>
      <c r="P75" s="28">
        <v>41517</v>
      </c>
      <c r="Q75" s="27" t="s">
        <v>246</v>
      </c>
      <c r="R75" s="27"/>
      <c r="S75" s="27" t="s">
        <v>25</v>
      </c>
    </row>
    <row r="76" spans="1:19" x14ac:dyDescent="0.2">
      <c r="A76" s="27" t="s">
        <v>20</v>
      </c>
      <c r="B76" s="27" t="s">
        <v>21</v>
      </c>
      <c r="C76" s="27"/>
      <c r="D76" s="27"/>
      <c r="E76" s="27" t="s">
        <v>94</v>
      </c>
      <c r="F76" s="27"/>
      <c r="G76" s="27" t="s">
        <v>95</v>
      </c>
      <c r="H76" s="27" t="s">
        <v>247</v>
      </c>
      <c r="I76" s="28">
        <v>41517</v>
      </c>
      <c r="J76" s="27" t="s">
        <v>22</v>
      </c>
      <c r="K76" s="27" t="s">
        <v>23</v>
      </c>
      <c r="L76" s="29">
        <v>12102.59</v>
      </c>
      <c r="M76" s="27" t="s">
        <v>24</v>
      </c>
      <c r="N76" s="27" t="s">
        <v>97</v>
      </c>
      <c r="O76" s="27" t="s">
        <v>98</v>
      </c>
      <c r="P76" s="28">
        <v>41517</v>
      </c>
      <c r="Q76" s="27" t="s">
        <v>248</v>
      </c>
      <c r="R76" s="27"/>
      <c r="S76" s="27" t="s">
        <v>25</v>
      </c>
    </row>
    <row r="77" spans="1:19" x14ac:dyDescent="0.2">
      <c r="A77" s="27" t="s">
        <v>20</v>
      </c>
      <c r="B77" s="27" t="s">
        <v>21</v>
      </c>
      <c r="C77" s="27"/>
      <c r="D77" s="27"/>
      <c r="E77" s="27" t="s">
        <v>94</v>
      </c>
      <c r="F77" s="27"/>
      <c r="G77" s="27" t="s">
        <v>95</v>
      </c>
      <c r="H77" s="27" t="s">
        <v>249</v>
      </c>
      <c r="I77" s="28">
        <v>41517</v>
      </c>
      <c r="J77" s="27" t="s">
        <v>22</v>
      </c>
      <c r="K77" s="27" t="s">
        <v>23</v>
      </c>
      <c r="L77" s="29">
        <v>1972.65</v>
      </c>
      <c r="M77" s="27" t="s">
        <v>24</v>
      </c>
      <c r="N77" s="27" t="s">
        <v>97</v>
      </c>
      <c r="O77" s="27" t="s">
        <v>98</v>
      </c>
      <c r="P77" s="28">
        <v>41517</v>
      </c>
      <c r="Q77" s="27" t="s">
        <v>250</v>
      </c>
      <c r="R77" s="27"/>
      <c r="S77" s="27" t="s">
        <v>25</v>
      </c>
    </row>
    <row r="78" spans="1:19" x14ac:dyDescent="0.2">
      <c r="A78" s="27" t="s">
        <v>20</v>
      </c>
      <c r="B78" s="27" t="s">
        <v>21</v>
      </c>
      <c r="C78" s="27"/>
      <c r="D78" s="27"/>
      <c r="E78" s="27" t="s">
        <v>94</v>
      </c>
      <c r="F78" s="27"/>
      <c r="G78" s="27" t="s">
        <v>95</v>
      </c>
      <c r="H78" s="27" t="s">
        <v>251</v>
      </c>
      <c r="I78" s="28">
        <v>41517</v>
      </c>
      <c r="J78" s="27" t="s">
        <v>22</v>
      </c>
      <c r="K78" s="27" t="s">
        <v>23</v>
      </c>
      <c r="L78" s="29">
        <v>-9.1</v>
      </c>
      <c r="M78" s="27" t="s">
        <v>24</v>
      </c>
      <c r="N78" s="27" t="s">
        <v>75</v>
      </c>
      <c r="O78" s="27" t="s">
        <v>98</v>
      </c>
      <c r="P78" s="28">
        <v>41517</v>
      </c>
      <c r="Q78" s="27" t="s">
        <v>252</v>
      </c>
      <c r="R78" s="27"/>
      <c r="S78" s="27" t="s">
        <v>25</v>
      </c>
    </row>
    <row r="79" spans="1:19" x14ac:dyDescent="0.2">
      <c r="A79" s="27" t="s">
        <v>20</v>
      </c>
      <c r="B79" s="27" t="s">
        <v>21</v>
      </c>
      <c r="C79" s="27"/>
      <c r="D79" s="27"/>
      <c r="E79" s="27" t="s">
        <v>94</v>
      </c>
      <c r="F79" s="27"/>
      <c r="G79" s="27" t="s">
        <v>95</v>
      </c>
      <c r="H79" s="27" t="s">
        <v>253</v>
      </c>
      <c r="I79" s="28">
        <v>41517</v>
      </c>
      <c r="J79" s="27" t="s">
        <v>22</v>
      </c>
      <c r="K79" s="27" t="s">
        <v>23</v>
      </c>
      <c r="L79" s="29">
        <v>-22.98</v>
      </c>
      <c r="M79" s="27" t="s">
        <v>24</v>
      </c>
      <c r="N79" s="27" t="s">
        <v>75</v>
      </c>
      <c r="O79" s="27" t="s">
        <v>98</v>
      </c>
      <c r="P79" s="28">
        <v>41517</v>
      </c>
      <c r="Q79" s="27" t="s">
        <v>254</v>
      </c>
      <c r="R79" s="27"/>
      <c r="S79" s="27" t="s">
        <v>25</v>
      </c>
    </row>
    <row r="80" spans="1:19" x14ac:dyDescent="0.2">
      <c r="A80" s="27" t="s">
        <v>20</v>
      </c>
      <c r="B80" s="27" t="s">
        <v>21</v>
      </c>
      <c r="C80" s="27"/>
      <c r="D80" s="27"/>
      <c r="E80" s="27" t="s">
        <v>94</v>
      </c>
      <c r="F80" s="27"/>
      <c r="G80" s="27" t="s">
        <v>95</v>
      </c>
      <c r="H80" s="27" t="s">
        <v>255</v>
      </c>
      <c r="I80" s="28">
        <v>41517</v>
      </c>
      <c r="J80" s="27" t="s">
        <v>22</v>
      </c>
      <c r="K80" s="27" t="s">
        <v>23</v>
      </c>
      <c r="L80" s="29">
        <v>-15.32</v>
      </c>
      <c r="M80" s="27" t="s">
        <v>24</v>
      </c>
      <c r="N80" s="27" t="s">
        <v>75</v>
      </c>
      <c r="O80" s="27" t="s">
        <v>98</v>
      </c>
      <c r="P80" s="28">
        <v>41517</v>
      </c>
      <c r="Q80" s="27" t="s">
        <v>256</v>
      </c>
      <c r="R80" s="27"/>
      <c r="S80" s="27" t="s">
        <v>25</v>
      </c>
    </row>
    <row r="81" spans="1:19" x14ac:dyDescent="0.2">
      <c r="A81" s="27" t="s">
        <v>20</v>
      </c>
      <c r="B81" s="27" t="s">
        <v>21</v>
      </c>
      <c r="C81" s="27"/>
      <c r="D81" s="27"/>
      <c r="E81" s="27" t="s">
        <v>94</v>
      </c>
      <c r="F81" s="27"/>
      <c r="G81" s="27" t="s">
        <v>95</v>
      </c>
      <c r="H81" s="27" t="s">
        <v>257</v>
      </c>
      <c r="I81" s="28">
        <v>41517</v>
      </c>
      <c r="J81" s="27" t="s">
        <v>22</v>
      </c>
      <c r="K81" s="27" t="s">
        <v>23</v>
      </c>
      <c r="L81" s="29">
        <v>0.73</v>
      </c>
      <c r="M81" s="27" t="s">
        <v>24</v>
      </c>
      <c r="N81" s="27" t="s">
        <v>76</v>
      </c>
      <c r="O81" s="27" t="s">
        <v>98</v>
      </c>
      <c r="P81" s="28">
        <v>41517</v>
      </c>
      <c r="Q81" s="27" t="s">
        <v>258</v>
      </c>
      <c r="R81" s="27"/>
      <c r="S81" s="27" t="s">
        <v>25</v>
      </c>
    </row>
    <row r="82" spans="1:19" x14ac:dyDescent="0.2">
      <c r="A82" s="27" t="s">
        <v>20</v>
      </c>
      <c r="B82" s="27" t="s">
        <v>21</v>
      </c>
      <c r="C82" s="27"/>
      <c r="D82" s="27"/>
      <c r="E82" s="27" t="s">
        <v>94</v>
      </c>
      <c r="F82" s="27"/>
      <c r="G82" s="27" t="s">
        <v>95</v>
      </c>
      <c r="H82" s="27" t="s">
        <v>259</v>
      </c>
      <c r="I82" s="28">
        <v>41517</v>
      </c>
      <c r="J82" s="27" t="s">
        <v>22</v>
      </c>
      <c r="K82" s="27" t="s">
        <v>23</v>
      </c>
      <c r="L82" s="29">
        <v>1.38</v>
      </c>
      <c r="M82" s="27" t="s">
        <v>24</v>
      </c>
      <c r="N82" s="27" t="s">
        <v>76</v>
      </c>
      <c r="O82" s="27" t="s">
        <v>98</v>
      </c>
      <c r="P82" s="28">
        <v>41517</v>
      </c>
      <c r="Q82" s="27" t="s">
        <v>200</v>
      </c>
      <c r="R82" s="27"/>
      <c r="S82" s="27" t="s">
        <v>25</v>
      </c>
    </row>
    <row r="83" spans="1:19" x14ac:dyDescent="0.2">
      <c r="A83" s="27" t="s">
        <v>20</v>
      </c>
      <c r="B83" s="27" t="s">
        <v>21</v>
      </c>
      <c r="C83" s="27"/>
      <c r="D83" s="27"/>
      <c r="E83" s="27" t="s">
        <v>94</v>
      </c>
      <c r="F83" s="27"/>
      <c r="G83" s="27" t="s">
        <v>95</v>
      </c>
      <c r="H83" s="27" t="s">
        <v>260</v>
      </c>
      <c r="I83" s="28">
        <v>41517</v>
      </c>
      <c r="J83" s="27" t="s">
        <v>22</v>
      </c>
      <c r="K83" s="27" t="s">
        <v>23</v>
      </c>
      <c r="L83" s="29">
        <v>-12.42</v>
      </c>
      <c r="M83" s="27" t="s">
        <v>24</v>
      </c>
      <c r="N83" s="27" t="s">
        <v>75</v>
      </c>
      <c r="O83" s="27" t="s">
        <v>98</v>
      </c>
      <c r="P83" s="28">
        <v>41517</v>
      </c>
      <c r="Q83" s="27" t="s">
        <v>261</v>
      </c>
      <c r="R83" s="27"/>
      <c r="S83" s="27" t="s">
        <v>25</v>
      </c>
    </row>
    <row r="84" spans="1:19" x14ac:dyDescent="0.2">
      <c r="A84" s="27" t="s">
        <v>20</v>
      </c>
      <c r="B84" s="27" t="s">
        <v>21</v>
      </c>
      <c r="C84" s="27"/>
      <c r="D84" s="27"/>
      <c r="E84" s="27" t="s">
        <v>94</v>
      </c>
      <c r="F84" s="27"/>
      <c r="G84" s="27" t="s">
        <v>95</v>
      </c>
      <c r="H84" s="27" t="s">
        <v>262</v>
      </c>
      <c r="I84" s="28">
        <v>41517</v>
      </c>
      <c r="J84" s="27" t="s">
        <v>22</v>
      </c>
      <c r="K84" s="27" t="s">
        <v>23</v>
      </c>
      <c r="L84" s="29">
        <v>0.37</v>
      </c>
      <c r="M84" s="27" t="s">
        <v>24</v>
      </c>
      <c r="N84" s="27" t="s">
        <v>76</v>
      </c>
      <c r="O84" s="27" t="s">
        <v>98</v>
      </c>
      <c r="P84" s="28">
        <v>41517</v>
      </c>
      <c r="Q84" s="27" t="s">
        <v>263</v>
      </c>
      <c r="R84" s="27"/>
      <c r="S84" s="27" t="s">
        <v>25</v>
      </c>
    </row>
    <row r="85" spans="1:19" x14ac:dyDescent="0.2">
      <c r="A85" s="27" t="s">
        <v>20</v>
      </c>
      <c r="B85" s="27" t="s">
        <v>21</v>
      </c>
      <c r="C85" s="27"/>
      <c r="D85" s="27"/>
      <c r="E85" s="27" t="s">
        <v>94</v>
      </c>
      <c r="F85" s="27"/>
      <c r="G85" s="27" t="s">
        <v>95</v>
      </c>
      <c r="H85" s="27" t="s">
        <v>264</v>
      </c>
      <c r="I85" s="28">
        <v>41517</v>
      </c>
      <c r="J85" s="27" t="s">
        <v>22</v>
      </c>
      <c r="K85" s="27" t="s">
        <v>23</v>
      </c>
      <c r="L85" s="29">
        <v>-5.23</v>
      </c>
      <c r="M85" s="27" t="s">
        <v>24</v>
      </c>
      <c r="N85" s="27" t="s">
        <v>75</v>
      </c>
      <c r="O85" s="27" t="s">
        <v>98</v>
      </c>
      <c r="P85" s="28">
        <v>41517</v>
      </c>
      <c r="Q85" s="27" t="s">
        <v>265</v>
      </c>
      <c r="R85" s="27"/>
      <c r="S85" s="27" t="s">
        <v>25</v>
      </c>
    </row>
    <row r="86" spans="1:19" x14ac:dyDescent="0.2">
      <c r="A86" s="27" t="s">
        <v>20</v>
      </c>
      <c r="B86" s="27" t="s">
        <v>21</v>
      </c>
      <c r="C86" s="27"/>
      <c r="D86" s="27"/>
      <c r="E86" s="27" t="s">
        <v>94</v>
      </c>
      <c r="F86" s="27"/>
      <c r="G86" s="27" t="s">
        <v>95</v>
      </c>
      <c r="H86" s="27" t="s">
        <v>266</v>
      </c>
      <c r="I86" s="28">
        <v>41517</v>
      </c>
      <c r="J86" s="27" t="s">
        <v>22</v>
      </c>
      <c r="K86" s="27" t="s">
        <v>23</v>
      </c>
      <c r="L86" s="29">
        <v>-19.52</v>
      </c>
      <c r="M86" s="27" t="s">
        <v>24</v>
      </c>
      <c r="N86" s="27" t="s">
        <v>76</v>
      </c>
      <c r="O86" s="27" t="s">
        <v>98</v>
      </c>
      <c r="P86" s="28">
        <v>41517</v>
      </c>
      <c r="Q86" s="27" t="s">
        <v>267</v>
      </c>
      <c r="R86" s="27"/>
      <c r="S86" s="27" t="s">
        <v>25</v>
      </c>
    </row>
    <row r="87" spans="1:19" x14ac:dyDescent="0.2">
      <c r="A87" s="27" t="s">
        <v>20</v>
      </c>
      <c r="B87" s="27" t="s">
        <v>21</v>
      </c>
      <c r="C87" s="27"/>
      <c r="D87" s="27"/>
      <c r="E87" s="27" t="s">
        <v>94</v>
      </c>
      <c r="F87" s="27"/>
      <c r="G87" s="27" t="s">
        <v>95</v>
      </c>
      <c r="H87" s="27" t="s">
        <v>268</v>
      </c>
      <c r="I87" s="28">
        <v>41517</v>
      </c>
      <c r="J87" s="27" t="s">
        <v>22</v>
      </c>
      <c r="K87" s="27" t="s">
        <v>23</v>
      </c>
      <c r="L87" s="29">
        <v>-20481.93</v>
      </c>
      <c r="M87" s="27" t="s">
        <v>24</v>
      </c>
      <c r="N87" s="27" t="s">
        <v>75</v>
      </c>
      <c r="O87" s="27" t="s">
        <v>98</v>
      </c>
      <c r="P87" s="28">
        <v>41517</v>
      </c>
      <c r="Q87" s="27" t="s">
        <v>269</v>
      </c>
      <c r="R87" s="27"/>
      <c r="S87" s="27" t="s">
        <v>25</v>
      </c>
    </row>
    <row r="88" spans="1:19" x14ac:dyDescent="0.2">
      <c r="A88" s="27" t="s">
        <v>20</v>
      </c>
      <c r="B88" s="27" t="s">
        <v>21</v>
      </c>
      <c r="C88" s="27"/>
      <c r="D88" s="27"/>
      <c r="E88" s="27" t="s">
        <v>94</v>
      </c>
      <c r="F88" s="27"/>
      <c r="G88" s="27" t="s">
        <v>95</v>
      </c>
      <c r="H88" s="27" t="s">
        <v>270</v>
      </c>
      <c r="I88" s="28">
        <v>41517</v>
      </c>
      <c r="J88" s="27" t="s">
        <v>22</v>
      </c>
      <c r="K88" s="27" t="s">
        <v>23</v>
      </c>
      <c r="L88" s="29">
        <v>-7806.4</v>
      </c>
      <c r="M88" s="27" t="s">
        <v>24</v>
      </c>
      <c r="N88" s="27" t="s">
        <v>75</v>
      </c>
      <c r="O88" s="27" t="s">
        <v>98</v>
      </c>
      <c r="P88" s="28">
        <v>41517</v>
      </c>
      <c r="Q88" s="27" t="s">
        <v>271</v>
      </c>
      <c r="R88" s="27"/>
      <c r="S88" s="27" t="s">
        <v>25</v>
      </c>
    </row>
    <row r="89" spans="1:19" x14ac:dyDescent="0.2">
      <c r="A89" s="27" t="s">
        <v>20</v>
      </c>
      <c r="B89" s="27" t="s">
        <v>21</v>
      </c>
      <c r="C89" s="27"/>
      <c r="D89" s="27"/>
      <c r="E89" s="27" t="s">
        <v>94</v>
      </c>
      <c r="F89" s="27"/>
      <c r="G89" s="27" t="s">
        <v>95</v>
      </c>
      <c r="H89" s="27" t="s">
        <v>272</v>
      </c>
      <c r="I89" s="28">
        <v>41517</v>
      </c>
      <c r="J89" s="27" t="s">
        <v>22</v>
      </c>
      <c r="K89" s="27" t="s">
        <v>23</v>
      </c>
      <c r="L89" s="29">
        <v>7.0000000000000007E-2</v>
      </c>
      <c r="M89" s="27" t="s">
        <v>24</v>
      </c>
      <c r="N89" s="27" t="s">
        <v>76</v>
      </c>
      <c r="O89" s="27" t="s">
        <v>98</v>
      </c>
      <c r="P89" s="28">
        <v>41517</v>
      </c>
      <c r="Q89" s="27" t="s">
        <v>273</v>
      </c>
      <c r="R89" s="27"/>
      <c r="S89" s="27" t="s">
        <v>25</v>
      </c>
    </row>
    <row r="90" spans="1:19" x14ac:dyDescent="0.2">
      <c r="A90" s="27" t="s">
        <v>20</v>
      </c>
      <c r="B90" s="27" t="s">
        <v>21</v>
      </c>
      <c r="C90" s="27"/>
      <c r="D90" s="27"/>
      <c r="E90" s="27" t="s">
        <v>94</v>
      </c>
      <c r="F90" s="27"/>
      <c r="G90" s="27" t="s">
        <v>95</v>
      </c>
      <c r="H90" s="27" t="s">
        <v>274</v>
      </c>
      <c r="I90" s="28">
        <v>41517</v>
      </c>
      <c r="J90" s="27" t="s">
        <v>22</v>
      </c>
      <c r="K90" s="27" t="s">
        <v>23</v>
      </c>
      <c r="L90" s="29">
        <v>14.73</v>
      </c>
      <c r="M90" s="27" t="s">
        <v>24</v>
      </c>
      <c r="N90" s="27" t="s">
        <v>76</v>
      </c>
      <c r="O90" s="27" t="s">
        <v>98</v>
      </c>
      <c r="P90" s="28">
        <v>41517</v>
      </c>
      <c r="Q90" s="27" t="s">
        <v>275</v>
      </c>
      <c r="R90" s="27"/>
      <c r="S90" s="27" t="s">
        <v>25</v>
      </c>
    </row>
    <row r="91" spans="1:19" x14ac:dyDescent="0.2">
      <c r="A91" s="27" t="s">
        <v>20</v>
      </c>
      <c r="B91" s="27" t="s">
        <v>21</v>
      </c>
      <c r="C91" s="27"/>
      <c r="D91" s="27"/>
      <c r="E91" s="27" t="s">
        <v>94</v>
      </c>
      <c r="F91" s="27"/>
      <c r="G91" s="27" t="s">
        <v>95</v>
      </c>
      <c r="H91" s="27" t="s">
        <v>276</v>
      </c>
      <c r="I91" s="28">
        <v>41517</v>
      </c>
      <c r="J91" s="27" t="s">
        <v>22</v>
      </c>
      <c r="K91" s="27" t="s">
        <v>23</v>
      </c>
      <c r="L91" s="29">
        <v>14.48</v>
      </c>
      <c r="M91" s="27" t="s">
        <v>24</v>
      </c>
      <c r="N91" s="27" t="s">
        <v>76</v>
      </c>
      <c r="O91" s="27" t="s">
        <v>98</v>
      </c>
      <c r="P91" s="28">
        <v>41517</v>
      </c>
      <c r="Q91" s="27" t="s">
        <v>277</v>
      </c>
      <c r="R91" s="27"/>
      <c r="S91" s="27" t="s">
        <v>25</v>
      </c>
    </row>
    <row r="92" spans="1:19" x14ac:dyDescent="0.2">
      <c r="A92" s="27" t="s">
        <v>20</v>
      </c>
      <c r="B92" s="27" t="s">
        <v>21</v>
      </c>
      <c r="C92" s="27"/>
      <c r="D92" s="27"/>
      <c r="E92" s="27" t="s">
        <v>94</v>
      </c>
      <c r="F92" s="27"/>
      <c r="G92" s="27" t="s">
        <v>95</v>
      </c>
      <c r="H92" s="27" t="s">
        <v>278</v>
      </c>
      <c r="I92" s="28">
        <v>41517</v>
      </c>
      <c r="J92" s="27" t="s">
        <v>22</v>
      </c>
      <c r="K92" s="27" t="s">
        <v>23</v>
      </c>
      <c r="L92" s="29">
        <v>-0.02</v>
      </c>
      <c r="M92" s="27" t="s">
        <v>24</v>
      </c>
      <c r="N92" s="27" t="s">
        <v>76</v>
      </c>
      <c r="O92" s="27" t="s">
        <v>98</v>
      </c>
      <c r="P92" s="28">
        <v>41517</v>
      </c>
      <c r="Q92" s="27" t="s">
        <v>146</v>
      </c>
      <c r="R92" s="27"/>
      <c r="S92" s="27" t="s">
        <v>25</v>
      </c>
    </row>
    <row r="93" spans="1:19" x14ac:dyDescent="0.2">
      <c r="A93" s="27" t="s">
        <v>20</v>
      </c>
      <c r="B93" s="27" t="s">
        <v>21</v>
      </c>
      <c r="C93" s="27"/>
      <c r="D93" s="27"/>
      <c r="E93" s="27" t="s">
        <v>94</v>
      </c>
      <c r="F93" s="27"/>
      <c r="G93" s="27" t="s">
        <v>95</v>
      </c>
      <c r="H93" s="27" t="s">
        <v>279</v>
      </c>
      <c r="I93" s="28">
        <v>41517</v>
      </c>
      <c r="J93" s="27" t="s">
        <v>22</v>
      </c>
      <c r="K93" s="27" t="s">
        <v>23</v>
      </c>
      <c r="L93" s="29">
        <v>-0.03</v>
      </c>
      <c r="M93" s="27" t="s">
        <v>24</v>
      </c>
      <c r="N93" s="27" t="s">
        <v>76</v>
      </c>
      <c r="O93" s="27" t="s">
        <v>98</v>
      </c>
      <c r="P93" s="28">
        <v>41517</v>
      </c>
      <c r="Q93" s="27" t="s">
        <v>144</v>
      </c>
      <c r="R93" s="27"/>
      <c r="S93" s="27" t="s">
        <v>25</v>
      </c>
    </row>
    <row r="94" spans="1:19" x14ac:dyDescent="0.2">
      <c r="A94" s="27" t="s">
        <v>20</v>
      </c>
      <c r="B94" s="27" t="s">
        <v>21</v>
      </c>
      <c r="C94" s="27"/>
      <c r="D94" s="27"/>
      <c r="E94" s="27" t="s">
        <v>94</v>
      </c>
      <c r="F94" s="27"/>
      <c r="G94" s="27" t="s">
        <v>95</v>
      </c>
      <c r="H94" s="27" t="s">
        <v>280</v>
      </c>
      <c r="I94" s="28">
        <v>41517</v>
      </c>
      <c r="J94" s="27" t="s">
        <v>22</v>
      </c>
      <c r="K94" s="27" t="s">
        <v>23</v>
      </c>
      <c r="L94" s="29">
        <v>-0.01</v>
      </c>
      <c r="M94" s="27" t="s">
        <v>24</v>
      </c>
      <c r="N94" s="27" t="s">
        <v>76</v>
      </c>
      <c r="O94" s="27" t="s">
        <v>98</v>
      </c>
      <c r="P94" s="28">
        <v>41517</v>
      </c>
      <c r="Q94" s="27" t="s">
        <v>169</v>
      </c>
      <c r="R94" s="27"/>
      <c r="S94" s="27" t="s">
        <v>25</v>
      </c>
    </row>
    <row r="95" spans="1:19" x14ac:dyDescent="0.2">
      <c r="A95" s="27" t="s">
        <v>20</v>
      </c>
      <c r="B95" s="27" t="s">
        <v>21</v>
      </c>
      <c r="C95" s="27"/>
      <c r="D95" s="27"/>
      <c r="E95" s="27" t="s">
        <v>94</v>
      </c>
      <c r="F95" s="27"/>
      <c r="G95" s="27" t="s">
        <v>95</v>
      </c>
      <c r="H95" s="27" t="s">
        <v>281</v>
      </c>
      <c r="I95" s="28">
        <v>41517</v>
      </c>
      <c r="J95" s="27" t="s">
        <v>22</v>
      </c>
      <c r="K95" s="27" t="s">
        <v>23</v>
      </c>
      <c r="L95" s="29">
        <v>-2983.39</v>
      </c>
      <c r="M95" s="27" t="s">
        <v>24</v>
      </c>
      <c r="N95" s="27" t="s">
        <v>75</v>
      </c>
      <c r="O95" s="27" t="s">
        <v>98</v>
      </c>
      <c r="P95" s="28">
        <v>41517</v>
      </c>
      <c r="Q95" s="27" t="s">
        <v>282</v>
      </c>
      <c r="R95" s="27"/>
      <c r="S95" s="27" t="s">
        <v>25</v>
      </c>
    </row>
    <row r="96" spans="1:19" x14ac:dyDescent="0.2">
      <c r="A96" s="27" t="s">
        <v>20</v>
      </c>
      <c r="B96" s="27" t="s">
        <v>21</v>
      </c>
      <c r="C96" s="27"/>
      <c r="D96" s="27"/>
      <c r="E96" s="27" t="s">
        <v>94</v>
      </c>
      <c r="F96" s="27"/>
      <c r="G96" s="27" t="s">
        <v>95</v>
      </c>
      <c r="H96" s="27" t="s">
        <v>283</v>
      </c>
      <c r="I96" s="28">
        <v>41517</v>
      </c>
      <c r="J96" s="27" t="s">
        <v>22</v>
      </c>
      <c r="K96" s="27" t="s">
        <v>23</v>
      </c>
      <c r="L96" s="29">
        <v>-1993.4</v>
      </c>
      <c r="M96" s="27" t="s">
        <v>24</v>
      </c>
      <c r="N96" s="27" t="s">
        <v>75</v>
      </c>
      <c r="O96" s="27" t="s">
        <v>98</v>
      </c>
      <c r="P96" s="28">
        <v>41517</v>
      </c>
      <c r="Q96" s="27" t="s">
        <v>284</v>
      </c>
      <c r="R96" s="27"/>
      <c r="S96" s="27" t="s">
        <v>25</v>
      </c>
    </row>
    <row r="97" spans="1:19" x14ac:dyDescent="0.2">
      <c r="A97" s="27" t="s">
        <v>20</v>
      </c>
      <c r="B97" s="27" t="s">
        <v>21</v>
      </c>
      <c r="C97" s="27"/>
      <c r="D97" s="27"/>
      <c r="E97" s="27" t="s">
        <v>94</v>
      </c>
      <c r="F97" s="27"/>
      <c r="G97" s="27" t="s">
        <v>95</v>
      </c>
      <c r="H97" s="27" t="s">
        <v>285</v>
      </c>
      <c r="I97" s="28">
        <v>41517</v>
      </c>
      <c r="J97" s="27" t="s">
        <v>22</v>
      </c>
      <c r="K97" s="27" t="s">
        <v>23</v>
      </c>
      <c r="L97" s="29">
        <v>-916.08</v>
      </c>
      <c r="M97" s="27" t="s">
        <v>24</v>
      </c>
      <c r="N97" s="27" t="s">
        <v>75</v>
      </c>
      <c r="O97" s="27" t="s">
        <v>98</v>
      </c>
      <c r="P97" s="28">
        <v>41517</v>
      </c>
      <c r="Q97" s="27" t="s">
        <v>286</v>
      </c>
      <c r="R97" s="27"/>
      <c r="S97" s="27" t="s">
        <v>25</v>
      </c>
    </row>
    <row r="98" spans="1:19" x14ac:dyDescent="0.2">
      <c r="A98" s="27" t="s">
        <v>20</v>
      </c>
      <c r="B98" s="27" t="s">
        <v>21</v>
      </c>
      <c r="C98" s="27"/>
      <c r="D98" s="27"/>
      <c r="E98" s="27" t="s">
        <v>94</v>
      </c>
      <c r="F98" s="27"/>
      <c r="G98" s="27" t="s">
        <v>95</v>
      </c>
      <c r="H98" s="27" t="s">
        <v>287</v>
      </c>
      <c r="I98" s="28">
        <v>41517</v>
      </c>
      <c r="J98" s="27" t="s">
        <v>22</v>
      </c>
      <c r="K98" s="27" t="s">
        <v>23</v>
      </c>
      <c r="L98" s="29">
        <v>-647.6</v>
      </c>
      <c r="M98" s="27" t="s">
        <v>24</v>
      </c>
      <c r="N98" s="27" t="s">
        <v>75</v>
      </c>
      <c r="O98" s="27" t="s">
        <v>98</v>
      </c>
      <c r="P98" s="28">
        <v>41517</v>
      </c>
      <c r="Q98" s="27" t="s">
        <v>288</v>
      </c>
      <c r="R98" s="27"/>
      <c r="S98" s="27" t="s">
        <v>25</v>
      </c>
    </row>
    <row r="99" spans="1:19" x14ac:dyDescent="0.2">
      <c r="A99" s="27" t="s">
        <v>20</v>
      </c>
      <c r="B99" s="27" t="s">
        <v>21</v>
      </c>
      <c r="C99" s="27"/>
      <c r="D99" s="27"/>
      <c r="E99" s="27" t="s">
        <v>94</v>
      </c>
      <c r="F99" s="27"/>
      <c r="G99" s="27" t="s">
        <v>95</v>
      </c>
      <c r="H99" s="27" t="s">
        <v>289</v>
      </c>
      <c r="I99" s="28">
        <v>41517</v>
      </c>
      <c r="J99" s="27" t="s">
        <v>22</v>
      </c>
      <c r="K99" s="27" t="s">
        <v>23</v>
      </c>
      <c r="L99" s="29">
        <v>-165.41</v>
      </c>
      <c r="M99" s="27" t="s">
        <v>24</v>
      </c>
      <c r="N99" s="27" t="s">
        <v>75</v>
      </c>
      <c r="O99" s="27" t="s">
        <v>98</v>
      </c>
      <c r="P99" s="28">
        <v>41517</v>
      </c>
      <c r="Q99" s="27" t="s">
        <v>290</v>
      </c>
      <c r="R99" s="27"/>
      <c r="S99" s="27" t="s">
        <v>25</v>
      </c>
    </row>
    <row r="100" spans="1:19" x14ac:dyDescent="0.2">
      <c r="A100" s="27" t="s">
        <v>20</v>
      </c>
      <c r="B100" s="27" t="s">
        <v>21</v>
      </c>
      <c r="C100" s="27"/>
      <c r="D100" s="27"/>
      <c r="E100" s="27" t="s">
        <v>94</v>
      </c>
      <c r="F100" s="27"/>
      <c r="G100" s="27" t="s">
        <v>95</v>
      </c>
      <c r="H100" s="27" t="s">
        <v>291</v>
      </c>
      <c r="I100" s="28">
        <v>41517</v>
      </c>
      <c r="J100" s="27" t="s">
        <v>22</v>
      </c>
      <c r="K100" s="27" t="s">
        <v>23</v>
      </c>
      <c r="L100" s="29">
        <v>-245.49</v>
      </c>
      <c r="M100" s="27" t="s">
        <v>24</v>
      </c>
      <c r="N100" s="27" t="s">
        <v>75</v>
      </c>
      <c r="O100" s="27" t="s">
        <v>98</v>
      </c>
      <c r="P100" s="28">
        <v>41517</v>
      </c>
      <c r="Q100" s="27" t="s">
        <v>292</v>
      </c>
      <c r="R100" s="27"/>
      <c r="S100" s="27" t="s">
        <v>25</v>
      </c>
    </row>
    <row r="101" spans="1:19" x14ac:dyDescent="0.2">
      <c r="A101" s="27" t="s">
        <v>20</v>
      </c>
      <c r="B101" s="27" t="s">
        <v>21</v>
      </c>
      <c r="C101" s="27"/>
      <c r="D101" s="27"/>
      <c r="E101" s="27" t="s">
        <v>94</v>
      </c>
      <c r="F101" s="27"/>
      <c r="G101" s="27" t="s">
        <v>95</v>
      </c>
      <c r="H101" s="27" t="s">
        <v>293</v>
      </c>
      <c r="I101" s="28">
        <v>41517</v>
      </c>
      <c r="J101" s="27" t="s">
        <v>22</v>
      </c>
      <c r="K101" s="27" t="s">
        <v>23</v>
      </c>
      <c r="L101" s="29">
        <v>-12.23</v>
      </c>
      <c r="M101" s="27" t="s">
        <v>24</v>
      </c>
      <c r="N101" s="27" t="s">
        <v>75</v>
      </c>
      <c r="O101" s="27" t="s">
        <v>98</v>
      </c>
      <c r="P101" s="28">
        <v>41517</v>
      </c>
      <c r="Q101" s="27" t="s">
        <v>294</v>
      </c>
      <c r="R101" s="27"/>
      <c r="S101" s="27" t="s">
        <v>25</v>
      </c>
    </row>
    <row r="102" spans="1:19" x14ac:dyDescent="0.2">
      <c r="A102" s="27" t="s">
        <v>20</v>
      </c>
      <c r="B102" s="27" t="s">
        <v>21</v>
      </c>
      <c r="C102" s="27"/>
      <c r="D102" s="27"/>
      <c r="E102" s="27" t="s">
        <v>94</v>
      </c>
      <c r="F102" s="27"/>
      <c r="G102" s="27" t="s">
        <v>95</v>
      </c>
      <c r="H102" s="27" t="s">
        <v>295</v>
      </c>
      <c r="I102" s="28">
        <v>41517</v>
      </c>
      <c r="J102" s="27" t="s">
        <v>22</v>
      </c>
      <c r="K102" s="27" t="s">
        <v>23</v>
      </c>
      <c r="L102" s="29">
        <v>-241.32</v>
      </c>
      <c r="M102" s="27" t="s">
        <v>24</v>
      </c>
      <c r="N102" s="27" t="s">
        <v>75</v>
      </c>
      <c r="O102" s="27" t="s">
        <v>98</v>
      </c>
      <c r="P102" s="28">
        <v>41517</v>
      </c>
      <c r="Q102" s="27" t="s">
        <v>296</v>
      </c>
      <c r="R102" s="27"/>
      <c r="S102" s="27" t="s">
        <v>25</v>
      </c>
    </row>
    <row r="103" spans="1:19" x14ac:dyDescent="0.2">
      <c r="A103" s="27" t="s">
        <v>20</v>
      </c>
      <c r="B103" s="27" t="s">
        <v>21</v>
      </c>
      <c r="C103" s="27"/>
      <c r="D103" s="27"/>
      <c r="E103" s="27" t="s">
        <v>94</v>
      </c>
      <c r="F103" s="27"/>
      <c r="G103" s="27" t="s">
        <v>95</v>
      </c>
      <c r="H103" s="27" t="s">
        <v>297</v>
      </c>
      <c r="I103" s="28">
        <v>41517</v>
      </c>
      <c r="J103" s="27" t="s">
        <v>22</v>
      </c>
      <c r="K103" s="27" t="s">
        <v>23</v>
      </c>
      <c r="L103" s="29">
        <v>-1.17</v>
      </c>
      <c r="M103" s="27" t="s">
        <v>24</v>
      </c>
      <c r="N103" s="27" t="s">
        <v>75</v>
      </c>
      <c r="O103" s="27" t="s">
        <v>98</v>
      </c>
      <c r="P103" s="28">
        <v>41517</v>
      </c>
      <c r="Q103" s="27" t="s">
        <v>298</v>
      </c>
      <c r="R103" s="27"/>
      <c r="S103" s="27" t="s">
        <v>25</v>
      </c>
    </row>
    <row r="104" spans="1:19" x14ac:dyDescent="0.2">
      <c r="A104" s="27" t="s">
        <v>20</v>
      </c>
      <c r="B104" s="27" t="s">
        <v>21</v>
      </c>
      <c r="C104" s="27"/>
      <c r="D104" s="27"/>
      <c r="E104" s="27" t="s">
        <v>94</v>
      </c>
      <c r="F104" s="27"/>
      <c r="G104" s="27" t="s">
        <v>95</v>
      </c>
      <c r="H104" s="27" t="s">
        <v>299</v>
      </c>
      <c r="I104" s="28">
        <v>41517</v>
      </c>
      <c r="J104" s="27" t="s">
        <v>22</v>
      </c>
      <c r="K104" s="27" t="s">
        <v>23</v>
      </c>
      <c r="L104" s="29">
        <v>-1215.6099999999999</v>
      </c>
      <c r="M104" s="27" t="s">
        <v>24</v>
      </c>
      <c r="N104" s="27" t="s">
        <v>75</v>
      </c>
      <c r="O104" s="27" t="s">
        <v>98</v>
      </c>
      <c r="P104" s="28">
        <v>41517</v>
      </c>
      <c r="Q104" s="27" t="s">
        <v>300</v>
      </c>
      <c r="R104" s="27"/>
      <c r="S104" s="27" t="s">
        <v>25</v>
      </c>
    </row>
    <row r="105" spans="1:19" x14ac:dyDescent="0.2">
      <c r="A105" s="27" t="s">
        <v>20</v>
      </c>
      <c r="B105" s="27" t="s">
        <v>21</v>
      </c>
      <c r="C105" s="27"/>
      <c r="D105" s="27"/>
      <c r="E105" s="27" t="s">
        <v>94</v>
      </c>
      <c r="F105" s="27"/>
      <c r="G105" s="27" t="s">
        <v>95</v>
      </c>
      <c r="H105" s="27" t="s">
        <v>301</v>
      </c>
      <c r="I105" s="28">
        <v>41517</v>
      </c>
      <c r="J105" s="27" t="s">
        <v>22</v>
      </c>
      <c r="K105" s="27" t="s">
        <v>23</v>
      </c>
      <c r="L105" s="29">
        <v>-1625.58</v>
      </c>
      <c r="M105" s="27" t="s">
        <v>24</v>
      </c>
      <c r="N105" s="27" t="s">
        <v>75</v>
      </c>
      <c r="O105" s="27" t="s">
        <v>98</v>
      </c>
      <c r="P105" s="28">
        <v>41517</v>
      </c>
      <c r="Q105" s="27" t="s">
        <v>302</v>
      </c>
      <c r="R105" s="27"/>
      <c r="S105" s="27" t="s">
        <v>25</v>
      </c>
    </row>
    <row r="106" spans="1:19" x14ac:dyDescent="0.2">
      <c r="A106" s="27" t="s">
        <v>20</v>
      </c>
      <c r="B106" s="27" t="s">
        <v>21</v>
      </c>
      <c r="C106" s="27"/>
      <c r="D106" s="27"/>
      <c r="E106" s="27" t="s">
        <v>94</v>
      </c>
      <c r="F106" s="27"/>
      <c r="G106" s="27" t="s">
        <v>95</v>
      </c>
      <c r="H106" s="27" t="s">
        <v>303</v>
      </c>
      <c r="I106" s="28">
        <v>41517</v>
      </c>
      <c r="J106" s="27" t="s">
        <v>22</v>
      </c>
      <c r="K106" s="27" t="s">
        <v>23</v>
      </c>
      <c r="L106" s="29">
        <v>-0.03</v>
      </c>
      <c r="M106" s="27" t="s">
        <v>24</v>
      </c>
      <c r="N106" s="27" t="s">
        <v>76</v>
      </c>
      <c r="O106" s="27" t="s">
        <v>98</v>
      </c>
      <c r="P106" s="28">
        <v>41517</v>
      </c>
      <c r="Q106" s="27" t="s">
        <v>144</v>
      </c>
      <c r="R106" s="27"/>
      <c r="S106" s="27" t="s">
        <v>25</v>
      </c>
    </row>
    <row r="107" spans="1:19" x14ac:dyDescent="0.2">
      <c r="A107" s="27" t="s">
        <v>20</v>
      </c>
      <c r="B107" s="27" t="s">
        <v>21</v>
      </c>
      <c r="C107" s="27"/>
      <c r="D107" s="27"/>
      <c r="E107" s="27" t="s">
        <v>94</v>
      </c>
      <c r="F107" s="27"/>
      <c r="G107" s="27" t="s">
        <v>95</v>
      </c>
      <c r="H107" s="27" t="s">
        <v>304</v>
      </c>
      <c r="I107" s="28">
        <v>41517</v>
      </c>
      <c r="J107" s="27" t="s">
        <v>22</v>
      </c>
      <c r="K107" s="27" t="s">
        <v>23</v>
      </c>
      <c r="L107" s="29">
        <v>-0.41</v>
      </c>
      <c r="M107" s="27" t="s">
        <v>24</v>
      </c>
      <c r="N107" s="27" t="s">
        <v>76</v>
      </c>
      <c r="O107" s="27" t="s">
        <v>98</v>
      </c>
      <c r="P107" s="28">
        <v>41517</v>
      </c>
      <c r="Q107" s="27" t="s">
        <v>305</v>
      </c>
      <c r="R107" s="27"/>
      <c r="S107" s="27" t="s">
        <v>25</v>
      </c>
    </row>
    <row r="108" spans="1:19" x14ac:dyDescent="0.2">
      <c r="A108" s="27" t="s">
        <v>20</v>
      </c>
      <c r="B108" s="27" t="s">
        <v>21</v>
      </c>
      <c r="C108" s="27"/>
      <c r="D108" s="27"/>
      <c r="E108" s="27" t="s">
        <v>94</v>
      </c>
      <c r="F108" s="27"/>
      <c r="G108" s="27" t="s">
        <v>95</v>
      </c>
      <c r="H108" s="27" t="s">
        <v>306</v>
      </c>
      <c r="I108" s="28">
        <v>41517</v>
      </c>
      <c r="J108" s="27" t="s">
        <v>22</v>
      </c>
      <c r="K108" s="27" t="s">
        <v>23</v>
      </c>
      <c r="L108" s="29">
        <v>-0.61</v>
      </c>
      <c r="M108" s="27" t="s">
        <v>24</v>
      </c>
      <c r="N108" s="27" t="s">
        <v>76</v>
      </c>
      <c r="O108" s="27" t="s">
        <v>98</v>
      </c>
      <c r="P108" s="28">
        <v>41517</v>
      </c>
      <c r="Q108" s="27" t="s">
        <v>307</v>
      </c>
      <c r="R108" s="27"/>
      <c r="S108" s="27" t="s">
        <v>25</v>
      </c>
    </row>
    <row r="109" spans="1:19" x14ac:dyDescent="0.2">
      <c r="A109" s="27" t="s">
        <v>20</v>
      </c>
      <c r="B109" s="27" t="s">
        <v>21</v>
      </c>
      <c r="C109" s="27"/>
      <c r="D109" s="27"/>
      <c r="E109" s="27" t="s">
        <v>94</v>
      </c>
      <c r="F109" s="27"/>
      <c r="G109" s="27" t="s">
        <v>95</v>
      </c>
      <c r="H109" s="27" t="s">
        <v>308</v>
      </c>
      <c r="I109" s="28">
        <v>41517</v>
      </c>
      <c r="J109" s="27" t="s">
        <v>22</v>
      </c>
      <c r="K109" s="27" t="s">
        <v>23</v>
      </c>
      <c r="L109" s="29">
        <v>-0.03</v>
      </c>
      <c r="M109" s="27" t="s">
        <v>24</v>
      </c>
      <c r="N109" s="27" t="s">
        <v>76</v>
      </c>
      <c r="O109" s="27" t="s">
        <v>98</v>
      </c>
      <c r="P109" s="28">
        <v>41517</v>
      </c>
      <c r="Q109" s="27" t="s">
        <v>144</v>
      </c>
      <c r="R109" s="27"/>
      <c r="S109" s="27" t="s">
        <v>25</v>
      </c>
    </row>
    <row r="110" spans="1:19" x14ac:dyDescent="0.2">
      <c r="A110" s="27" t="s">
        <v>20</v>
      </c>
      <c r="B110" s="27" t="s">
        <v>21</v>
      </c>
      <c r="C110" s="27"/>
      <c r="D110" s="27"/>
      <c r="E110" s="27" t="s">
        <v>94</v>
      </c>
      <c r="F110" s="27"/>
      <c r="G110" s="27" t="s">
        <v>95</v>
      </c>
      <c r="H110" s="27" t="s">
        <v>309</v>
      </c>
      <c r="I110" s="28">
        <v>41517</v>
      </c>
      <c r="J110" s="27" t="s">
        <v>22</v>
      </c>
      <c r="K110" s="27" t="s">
        <v>23</v>
      </c>
      <c r="L110" s="29">
        <v>-3.43</v>
      </c>
      <c r="M110" s="27" t="s">
        <v>24</v>
      </c>
      <c r="N110" s="27" t="s">
        <v>76</v>
      </c>
      <c r="O110" s="27" t="s">
        <v>98</v>
      </c>
      <c r="P110" s="28">
        <v>41517</v>
      </c>
      <c r="Q110" s="27" t="s">
        <v>310</v>
      </c>
      <c r="R110" s="27"/>
      <c r="S110" s="27" t="s">
        <v>25</v>
      </c>
    </row>
    <row r="111" spans="1:19" x14ac:dyDescent="0.2">
      <c r="A111" s="27" t="s">
        <v>20</v>
      </c>
      <c r="B111" s="27" t="s">
        <v>21</v>
      </c>
      <c r="C111" s="27"/>
      <c r="D111" s="27"/>
      <c r="E111" s="27" t="s">
        <v>94</v>
      </c>
      <c r="F111" s="27"/>
      <c r="G111" s="27" t="s">
        <v>95</v>
      </c>
      <c r="H111" s="27" t="s">
        <v>311</v>
      </c>
      <c r="I111" s="28">
        <v>41517</v>
      </c>
      <c r="J111" s="27" t="s">
        <v>22</v>
      </c>
      <c r="K111" s="27" t="s">
        <v>23</v>
      </c>
      <c r="L111" s="29">
        <v>-0.6</v>
      </c>
      <c r="M111" s="27" t="s">
        <v>24</v>
      </c>
      <c r="N111" s="27" t="s">
        <v>76</v>
      </c>
      <c r="O111" s="27" t="s">
        <v>98</v>
      </c>
      <c r="P111" s="28">
        <v>41517</v>
      </c>
      <c r="Q111" s="27" t="s">
        <v>312</v>
      </c>
      <c r="R111" s="27"/>
      <c r="S111" s="27" t="s">
        <v>25</v>
      </c>
    </row>
    <row r="112" spans="1:19" x14ac:dyDescent="0.2">
      <c r="A112" s="27" t="s">
        <v>20</v>
      </c>
      <c r="B112" s="27" t="s">
        <v>21</v>
      </c>
      <c r="C112" s="27"/>
      <c r="D112" s="27"/>
      <c r="E112" s="27" t="s">
        <v>94</v>
      </c>
      <c r="F112" s="27"/>
      <c r="G112" s="27" t="s">
        <v>95</v>
      </c>
      <c r="H112" s="27" t="s">
        <v>313</v>
      </c>
      <c r="I112" s="28">
        <v>41517</v>
      </c>
      <c r="J112" s="27" t="s">
        <v>22</v>
      </c>
      <c r="K112" s="27" t="s">
        <v>23</v>
      </c>
      <c r="L112" s="29">
        <v>-3.04</v>
      </c>
      <c r="M112" s="27" t="s">
        <v>24</v>
      </c>
      <c r="N112" s="27" t="s">
        <v>76</v>
      </c>
      <c r="O112" s="27" t="s">
        <v>98</v>
      </c>
      <c r="P112" s="28">
        <v>41517</v>
      </c>
      <c r="Q112" s="27" t="s">
        <v>314</v>
      </c>
      <c r="R112" s="27"/>
      <c r="S112" s="27" t="s">
        <v>25</v>
      </c>
    </row>
    <row r="113" spans="1:19" x14ac:dyDescent="0.2">
      <c r="A113" s="27" t="s">
        <v>20</v>
      </c>
      <c r="B113" s="27" t="s">
        <v>21</v>
      </c>
      <c r="C113" s="27"/>
      <c r="D113" s="27"/>
      <c r="E113" s="27" t="s">
        <v>94</v>
      </c>
      <c r="F113" s="27"/>
      <c r="G113" s="27" t="s">
        <v>95</v>
      </c>
      <c r="H113" s="27" t="s">
        <v>315</v>
      </c>
      <c r="I113" s="28">
        <v>41517</v>
      </c>
      <c r="J113" s="27" t="s">
        <v>22</v>
      </c>
      <c r="K113" s="27" t="s">
        <v>23</v>
      </c>
      <c r="L113" s="29">
        <v>-4.0599999999999996</v>
      </c>
      <c r="M113" s="27" t="s">
        <v>24</v>
      </c>
      <c r="N113" s="27" t="s">
        <v>76</v>
      </c>
      <c r="O113" s="27" t="s">
        <v>98</v>
      </c>
      <c r="P113" s="28">
        <v>41517</v>
      </c>
      <c r="Q113" s="27" t="s">
        <v>316</v>
      </c>
      <c r="R113" s="27"/>
      <c r="S113" s="27" t="s">
        <v>25</v>
      </c>
    </row>
    <row r="114" spans="1:19" x14ac:dyDescent="0.2">
      <c r="A114" s="27" t="s">
        <v>20</v>
      </c>
      <c r="B114" s="27" t="s">
        <v>21</v>
      </c>
      <c r="C114" s="27"/>
      <c r="D114" s="27"/>
      <c r="E114" s="27" t="s">
        <v>94</v>
      </c>
      <c r="F114" s="27"/>
      <c r="G114" s="27" t="s">
        <v>95</v>
      </c>
      <c r="H114" s="27" t="s">
        <v>317</v>
      </c>
      <c r="I114" s="28">
        <v>41517</v>
      </c>
      <c r="J114" s="27" t="s">
        <v>22</v>
      </c>
      <c r="K114" s="27" t="s">
        <v>23</v>
      </c>
      <c r="L114" s="29">
        <v>-10.39</v>
      </c>
      <c r="M114" s="27" t="s">
        <v>24</v>
      </c>
      <c r="N114" s="27" t="s">
        <v>75</v>
      </c>
      <c r="O114" s="27" t="s">
        <v>98</v>
      </c>
      <c r="P114" s="28">
        <v>41517</v>
      </c>
      <c r="Q114" s="27" t="s">
        <v>318</v>
      </c>
      <c r="R114" s="27"/>
      <c r="S114" s="27" t="s">
        <v>25</v>
      </c>
    </row>
    <row r="115" spans="1:19" x14ac:dyDescent="0.2">
      <c r="A115" s="27" t="s">
        <v>20</v>
      </c>
      <c r="B115" s="27" t="s">
        <v>21</v>
      </c>
      <c r="C115" s="27"/>
      <c r="D115" s="27"/>
      <c r="E115" s="27" t="s">
        <v>94</v>
      </c>
      <c r="F115" s="27"/>
      <c r="G115" s="27" t="s">
        <v>95</v>
      </c>
      <c r="H115" s="27" t="s">
        <v>319</v>
      </c>
      <c r="I115" s="28">
        <v>41517</v>
      </c>
      <c r="J115" s="27" t="s">
        <v>22</v>
      </c>
      <c r="K115" s="27" t="s">
        <v>23</v>
      </c>
      <c r="L115" s="29">
        <v>-4.24</v>
      </c>
      <c r="M115" s="27" t="s">
        <v>24</v>
      </c>
      <c r="N115" s="27" t="s">
        <v>75</v>
      </c>
      <c r="O115" s="27" t="s">
        <v>98</v>
      </c>
      <c r="P115" s="28">
        <v>41517</v>
      </c>
      <c r="Q115" s="27" t="s">
        <v>320</v>
      </c>
      <c r="R115" s="27"/>
      <c r="S115" s="27" t="s">
        <v>25</v>
      </c>
    </row>
    <row r="116" spans="1:19" x14ac:dyDescent="0.2">
      <c r="A116" s="27" t="s">
        <v>20</v>
      </c>
      <c r="B116" s="27" t="s">
        <v>21</v>
      </c>
      <c r="C116" s="27"/>
      <c r="D116" s="27"/>
      <c r="E116" s="27" t="s">
        <v>94</v>
      </c>
      <c r="F116" s="27"/>
      <c r="G116" s="27" t="s">
        <v>95</v>
      </c>
      <c r="H116" s="27" t="s">
        <v>321</v>
      </c>
      <c r="I116" s="28">
        <v>41517</v>
      </c>
      <c r="J116" s="27" t="s">
        <v>22</v>
      </c>
      <c r="K116" s="27" t="s">
        <v>23</v>
      </c>
      <c r="L116" s="29">
        <v>-13.34</v>
      </c>
      <c r="M116" s="27" t="s">
        <v>24</v>
      </c>
      <c r="N116" s="27" t="s">
        <v>75</v>
      </c>
      <c r="O116" s="27" t="s">
        <v>98</v>
      </c>
      <c r="P116" s="28">
        <v>41517</v>
      </c>
      <c r="Q116" s="27" t="s">
        <v>322</v>
      </c>
      <c r="R116" s="27"/>
      <c r="S116" s="27" t="s">
        <v>25</v>
      </c>
    </row>
    <row r="117" spans="1:19" x14ac:dyDescent="0.2">
      <c r="A117" s="27" t="s">
        <v>20</v>
      </c>
      <c r="B117" s="27" t="s">
        <v>21</v>
      </c>
      <c r="C117" s="27"/>
      <c r="D117" s="27"/>
      <c r="E117" s="27" t="s">
        <v>94</v>
      </c>
      <c r="F117" s="27"/>
      <c r="G117" s="27" t="s">
        <v>95</v>
      </c>
      <c r="H117" s="27" t="s">
        <v>323</v>
      </c>
      <c r="I117" s="28">
        <v>41517</v>
      </c>
      <c r="J117" s="27" t="s">
        <v>22</v>
      </c>
      <c r="K117" s="27" t="s">
        <v>23</v>
      </c>
      <c r="L117" s="29">
        <v>-1370.99</v>
      </c>
      <c r="M117" s="27" t="s">
        <v>24</v>
      </c>
      <c r="N117" s="27" t="s">
        <v>75</v>
      </c>
      <c r="O117" s="27" t="s">
        <v>98</v>
      </c>
      <c r="P117" s="28">
        <v>41517</v>
      </c>
      <c r="Q117" s="27" t="s">
        <v>324</v>
      </c>
      <c r="R117" s="27"/>
      <c r="S117" s="27" t="s">
        <v>25</v>
      </c>
    </row>
    <row r="118" spans="1:19" x14ac:dyDescent="0.2">
      <c r="A118" s="27" t="s">
        <v>20</v>
      </c>
      <c r="B118" s="27" t="s">
        <v>21</v>
      </c>
      <c r="C118" s="27"/>
      <c r="D118" s="27"/>
      <c r="E118" s="27" t="s">
        <v>94</v>
      </c>
      <c r="F118" s="27"/>
      <c r="G118" s="27" t="s">
        <v>95</v>
      </c>
      <c r="H118" s="27" t="s">
        <v>325</v>
      </c>
      <c r="I118" s="28">
        <v>41517</v>
      </c>
      <c r="J118" s="27" t="s">
        <v>22</v>
      </c>
      <c r="K118" s="27" t="s">
        <v>23</v>
      </c>
      <c r="L118" s="29">
        <v>-0.02</v>
      </c>
      <c r="M118" s="27" t="s">
        <v>24</v>
      </c>
      <c r="N118" s="27" t="s">
        <v>76</v>
      </c>
      <c r="O118" s="27" t="s">
        <v>98</v>
      </c>
      <c r="P118" s="28">
        <v>41517</v>
      </c>
      <c r="Q118" s="27" t="s">
        <v>146</v>
      </c>
      <c r="R118" s="27"/>
      <c r="S118" s="27" t="s">
        <v>25</v>
      </c>
    </row>
    <row r="119" spans="1:19" x14ac:dyDescent="0.2">
      <c r="A119" s="27" t="s">
        <v>20</v>
      </c>
      <c r="B119" s="27" t="s">
        <v>21</v>
      </c>
      <c r="C119" s="27"/>
      <c r="D119" s="27"/>
      <c r="E119" s="27" t="s">
        <v>94</v>
      </c>
      <c r="F119" s="27"/>
      <c r="G119" s="27" t="s">
        <v>95</v>
      </c>
      <c r="H119" s="27" t="s">
        <v>326</v>
      </c>
      <c r="I119" s="28">
        <v>41517</v>
      </c>
      <c r="J119" s="27" t="s">
        <v>22</v>
      </c>
      <c r="K119" s="27" t="s">
        <v>23</v>
      </c>
      <c r="L119" s="29">
        <v>-0.02</v>
      </c>
      <c r="M119" s="27" t="s">
        <v>24</v>
      </c>
      <c r="N119" s="27" t="s">
        <v>76</v>
      </c>
      <c r="O119" s="27" t="s">
        <v>98</v>
      </c>
      <c r="P119" s="28">
        <v>41517</v>
      </c>
      <c r="Q119" s="27" t="s">
        <v>146</v>
      </c>
      <c r="R119" s="27"/>
      <c r="S119" s="27" t="s">
        <v>25</v>
      </c>
    </row>
    <row r="120" spans="1:19" x14ac:dyDescent="0.2">
      <c r="A120" s="27" t="s">
        <v>20</v>
      </c>
      <c r="B120" s="27" t="s">
        <v>21</v>
      </c>
      <c r="C120" s="27"/>
      <c r="D120" s="27"/>
      <c r="E120" s="27" t="s">
        <v>94</v>
      </c>
      <c r="F120" s="27"/>
      <c r="G120" s="27" t="s">
        <v>95</v>
      </c>
      <c r="H120" s="27" t="s">
        <v>327</v>
      </c>
      <c r="I120" s="28">
        <v>41517</v>
      </c>
      <c r="J120" s="27" t="s">
        <v>22</v>
      </c>
      <c r="K120" s="27" t="s">
        <v>23</v>
      </c>
      <c r="L120" s="29">
        <v>-22.75</v>
      </c>
      <c r="M120" s="27" t="s">
        <v>24</v>
      </c>
      <c r="N120" s="27" t="s">
        <v>75</v>
      </c>
      <c r="O120" s="27" t="s">
        <v>98</v>
      </c>
      <c r="P120" s="28">
        <v>41517</v>
      </c>
      <c r="Q120" s="27" t="s">
        <v>328</v>
      </c>
      <c r="R120" s="27"/>
      <c r="S120" s="27" t="s">
        <v>25</v>
      </c>
    </row>
    <row r="121" spans="1:19" x14ac:dyDescent="0.2">
      <c r="A121" s="27" t="s">
        <v>20</v>
      </c>
      <c r="B121" s="27" t="s">
        <v>21</v>
      </c>
      <c r="C121" s="27"/>
      <c r="D121" s="27"/>
      <c r="E121" s="27" t="s">
        <v>94</v>
      </c>
      <c r="F121" s="27"/>
      <c r="G121" s="27" t="s">
        <v>95</v>
      </c>
      <c r="H121" s="27" t="s">
        <v>329</v>
      </c>
      <c r="I121" s="28">
        <v>41517</v>
      </c>
      <c r="J121" s="27" t="s">
        <v>22</v>
      </c>
      <c r="K121" s="27" t="s">
        <v>23</v>
      </c>
      <c r="L121" s="29">
        <v>12045</v>
      </c>
      <c r="M121" s="27" t="s">
        <v>24</v>
      </c>
      <c r="N121" s="27" t="s">
        <v>330</v>
      </c>
      <c r="O121" s="27" t="s">
        <v>98</v>
      </c>
      <c r="P121" s="28">
        <v>41517</v>
      </c>
      <c r="Q121" s="27" t="s">
        <v>331</v>
      </c>
      <c r="R121" s="27"/>
      <c r="S121" s="27" t="s">
        <v>25</v>
      </c>
    </row>
    <row r="122" spans="1:19" x14ac:dyDescent="0.2">
      <c r="A122" s="27" t="s">
        <v>20</v>
      </c>
      <c r="B122" s="27" t="s">
        <v>21</v>
      </c>
      <c r="C122" s="27"/>
      <c r="D122" s="27"/>
      <c r="E122" s="27" t="s">
        <v>94</v>
      </c>
      <c r="F122" s="27"/>
      <c r="G122" s="27" t="s">
        <v>95</v>
      </c>
      <c r="H122" s="27" t="s">
        <v>332</v>
      </c>
      <c r="I122" s="28">
        <v>41517</v>
      </c>
      <c r="J122" s="27" t="s">
        <v>22</v>
      </c>
      <c r="K122" s="27" t="s">
        <v>23</v>
      </c>
      <c r="L122" s="29">
        <v>1557.5</v>
      </c>
      <c r="M122" s="27" t="s">
        <v>24</v>
      </c>
      <c r="N122" s="27" t="s">
        <v>330</v>
      </c>
      <c r="O122" s="27" t="s">
        <v>98</v>
      </c>
      <c r="P122" s="28">
        <v>41517</v>
      </c>
      <c r="Q122" s="27" t="s">
        <v>333</v>
      </c>
      <c r="R122" s="27"/>
      <c r="S122" s="27" t="s">
        <v>25</v>
      </c>
    </row>
    <row r="123" spans="1:19" x14ac:dyDescent="0.2">
      <c r="A123" s="27" t="s">
        <v>20</v>
      </c>
      <c r="B123" s="27" t="s">
        <v>21</v>
      </c>
      <c r="C123" s="27"/>
      <c r="D123" s="27"/>
      <c r="E123" s="27" t="s">
        <v>94</v>
      </c>
      <c r="F123" s="27"/>
      <c r="G123" s="27" t="s">
        <v>95</v>
      </c>
      <c r="H123" s="27" t="s">
        <v>334</v>
      </c>
      <c r="I123" s="28">
        <v>41517</v>
      </c>
      <c r="J123" s="27" t="s">
        <v>22</v>
      </c>
      <c r="K123" s="27" t="s">
        <v>23</v>
      </c>
      <c r="L123" s="29">
        <v>95</v>
      </c>
      <c r="M123" s="27" t="s">
        <v>24</v>
      </c>
      <c r="N123" s="27" t="s">
        <v>330</v>
      </c>
      <c r="O123" s="27" t="s">
        <v>98</v>
      </c>
      <c r="P123" s="28">
        <v>41517</v>
      </c>
      <c r="Q123" s="27" t="s">
        <v>335</v>
      </c>
      <c r="R123" s="27"/>
      <c r="S123" s="27" t="s">
        <v>25</v>
      </c>
    </row>
    <row r="124" spans="1:19" x14ac:dyDescent="0.2">
      <c r="A124" s="27" t="s">
        <v>20</v>
      </c>
      <c r="B124" s="27" t="s">
        <v>21</v>
      </c>
      <c r="C124" s="27"/>
      <c r="D124" s="27"/>
      <c r="E124" s="27" t="s">
        <v>94</v>
      </c>
      <c r="F124" s="27"/>
      <c r="G124" s="27" t="s">
        <v>95</v>
      </c>
      <c r="H124" s="27" t="s">
        <v>336</v>
      </c>
      <c r="I124" s="28">
        <v>41517</v>
      </c>
      <c r="J124" s="27" t="s">
        <v>22</v>
      </c>
      <c r="K124" s="27" t="s">
        <v>23</v>
      </c>
      <c r="L124" s="29">
        <v>-20.13</v>
      </c>
      <c r="M124" s="27" t="s">
        <v>24</v>
      </c>
      <c r="N124" s="27" t="s">
        <v>75</v>
      </c>
      <c r="O124" s="27" t="s">
        <v>98</v>
      </c>
      <c r="P124" s="28">
        <v>41517</v>
      </c>
      <c r="Q124" s="27" t="s">
        <v>337</v>
      </c>
      <c r="R124" s="27"/>
      <c r="S124" s="27" t="s">
        <v>25</v>
      </c>
    </row>
    <row r="125" spans="1:19" x14ac:dyDescent="0.2">
      <c r="A125" s="27" t="s">
        <v>20</v>
      </c>
      <c r="B125" s="27" t="s">
        <v>21</v>
      </c>
      <c r="C125" s="27"/>
      <c r="D125" s="27"/>
      <c r="E125" s="27" t="s">
        <v>94</v>
      </c>
      <c r="F125" s="27"/>
      <c r="G125" s="27" t="s">
        <v>95</v>
      </c>
      <c r="H125" s="27" t="s">
        <v>338</v>
      </c>
      <c r="I125" s="28">
        <v>41517</v>
      </c>
      <c r="J125" s="27" t="s">
        <v>22</v>
      </c>
      <c r="K125" s="27" t="s">
        <v>23</v>
      </c>
      <c r="L125" s="29">
        <v>-8.19</v>
      </c>
      <c r="M125" s="27" t="s">
        <v>24</v>
      </c>
      <c r="N125" s="27" t="s">
        <v>75</v>
      </c>
      <c r="O125" s="27" t="s">
        <v>98</v>
      </c>
      <c r="P125" s="28">
        <v>41517</v>
      </c>
      <c r="Q125" s="27" t="s">
        <v>339</v>
      </c>
      <c r="R125" s="27"/>
      <c r="S125" s="27" t="s">
        <v>25</v>
      </c>
    </row>
    <row r="126" spans="1:19" x14ac:dyDescent="0.2">
      <c r="A126" s="27" t="s">
        <v>20</v>
      </c>
      <c r="B126" s="27" t="s">
        <v>21</v>
      </c>
      <c r="C126" s="27"/>
      <c r="D126" s="27"/>
      <c r="E126" s="27" t="s">
        <v>94</v>
      </c>
      <c r="F126" s="27"/>
      <c r="G126" s="27" t="s">
        <v>95</v>
      </c>
      <c r="H126" s="27" t="s">
        <v>340</v>
      </c>
      <c r="I126" s="28">
        <v>41517</v>
      </c>
      <c r="J126" s="27" t="s">
        <v>22</v>
      </c>
      <c r="K126" s="27" t="s">
        <v>23</v>
      </c>
      <c r="L126" s="29">
        <v>-7.28</v>
      </c>
      <c r="M126" s="27" t="s">
        <v>24</v>
      </c>
      <c r="N126" s="27" t="s">
        <v>75</v>
      </c>
      <c r="O126" s="27" t="s">
        <v>98</v>
      </c>
      <c r="P126" s="28">
        <v>41517</v>
      </c>
      <c r="Q126" s="27" t="s">
        <v>341</v>
      </c>
      <c r="R126" s="27"/>
      <c r="S126" s="27" t="s">
        <v>25</v>
      </c>
    </row>
    <row r="127" spans="1:19" x14ac:dyDescent="0.2">
      <c r="A127" s="27" t="s">
        <v>20</v>
      </c>
      <c r="B127" s="27" t="s">
        <v>21</v>
      </c>
      <c r="C127" s="27"/>
      <c r="D127" s="27"/>
      <c r="E127" s="27" t="s">
        <v>94</v>
      </c>
      <c r="F127" s="27"/>
      <c r="G127" s="27" t="s">
        <v>95</v>
      </c>
      <c r="H127" s="27" t="s">
        <v>342</v>
      </c>
      <c r="I127" s="28">
        <v>41517</v>
      </c>
      <c r="J127" s="27" t="s">
        <v>22</v>
      </c>
      <c r="K127" s="27" t="s">
        <v>23</v>
      </c>
      <c r="L127" s="29">
        <v>0.3</v>
      </c>
      <c r="M127" s="27" t="s">
        <v>24</v>
      </c>
      <c r="N127" s="27" t="s">
        <v>75</v>
      </c>
      <c r="O127" s="27" t="s">
        <v>98</v>
      </c>
      <c r="P127" s="28">
        <v>41517</v>
      </c>
      <c r="Q127" s="27" t="s">
        <v>343</v>
      </c>
      <c r="R127" s="27"/>
      <c r="S127" s="27" t="s">
        <v>25</v>
      </c>
    </row>
    <row r="128" spans="1:19" x14ac:dyDescent="0.2">
      <c r="A128" s="27" t="s">
        <v>20</v>
      </c>
      <c r="B128" s="27" t="s">
        <v>21</v>
      </c>
      <c r="C128" s="27"/>
      <c r="D128" s="27"/>
      <c r="E128" s="27" t="s">
        <v>94</v>
      </c>
      <c r="F128" s="27"/>
      <c r="G128" s="27" t="s">
        <v>95</v>
      </c>
      <c r="H128" s="27" t="s">
        <v>344</v>
      </c>
      <c r="I128" s="28">
        <v>41517</v>
      </c>
      <c r="J128" s="27" t="s">
        <v>22</v>
      </c>
      <c r="K128" s="27" t="s">
        <v>23</v>
      </c>
      <c r="L128" s="29">
        <v>1.07</v>
      </c>
      <c r="M128" s="27" t="s">
        <v>24</v>
      </c>
      <c r="N128" s="27" t="s">
        <v>76</v>
      </c>
      <c r="O128" s="27" t="s">
        <v>98</v>
      </c>
      <c r="P128" s="28">
        <v>41517</v>
      </c>
      <c r="Q128" s="27" t="s">
        <v>345</v>
      </c>
      <c r="R128" s="27"/>
      <c r="S128" s="27" t="s">
        <v>25</v>
      </c>
    </row>
    <row r="129" spans="1:19" x14ac:dyDescent="0.2">
      <c r="A129" s="27" t="s">
        <v>20</v>
      </c>
      <c r="B129" s="27" t="s">
        <v>21</v>
      </c>
      <c r="C129" s="27"/>
      <c r="D129" s="27"/>
      <c r="E129" s="27" t="s">
        <v>94</v>
      </c>
      <c r="F129" s="27"/>
      <c r="G129" s="27" t="s">
        <v>95</v>
      </c>
      <c r="H129" s="27" t="s">
        <v>346</v>
      </c>
      <c r="I129" s="28">
        <v>41517</v>
      </c>
      <c r="J129" s="27" t="s">
        <v>22</v>
      </c>
      <c r="K129" s="27" t="s">
        <v>23</v>
      </c>
      <c r="L129" s="29">
        <v>0.31</v>
      </c>
      <c r="M129" s="27" t="s">
        <v>24</v>
      </c>
      <c r="N129" s="27" t="s">
        <v>76</v>
      </c>
      <c r="O129" s="27" t="s">
        <v>98</v>
      </c>
      <c r="P129" s="28">
        <v>41517</v>
      </c>
      <c r="Q129" s="27" t="s">
        <v>347</v>
      </c>
      <c r="R129" s="27"/>
      <c r="S129" s="27" t="s">
        <v>25</v>
      </c>
    </row>
    <row r="130" spans="1:19" x14ac:dyDescent="0.2">
      <c r="A130" s="27" t="s">
        <v>20</v>
      </c>
      <c r="B130" s="27" t="s">
        <v>21</v>
      </c>
      <c r="C130" s="27"/>
      <c r="D130" s="27"/>
      <c r="E130" s="27" t="s">
        <v>94</v>
      </c>
      <c r="F130" s="27"/>
      <c r="G130" s="27" t="s">
        <v>95</v>
      </c>
      <c r="H130" s="27" t="s">
        <v>348</v>
      </c>
      <c r="I130" s="28">
        <v>41517</v>
      </c>
      <c r="J130" s="27" t="s">
        <v>22</v>
      </c>
      <c r="K130" s="27" t="s">
        <v>23</v>
      </c>
      <c r="L130" s="29">
        <v>0.75</v>
      </c>
      <c r="M130" s="27" t="s">
        <v>24</v>
      </c>
      <c r="N130" s="27" t="s">
        <v>76</v>
      </c>
      <c r="O130" s="27" t="s">
        <v>98</v>
      </c>
      <c r="P130" s="28">
        <v>41517</v>
      </c>
      <c r="Q130" s="27" t="s">
        <v>349</v>
      </c>
      <c r="R130" s="27"/>
      <c r="S130" s="27" t="s">
        <v>25</v>
      </c>
    </row>
    <row r="131" spans="1:19" x14ac:dyDescent="0.2">
      <c r="A131" s="27" t="s">
        <v>20</v>
      </c>
      <c r="B131" s="27" t="s">
        <v>21</v>
      </c>
      <c r="C131" s="27"/>
      <c r="D131" s="27"/>
      <c r="E131" s="27" t="s">
        <v>94</v>
      </c>
      <c r="F131" s="27"/>
      <c r="G131" s="27" t="s">
        <v>95</v>
      </c>
      <c r="H131" s="27" t="s">
        <v>350</v>
      </c>
      <c r="I131" s="28">
        <v>41517</v>
      </c>
      <c r="J131" s="27" t="s">
        <v>22</v>
      </c>
      <c r="K131" s="27" t="s">
        <v>23</v>
      </c>
      <c r="L131" s="29">
        <v>0.25</v>
      </c>
      <c r="M131" s="27" t="s">
        <v>24</v>
      </c>
      <c r="N131" s="27" t="s">
        <v>76</v>
      </c>
      <c r="O131" s="27" t="s">
        <v>98</v>
      </c>
      <c r="P131" s="28">
        <v>41517</v>
      </c>
      <c r="Q131" s="27" t="s">
        <v>204</v>
      </c>
      <c r="R131" s="27"/>
      <c r="S131" s="27" t="s">
        <v>25</v>
      </c>
    </row>
    <row r="132" spans="1:19" x14ac:dyDescent="0.2">
      <c r="A132" s="27" t="s">
        <v>20</v>
      </c>
      <c r="B132" s="27" t="s">
        <v>21</v>
      </c>
      <c r="C132" s="27"/>
      <c r="D132" s="27"/>
      <c r="E132" s="27" t="s">
        <v>94</v>
      </c>
      <c r="F132" s="27"/>
      <c r="G132" s="27" t="s">
        <v>95</v>
      </c>
      <c r="H132" s="27" t="s">
        <v>351</v>
      </c>
      <c r="I132" s="28">
        <v>41517</v>
      </c>
      <c r="J132" s="27" t="s">
        <v>22</v>
      </c>
      <c r="K132" s="27" t="s">
        <v>23</v>
      </c>
      <c r="L132" s="29">
        <v>82.26</v>
      </c>
      <c r="M132" s="27" t="s">
        <v>24</v>
      </c>
      <c r="N132" s="27" t="s">
        <v>76</v>
      </c>
      <c r="O132" s="27" t="s">
        <v>98</v>
      </c>
      <c r="P132" s="28">
        <v>41517</v>
      </c>
      <c r="Q132" s="27" t="s">
        <v>352</v>
      </c>
      <c r="R132" s="27"/>
      <c r="S132" s="27" t="s">
        <v>25</v>
      </c>
    </row>
    <row r="133" spans="1:19" x14ac:dyDescent="0.2">
      <c r="A133" s="27" t="s">
        <v>20</v>
      </c>
      <c r="B133" s="27" t="s">
        <v>21</v>
      </c>
      <c r="C133" s="27"/>
      <c r="D133" s="27"/>
      <c r="E133" s="27" t="s">
        <v>94</v>
      </c>
      <c r="F133" s="27"/>
      <c r="G133" s="27" t="s">
        <v>95</v>
      </c>
      <c r="H133" s="27" t="s">
        <v>353</v>
      </c>
      <c r="I133" s="28">
        <v>41517</v>
      </c>
      <c r="J133" s="27" t="s">
        <v>22</v>
      </c>
      <c r="K133" s="27" t="s">
        <v>23</v>
      </c>
      <c r="L133" s="29">
        <v>1228.92</v>
      </c>
      <c r="M133" s="27" t="s">
        <v>24</v>
      </c>
      <c r="N133" s="27" t="s">
        <v>76</v>
      </c>
      <c r="O133" s="27" t="s">
        <v>98</v>
      </c>
      <c r="P133" s="28">
        <v>41517</v>
      </c>
      <c r="Q133" s="27" t="s">
        <v>354</v>
      </c>
      <c r="R133" s="27"/>
      <c r="S133" s="27" t="s">
        <v>25</v>
      </c>
    </row>
    <row r="134" spans="1:19" x14ac:dyDescent="0.2">
      <c r="A134" s="27" t="s">
        <v>20</v>
      </c>
      <c r="B134" s="27" t="s">
        <v>21</v>
      </c>
      <c r="C134" s="27"/>
      <c r="D134" s="27"/>
      <c r="E134" s="27" t="s">
        <v>94</v>
      </c>
      <c r="F134" s="27"/>
      <c r="G134" s="27" t="s">
        <v>95</v>
      </c>
      <c r="H134" s="27" t="s">
        <v>355</v>
      </c>
      <c r="I134" s="28">
        <v>41517</v>
      </c>
      <c r="J134" s="27" t="s">
        <v>22</v>
      </c>
      <c r="K134" s="27" t="s">
        <v>23</v>
      </c>
      <c r="L134" s="29">
        <v>-4.8499999999999996</v>
      </c>
      <c r="M134" s="27" t="s">
        <v>24</v>
      </c>
      <c r="N134" s="27" t="s">
        <v>75</v>
      </c>
      <c r="O134" s="27" t="s">
        <v>98</v>
      </c>
      <c r="P134" s="28">
        <v>41517</v>
      </c>
      <c r="Q134" s="27" t="s">
        <v>356</v>
      </c>
      <c r="R134" s="27"/>
      <c r="S134" s="27" t="s">
        <v>25</v>
      </c>
    </row>
    <row r="135" spans="1:19" x14ac:dyDescent="0.2">
      <c r="A135" s="27" t="s">
        <v>20</v>
      </c>
      <c r="B135" s="27" t="s">
        <v>21</v>
      </c>
      <c r="C135" s="27"/>
      <c r="D135" s="27"/>
      <c r="E135" s="27" t="s">
        <v>94</v>
      </c>
      <c r="F135" s="27"/>
      <c r="G135" s="27" t="s">
        <v>95</v>
      </c>
      <c r="H135" s="27" t="s">
        <v>357</v>
      </c>
      <c r="I135" s="28">
        <v>41517</v>
      </c>
      <c r="J135" s="27" t="s">
        <v>22</v>
      </c>
      <c r="K135" s="27" t="s">
        <v>23</v>
      </c>
      <c r="L135" s="29">
        <v>468.38</v>
      </c>
      <c r="M135" s="27" t="s">
        <v>24</v>
      </c>
      <c r="N135" s="27" t="s">
        <v>76</v>
      </c>
      <c r="O135" s="27" t="s">
        <v>98</v>
      </c>
      <c r="P135" s="28">
        <v>41517</v>
      </c>
      <c r="Q135" s="27" t="s">
        <v>358</v>
      </c>
      <c r="R135" s="27"/>
      <c r="S135" s="27" t="s">
        <v>25</v>
      </c>
    </row>
    <row r="136" spans="1:19" x14ac:dyDescent="0.2">
      <c r="A136" s="27" t="s">
        <v>20</v>
      </c>
      <c r="B136" s="27" t="s">
        <v>21</v>
      </c>
      <c r="C136" s="27"/>
      <c r="D136" s="27"/>
      <c r="E136" s="27" t="s">
        <v>94</v>
      </c>
      <c r="F136" s="27"/>
      <c r="G136" s="27" t="s">
        <v>95</v>
      </c>
      <c r="H136" s="27" t="s">
        <v>359</v>
      </c>
      <c r="I136" s="28">
        <v>41517</v>
      </c>
      <c r="J136" s="27" t="s">
        <v>22</v>
      </c>
      <c r="K136" s="27" t="s">
        <v>23</v>
      </c>
      <c r="L136" s="29">
        <v>179</v>
      </c>
      <c r="M136" s="27" t="s">
        <v>24</v>
      </c>
      <c r="N136" s="27" t="s">
        <v>76</v>
      </c>
      <c r="O136" s="27" t="s">
        <v>98</v>
      </c>
      <c r="P136" s="28">
        <v>41517</v>
      </c>
      <c r="Q136" s="27" t="s">
        <v>360</v>
      </c>
      <c r="R136" s="27"/>
      <c r="S136" s="27" t="s">
        <v>25</v>
      </c>
    </row>
    <row r="137" spans="1:19" x14ac:dyDescent="0.2">
      <c r="A137" s="27" t="s">
        <v>20</v>
      </c>
      <c r="B137" s="27" t="s">
        <v>21</v>
      </c>
      <c r="C137" s="27"/>
      <c r="D137" s="27"/>
      <c r="E137" s="27" t="s">
        <v>94</v>
      </c>
      <c r="F137" s="27"/>
      <c r="G137" s="27" t="s">
        <v>95</v>
      </c>
      <c r="H137" s="27" t="s">
        <v>361</v>
      </c>
      <c r="I137" s="28">
        <v>41517</v>
      </c>
      <c r="J137" s="27" t="s">
        <v>22</v>
      </c>
      <c r="K137" s="27" t="s">
        <v>23</v>
      </c>
      <c r="L137" s="29">
        <v>119.6</v>
      </c>
      <c r="M137" s="27" t="s">
        <v>24</v>
      </c>
      <c r="N137" s="27" t="s">
        <v>76</v>
      </c>
      <c r="O137" s="27" t="s">
        <v>98</v>
      </c>
      <c r="P137" s="28">
        <v>41517</v>
      </c>
      <c r="Q137" s="27" t="s">
        <v>362</v>
      </c>
      <c r="R137" s="27"/>
      <c r="S137" s="27" t="s">
        <v>25</v>
      </c>
    </row>
    <row r="138" spans="1:19" x14ac:dyDescent="0.2">
      <c r="A138" s="27" t="s">
        <v>20</v>
      </c>
      <c r="B138" s="27" t="s">
        <v>21</v>
      </c>
      <c r="C138" s="27"/>
      <c r="D138" s="27"/>
      <c r="E138" s="27" t="s">
        <v>94</v>
      </c>
      <c r="F138" s="27"/>
      <c r="G138" s="27" t="s">
        <v>95</v>
      </c>
      <c r="H138" s="27" t="s">
        <v>363</v>
      </c>
      <c r="I138" s="28">
        <v>41517</v>
      </c>
      <c r="J138" s="27" t="s">
        <v>22</v>
      </c>
      <c r="K138" s="27" t="s">
        <v>23</v>
      </c>
      <c r="L138" s="29">
        <v>54.96</v>
      </c>
      <c r="M138" s="27" t="s">
        <v>24</v>
      </c>
      <c r="N138" s="27" t="s">
        <v>76</v>
      </c>
      <c r="O138" s="27" t="s">
        <v>98</v>
      </c>
      <c r="P138" s="28">
        <v>41517</v>
      </c>
      <c r="Q138" s="27" t="s">
        <v>364</v>
      </c>
      <c r="R138" s="27"/>
      <c r="S138" s="27" t="s">
        <v>25</v>
      </c>
    </row>
    <row r="139" spans="1:19" x14ac:dyDescent="0.2">
      <c r="A139" s="27" t="s">
        <v>20</v>
      </c>
      <c r="B139" s="27" t="s">
        <v>21</v>
      </c>
      <c r="C139" s="27"/>
      <c r="D139" s="27"/>
      <c r="E139" s="27" t="s">
        <v>94</v>
      </c>
      <c r="F139" s="27"/>
      <c r="G139" s="27" t="s">
        <v>95</v>
      </c>
      <c r="H139" s="27" t="s">
        <v>365</v>
      </c>
      <c r="I139" s="28">
        <v>41517</v>
      </c>
      <c r="J139" s="27" t="s">
        <v>22</v>
      </c>
      <c r="K139" s="27" t="s">
        <v>23</v>
      </c>
      <c r="L139" s="29">
        <v>38.86</v>
      </c>
      <c r="M139" s="27" t="s">
        <v>24</v>
      </c>
      <c r="N139" s="27" t="s">
        <v>76</v>
      </c>
      <c r="O139" s="27" t="s">
        <v>98</v>
      </c>
      <c r="P139" s="28">
        <v>41517</v>
      </c>
      <c r="Q139" s="27" t="s">
        <v>366</v>
      </c>
      <c r="R139" s="27"/>
      <c r="S139" s="27" t="s">
        <v>25</v>
      </c>
    </row>
    <row r="140" spans="1:19" x14ac:dyDescent="0.2">
      <c r="A140" s="27" t="s">
        <v>20</v>
      </c>
      <c r="B140" s="27" t="s">
        <v>21</v>
      </c>
      <c r="C140" s="27"/>
      <c r="D140" s="27"/>
      <c r="E140" s="27" t="s">
        <v>94</v>
      </c>
      <c r="F140" s="27"/>
      <c r="G140" s="27" t="s">
        <v>95</v>
      </c>
      <c r="H140" s="27" t="s">
        <v>367</v>
      </c>
      <c r="I140" s="28">
        <v>41517</v>
      </c>
      <c r="J140" s="27" t="s">
        <v>22</v>
      </c>
      <c r="K140" s="27" t="s">
        <v>23</v>
      </c>
      <c r="L140" s="29">
        <v>97.53</v>
      </c>
      <c r="M140" s="27" t="s">
        <v>24</v>
      </c>
      <c r="N140" s="27" t="s">
        <v>76</v>
      </c>
      <c r="O140" s="27" t="s">
        <v>98</v>
      </c>
      <c r="P140" s="28">
        <v>41517</v>
      </c>
      <c r="Q140" s="27" t="s">
        <v>368</v>
      </c>
      <c r="R140" s="27"/>
      <c r="S140" s="27" t="s">
        <v>25</v>
      </c>
    </row>
    <row r="141" spans="1:19" x14ac:dyDescent="0.2">
      <c r="A141" s="27" t="s">
        <v>20</v>
      </c>
      <c r="B141" s="27" t="s">
        <v>21</v>
      </c>
      <c r="C141" s="27"/>
      <c r="D141" s="27"/>
      <c r="E141" s="27" t="s">
        <v>94</v>
      </c>
      <c r="F141" s="27"/>
      <c r="G141" s="27" t="s">
        <v>95</v>
      </c>
      <c r="H141" s="27" t="s">
        <v>369</v>
      </c>
      <c r="I141" s="28">
        <v>41517</v>
      </c>
      <c r="J141" s="27" t="s">
        <v>22</v>
      </c>
      <c r="K141" s="27" t="s">
        <v>23</v>
      </c>
      <c r="L141" s="29">
        <v>9.92</v>
      </c>
      <c r="M141" s="27" t="s">
        <v>24</v>
      </c>
      <c r="N141" s="27" t="s">
        <v>76</v>
      </c>
      <c r="O141" s="27" t="s">
        <v>98</v>
      </c>
      <c r="P141" s="28">
        <v>41517</v>
      </c>
      <c r="Q141" s="27" t="s">
        <v>370</v>
      </c>
      <c r="R141" s="27"/>
      <c r="S141" s="27" t="s">
        <v>25</v>
      </c>
    </row>
    <row r="142" spans="1:19" x14ac:dyDescent="0.2">
      <c r="A142" s="27" t="s">
        <v>20</v>
      </c>
      <c r="B142" s="27" t="s">
        <v>21</v>
      </c>
      <c r="C142" s="27"/>
      <c r="D142" s="27"/>
      <c r="E142" s="27" t="s">
        <v>94</v>
      </c>
      <c r="F142" s="27"/>
      <c r="G142" s="27" t="s">
        <v>95</v>
      </c>
      <c r="H142" s="27" t="s">
        <v>371</v>
      </c>
      <c r="I142" s="28">
        <v>41517</v>
      </c>
      <c r="J142" s="27" t="s">
        <v>22</v>
      </c>
      <c r="K142" s="27" t="s">
        <v>23</v>
      </c>
      <c r="L142" s="29">
        <v>-0.01</v>
      </c>
      <c r="M142" s="27" t="s">
        <v>24</v>
      </c>
      <c r="N142" s="27" t="s">
        <v>76</v>
      </c>
      <c r="O142" s="27" t="s">
        <v>98</v>
      </c>
      <c r="P142" s="28">
        <v>41517</v>
      </c>
      <c r="Q142" s="27" t="s">
        <v>169</v>
      </c>
      <c r="R142" s="27"/>
      <c r="S142" s="27" t="s">
        <v>25</v>
      </c>
    </row>
    <row r="143" spans="1:19" x14ac:dyDescent="0.2">
      <c r="A143" s="27" t="s">
        <v>20</v>
      </c>
      <c r="B143" s="27" t="s">
        <v>21</v>
      </c>
      <c r="C143" s="27"/>
      <c r="D143" s="27"/>
      <c r="E143" s="27" t="s">
        <v>94</v>
      </c>
      <c r="F143" s="27"/>
      <c r="G143" s="27" t="s">
        <v>95</v>
      </c>
      <c r="H143" s="27" t="s">
        <v>372</v>
      </c>
      <c r="I143" s="28">
        <v>41517</v>
      </c>
      <c r="J143" s="27" t="s">
        <v>22</v>
      </c>
      <c r="K143" s="27" t="s">
        <v>23</v>
      </c>
      <c r="L143" s="29">
        <v>72.94</v>
      </c>
      <c r="M143" s="27" t="s">
        <v>24</v>
      </c>
      <c r="N143" s="27" t="s">
        <v>76</v>
      </c>
      <c r="O143" s="27" t="s">
        <v>98</v>
      </c>
      <c r="P143" s="28">
        <v>41517</v>
      </c>
      <c r="Q143" s="27" t="s">
        <v>373</v>
      </c>
      <c r="R143" s="27"/>
      <c r="S143" s="27" t="s">
        <v>25</v>
      </c>
    </row>
    <row r="144" spans="1:19" x14ac:dyDescent="0.2">
      <c r="A144" s="27" t="s">
        <v>20</v>
      </c>
      <c r="B144" s="27" t="s">
        <v>21</v>
      </c>
      <c r="C144" s="27"/>
      <c r="D144" s="27"/>
      <c r="E144" s="27" t="s">
        <v>94</v>
      </c>
      <c r="F144" s="27"/>
      <c r="G144" s="27" t="s">
        <v>95</v>
      </c>
      <c r="H144" s="27" t="s">
        <v>374</v>
      </c>
      <c r="I144" s="28">
        <v>41517</v>
      </c>
      <c r="J144" s="27" t="s">
        <v>22</v>
      </c>
      <c r="K144" s="27" t="s">
        <v>23</v>
      </c>
      <c r="L144" s="29">
        <v>-17.899999999999999</v>
      </c>
      <c r="M144" s="27" t="s">
        <v>24</v>
      </c>
      <c r="N144" s="27" t="s">
        <v>75</v>
      </c>
      <c r="O144" s="27" t="s">
        <v>98</v>
      </c>
      <c r="P144" s="28">
        <v>41517</v>
      </c>
      <c r="Q144" s="27" t="s">
        <v>375</v>
      </c>
      <c r="R144" s="27"/>
      <c r="S144" s="27" t="s">
        <v>25</v>
      </c>
    </row>
    <row r="145" spans="1:19" x14ac:dyDescent="0.2">
      <c r="A145" s="27" t="s">
        <v>20</v>
      </c>
      <c r="B145" s="27" t="s">
        <v>21</v>
      </c>
      <c r="C145" s="27"/>
      <c r="D145" s="27"/>
      <c r="E145" s="27" t="s">
        <v>94</v>
      </c>
      <c r="F145" s="27"/>
      <c r="G145" s="27" t="s">
        <v>95</v>
      </c>
      <c r="H145" s="27" t="s">
        <v>376</v>
      </c>
      <c r="I145" s="28">
        <v>41517</v>
      </c>
      <c r="J145" s="27" t="s">
        <v>22</v>
      </c>
      <c r="K145" s="27" t="s">
        <v>23</v>
      </c>
      <c r="L145" s="29">
        <v>0.92</v>
      </c>
      <c r="M145" s="27" t="s">
        <v>24</v>
      </c>
      <c r="N145" s="27" t="s">
        <v>76</v>
      </c>
      <c r="O145" s="27" t="s">
        <v>98</v>
      </c>
      <c r="P145" s="28">
        <v>41517</v>
      </c>
      <c r="Q145" s="27" t="s">
        <v>377</v>
      </c>
      <c r="R145" s="27"/>
      <c r="S145" s="27" t="s">
        <v>25</v>
      </c>
    </row>
    <row r="146" spans="1:19" x14ac:dyDescent="0.2">
      <c r="A146" s="27" t="s">
        <v>20</v>
      </c>
      <c r="B146" s="27" t="s">
        <v>21</v>
      </c>
      <c r="C146" s="27"/>
      <c r="D146" s="27"/>
      <c r="E146" s="27" t="s">
        <v>94</v>
      </c>
      <c r="F146" s="27"/>
      <c r="G146" s="27" t="s">
        <v>95</v>
      </c>
      <c r="H146" s="27" t="s">
        <v>378</v>
      </c>
      <c r="I146" s="28">
        <v>41517</v>
      </c>
      <c r="J146" s="27" t="s">
        <v>22</v>
      </c>
      <c r="K146" s="27" t="s">
        <v>23</v>
      </c>
      <c r="L146" s="29">
        <v>0.8</v>
      </c>
      <c r="M146" s="27" t="s">
        <v>24</v>
      </c>
      <c r="N146" s="27" t="s">
        <v>76</v>
      </c>
      <c r="O146" s="27" t="s">
        <v>98</v>
      </c>
      <c r="P146" s="28">
        <v>41517</v>
      </c>
      <c r="Q146" s="27" t="s">
        <v>379</v>
      </c>
      <c r="R146" s="27"/>
      <c r="S146" s="27" t="s">
        <v>25</v>
      </c>
    </row>
    <row r="147" spans="1:19" x14ac:dyDescent="0.2">
      <c r="A147" s="27" t="s">
        <v>20</v>
      </c>
      <c r="B147" s="27" t="s">
        <v>21</v>
      </c>
      <c r="C147" s="27"/>
      <c r="D147" s="27"/>
      <c r="E147" s="27" t="s">
        <v>94</v>
      </c>
      <c r="F147" s="27"/>
      <c r="G147" s="27" t="s">
        <v>95</v>
      </c>
      <c r="H147" s="27" t="s">
        <v>380</v>
      </c>
      <c r="I147" s="28">
        <v>41517</v>
      </c>
      <c r="J147" s="27" t="s">
        <v>22</v>
      </c>
      <c r="K147" s="27" t="s">
        <v>23</v>
      </c>
      <c r="L147" s="29">
        <v>-10.81</v>
      </c>
      <c r="M147" s="27" t="s">
        <v>24</v>
      </c>
      <c r="N147" s="27" t="s">
        <v>75</v>
      </c>
      <c r="O147" s="27" t="s">
        <v>98</v>
      </c>
      <c r="P147" s="28">
        <v>41517</v>
      </c>
      <c r="Q147" s="27" t="s">
        <v>381</v>
      </c>
      <c r="R147" s="27"/>
      <c r="S147" s="27" t="s">
        <v>25</v>
      </c>
    </row>
    <row r="148" spans="1:19" x14ac:dyDescent="0.2">
      <c r="A148" s="27" t="s">
        <v>20</v>
      </c>
      <c r="B148" s="27" t="s">
        <v>21</v>
      </c>
      <c r="C148" s="27"/>
      <c r="D148" s="27"/>
      <c r="E148" s="27" t="s">
        <v>94</v>
      </c>
      <c r="F148" s="27"/>
      <c r="G148" s="27" t="s">
        <v>95</v>
      </c>
      <c r="H148" s="27" t="s">
        <v>382</v>
      </c>
      <c r="I148" s="28">
        <v>41517</v>
      </c>
      <c r="J148" s="27" t="s">
        <v>22</v>
      </c>
      <c r="K148" s="27" t="s">
        <v>23</v>
      </c>
      <c r="L148" s="29">
        <v>-6.19</v>
      </c>
      <c r="M148" s="27" t="s">
        <v>24</v>
      </c>
      <c r="N148" s="27" t="s">
        <v>75</v>
      </c>
      <c r="O148" s="27" t="s">
        <v>98</v>
      </c>
      <c r="P148" s="28">
        <v>41517</v>
      </c>
      <c r="Q148" s="27" t="s">
        <v>383</v>
      </c>
      <c r="R148" s="27"/>
      <c r="S148" s="27" t="s">
        <v>25</v>
      </c>
    </row>
    <row r="149" spans="1:19" x14ac:dyDescent="0.2">
      <c r="A149" s="27" t="s">
        <v>20</v>
      </c>
      <c r="B149" s="27" t="s">
        <v>21</v>
      </c>
      <c r="C149" s="27"/>
      <c r="D149" s="27"/>
      <c r="E149" s="27" t="s">
        <v>94</v>
      </c>
      <c r="F149" s="27"/>
      <c r="G149" s="27" t="s">
        <v>384</v>
      </c>
      <c r="H149" s="27" t="s">
        <v>385</v>
      </c>
      <c r="I149" s="28">
        <v>41517</v>
      </c>
      <c r="J149" s="27" t="s">
        <v>22</v>
      </c>
      <c r="K149" s="27" t="s">
        <v>23</v>
      </c>
      <c r="L149" s="29">
        <v>1</v>
      </c>
      <c r="M149" s="27" t="s">
        <v>24</v>
      </c>
      <c r="N149" s="27" t="s">
        <v>101</v>
      </c>
      <c r="O149" s="27" t="s">
        <v>98</v>
      </c>
      <c r="P149" s="28">
        <v>41517</v>
      </c>
      <c r="Q149" s="27" t="s">
        <v>202</v>
      </c>
      <c r="R149" s="27"/>
      <c r="S149" s="27" t="s">
        <v>25</v>
      </c>
    </row>
    <row r="150" spans="1:19" x14ac:dyDescent="0.2">
      <c r="A150" s="27" t="s">
        <v>20</v>
      </c>
      <c r="B150" s="27" t="s">
        <v>21</v>
      </c>
      <c r="C150" s="27"/>
      <c r="D150" s="27"/>
      <c r="E150" s="27" t="s">
        <v>94</v>
      </c>
      <c r="F150" s="27"/>
      <c r="G150" s="27" t="s">
        <v>384</v>
      </c>
      <c r="H150" s="27" t="s">
        <v>30</v>
      </c>
      <c r="I150" s="28">
        <v>41517</v>
      </c>
      <c r="J150" s="27" t="s">
        <v>22</v>
      </c>
      <c r="K150" s="27" t="s">
        <v>23</v>
      </c>
      <c r="L150" s="29">
        <v>7.75</v>
      </c>
      <c r="M150" s="27" t="s">
        <v>24</v>
      </c>
      <c r="N150" s="27" t="s">
        <v>173</v>
      </c>
      <c r="O150" s="27" t="s">
        <v>98</v>
      </c>
      <c r="P150" s="28">
        <v>41517</v>
      </c>
      <c r="Q150" s="27" t="s">
        <v>386</v>
      </c>
      <c r="R150" s="27"/>
      <c r="S150" s="27" t="s">
        <v>25</v>
      </c>
    </row>
    <row r="151" spans="1:19" x14ac:dyDescent="0.2">
      <c r="A151" s="27" t="s">
        <v>20</v>
      </c>
      <c r="B151" s="27" t="s">
        <v>21</v>
      </c>
      <c r="C151" s="27"/>
      <c r="D151" s="27"/>
      <c r="E151" s="27" t="s">
        <v>94</v>
      </c>
      <c r="F151" s="27"/>
      <c r="G151" s="27" t="s">
        <v>384</v>
      </c>
      <c r="H151" s="27" t="s">
        <v>387</v>
      </c>
      <c r="I151" s="28">
        <v>41517</v>
      </c>
      <c r="J151" s="27" t="s">
        <v>22</v>
      </c>
      <c r="K151" s="27" t="s">
        <v>23</v>
      </c>
      <c r="L151" s="29">
        <v>63.69</v>
      </c>
      <c r="M151" s="27" t="s">
        <v>24</v>
      </c>
      <c r="N151" s="27" t="s">
        <v>101</v>
      </c>
      <c r="O151" s="27" t="s">
        <v>98</v>
      </c>
      <c r="P151" s="28">
        <v>41517</v>
      </c>
      <c r="Q151" s="27" t="s">
        <v>388</v>
      </c>
      <c r="R151" s="27"/>
      <c r="S151" s="27" t="s">
        <v>25</v>
      </c>
    </row>
    <row r="152" spans="1:19" x14ac:dyDescent="0.2">
      <c r="A152" s="27" t="s">
        <v>20</v>
      </c>
      <c r="B152" s="27" t="s">
        <v>21</v>
      </c>
      <c r="C152" s="27"/>
      <c r="D152" s="27"/>
      <c r="E152" s="27" t="s">
        <v>94</v>
      </c>
      <c r="F152" s="27"/>
      <c r="G152" s="27" t="s">
        <v>384</v>
      </c>
      <c r="H152" s="27" t="s">
        <v>389</v>
      </c>
      <c r="I152" s="28">
        <v>41517</v>
      </c>
      <c r="J152" s="27" t="s">
        <v>22</v>
      </c>
      <c r="K152" s="27" t="s">
        <v>23</v>
      </c>
      <c r="L152" s="29">
        <v>-764.06</v>
      </c>
      <c r="M152" s="27" t="s">
        <v>24</v>
      </c>
      <c r="N152" s="27" t="s">
        <v>127</v>
      </c>
      <c r="O152" s="27" t="s">
        <v>98</v>
      </c>
      <c r="P152" s="28">
        <v>41517</v>
      </c>
      <c r="Q152" s="27" t="s">
        <v>390</v>
      </c>
      <c r="R152" s="27" t="s">
        <v>391</v>
      </c>
      <c r="S152" s="27" t="s">
        <v>25</v>
      </c>
    </row>
    <row r="153" spans="1:19" x14ac:dyDescent="0.2">
      <c r="A153" s="27" t="s">
        <v>20</v>
      </c>
      <c r="B153" s="27" t="s">
        <v>21</v>
      </c>
      <c r="C153" s="27"/>
      <c r="D153" s="27"/>
      <c r="E153" s="27" t="s">
        <v>94</v>
      </c>
      <c r="F153" s="27"/>
      <c r="G153" s="27" t="s">
        <v>384</v>
      </c>
      <c r="H153" s="27" t="s">
        <v>392</v>
      </c>
      <c r="I153" s="28">
        <v>41517</v>
      </c>
      <c r="J153" s="27" t="s">
        <v>22</v>
      </c>
      <c r="K153" s="27" t="s">
        <v>23</v>
      </c>
      <c r="L153" s="29">
        <v>309.56</v>
      </c>
      <c r="M153" s="27" t="s">
        <v>24</v>
      </c>
      <c r="N153" s="27" t="s">
        <v>239</v>
      </c>
      <c r="O153" s="27" t="s">
        <v>98</v>
      </c>
      <c r="P153" s="28">
        <v>41517</v>
      </c>
      <c r="Q153" s="27" t="s">
        <v>393</v>
      </c>
      <c r="R153" s="27"/>
      <c r="S153" s="27" t="s">
        <v>25</v>
      </c>
    </row>
    <row r="154" spans="1:19" x14ac:dyDescent="0.2">
      <c r="A154" s="27" t="s">
        <v>20</v>
      </c>
      <c r="B154" s="27" t="s">
        <v>21</v>
      </c>
      <c r="C154" s="27"/>
      <c r="D154" s="27"/>
      <c r="E154" s="27" t="s">
        <v>94</v>
      </c>
      <c r="F154" s="27"/>
      <c r="G154" s="27" t="s">
        <v>384</v>
      </c>
      <c r="H154" s="27" t="s">
        <v>394</v>
      </c>
      <c r="I154" s="28">
        <v>41517</v>
      </c>
      <c r="J154" s="27" t="s">
        <v>22</v>
      </c>
      <c r="K154" s="27" t="s">
        <v>23</v>
      </c>
      <c r="L154" s="29">
        <v>35.799999999999997</v>
      </c>
      <c r="M154" s="27" t="s">
        <v>24</v>
      </c>
      <c r="N154" s="27" t="s">
        <v>97</v>
      </c>
      <c r="O154" s="27" t="s">
        <v>98</v>
      </c>
      <c r="P154" s="28">
        <v>41517</v>
      </c>
      <c r="Q154" s="27" t="s">
        <v>395</v>
      </c>
      <c r="R154" s="27"/>
      <c r="S154" s="27" t="s">
        <v>25</v>
      </c>
    </row>
    <row r="155" spans="1:19" x14ac:dyDescent="0.2">
      <c r="A155" s="27" t="s">
        <v>20</v>
      </c>
      <c r="B155" s="27" t="s">
        <v>21</v>
      </c>
      <c r="C155" s="27"/>
      <c r="D155" s="27"/>
      <c r="E155" s="27" t="s">
        <v>94</v>
      </c>
      <c r="F155" s="27"/>
      <c r="G155" s="27" t="s">
        <v>396</v>
      </c>
      <c r="H155" s="27" t="s">
        <v>387</v>
      </c>
      <c r="I155" s="28">
        <v>41517</v>
      </c>
      <c r="J155" s="27" t="s">
        <v>22</v>
      </c>
      <c r="K155" s="27" t="s">
        <v>23</v>
      </c>
      <c r="L155" s="29">
        <v>318.20999999999998</v>
      </c>
      <c r="M155" s="27" t="s">
        <v>24</v>
      </c>
      <c r="N155" s="27" t="s">
        <v>112</v>
      </c>
      <c r="O155" s="27" t="s">
        <v>98</v>
      </c>
      <c r="P155" s="28">
        <v>41517</v>
      </c>
      <c r="Q155" s="27" t="s">
        <v>397</v>
      </c>
      <c r="R155" s="27"/>
      <c r="S155" s="27" t="s">
        <v>25</v>
      </c>
    </row>
    <row r="156" spans="1:19" x14ac:dyDescent="0.2">
      <c r="A156" s="27" t="s">
        <v>20</v>
      </c>
      <c r="B156" s="27" t="s">
        <v>21</v>
      </c>
      <c r="C156" s="27"/>
      <c r="D156" s="27"/>
      <c r="E156" s="27" t="s">
        <v>94</v>
      </c>
      <c r="F156" s="27"/>
      <c r="G156" s="27" t="s">
        <v>396</v>
      </c>
      <c r="H156" s="27" t="s">
        <v>392</v>
      </c>
      <c r="I156" s="28">
        <v>41517</v>
      </c>
      <c r="J156" s="27" t="s">
        <v>22</v>
      </c>
      <c r="K156" s="27" t="s">
        <v>23</v>
      </c>
      <c r="L156" s="29">
        <v>-1980.5</v>
      </c>
      <c r="M156" s="27" t="s">
        <v>24</v>
      </c>
      <c r="N156" s="27" t="s">
        <v>127</v>
      </c>
      <c r="O156" s="27" t="s">
        <v>98</v>
      </c>
      <c r="P156" s="28">
        <v>41517</v>
      </c>
      <c r="Q156" s="27" t="s">
        <v>398</v>
      </c>
      <c r="R156" s="27" t="s">
        <v>399</v>
      </c>
      <c r="S156" s="27" t="s">
        <v>25</v>
      </c>
    </row>
    <row r="157" spans="1:19" x14ac:dyDescent="0.2">
      <c r="A157" s="27" t="s">
        <v>20</v>
      </c>
      <c r="B157" s="27" t="s">
        <v>21</v>
      </c>
      <c r="C157" s="27"/>
      <c r="D157" s="27"/>
      <c r="E157" s="27" t="s">
        <v>94</v>
      </c>
      <c r="F157" s="27"/>
      <c r="G157" s="27" t="s">
        <v>396</v>
      </c>
      <c r="H157" s="27" t="s">
        <v>394</v>
      </c>
      <c r="I157" s="28">
        <v>41517</v>
      </c>
      <c r="J157" s="27" t="s">
        <v>22</v>
      </c>
      <c r="K157" s="27" t="s">
        <v>23</v>
      </c>
      <c r="L157" s="29">
        <v>986.7</v>
      </c>
      <c r="M157" s="27" t="s">
        <v>24</v>
      </c>
      <c r="N157" s="27" t="s">
        <v>239</v>
      </c>
      <c r="O157" s="27" t="s">
        <v>98</v>
      </c>
      <c r="P157" s="28">
        <v>41517</v>
      </c>
      <c r="Q157" s="27" t="s">
        <v>400</v>
      </c>
      <c r="R157" s="27"/>
      <c r="S157" s="27" t="s">
        <v>25</v>
      </c>
    </row>
    <row r="158" spans="1:19" x14ac:dyDescent="0.2">
      <c r="A158" s="27" t="s">
        <v>20</v>
      </c>
      <c r="B158" s="27" t="s">
        <v>21</v>
      </c>
      <c r="C158" s="27"/>
      <c r="D158" s="27"/>
      <c r="E158" s="27" t="s">
        <v>94</v>
      </c>
      <c r="F158" s="27"/>
      <c r="G158" s="27" t="s">
        <v>396</v>
      </c>
      <c r="H158" s="27" t="s">
        <v>385</v>
      </c>
      <c r="I158" s="28">
        <v>41517</v>
      </c>
      <c r="J158" s="27" t="s">
        <v>22</v>
      </c>
      <c r="K158" s="27" t="s">
        <v>23</v>
      </c>
      <c r="L158" s="29">
        <v>162.18</v>
      </c>
      <c r="M158" s="27" t="s">
        <v>24</v>
      </c>
      <c r="N158" s="27" t="s">
        <v>97</v>
      </c>
      <c r="O158" s="27" t="s">
        <v>98</v>
      </c>
      <c r="P158" s="28">
        <v>41517</v>
      </c>
      <c r="Q158" s="27" t="s">
        <v>401</v>
      </c>
      <c r="R158" s="27"/>
      <c r="S158" s="27" t="s">
        <v>25</v>
      </c>
    </row>
    <row r="159" spans="1:19" x14ac:dyDescent="0.2">
      <c r="A159" s="27" t="s">
        <v>20</v>
      </c>
      <c r="B159" s="27" t="s">
        <v>21</v>
      </c>
      <c r="C159" s="27"/>
      <c r="D159" s="27"/>
      <c r="E159" s="27" t="s">
        <v>94</v>
      </c>
      <c r="F159" s="27"/>
      <c r="G159" s="27" t="s">
        <v>396</v>
      </c>
      <c r="H159" s="27" t="s">
        <v>22</v>
      </c>
      <c r="I159" s="28">
        <v>41517</v>
      </c>
      <c r="J159" s="27" t="s">
        <v>22</v>
      </c>
      <c r="K159" s="27" t="s">
        <v>23</v>
      </c>
      <c r="L159" s="29">
        <v>34.5</v>
      </c>
      <c r="M159" s="27" t="s">
        <v>24</v>
      </c>
      <c r="N159" s="27" t="s">
        <v>173</v>
      </c>
      <c r="O159" s="27" t="s">
        <v>98</v>
      </c>
      <c r="P159" s="28">
        <v>41517</v>
      </c>
      <c r="Q159" s="27" t="s">
        <v>402</v>
      </c>
      <c r="R159" s="27"/>
      <c r="S159" s="27" t="s">
        <v>25</v>
      </c>
    </row>
    <row r="160" spans="1:19" x14ac:dyDescent="0.2">
      <c r="A160" s="27" t="s">
        <v>20</v>
      </c>
      <c r="B160" s="27" t="s">
        <v>21</v>
      </c>
      <c r="C160" s="27"/>
      <c r="D160" s="27"/>
      <c r="E160" s="27" t="s">
        <v>94</v>
      </c>
      <c r="F160" s="27"/>
      <c r="G160" s="27" t="s">
        <v>396</v>
      </c>
      <c r="H160" s="27" t="s">
        <v>27</v>
      </c>
      <c r="I160" s="28">
        <v>41517</v>
      </c>
      <c r="J160" s="27" t="s">
        <v>22</v>
      </c>
      <c r="K160" s="27" t="s">
        <v>23</v>
      </c>
      <c r="L160" s="29">
        <v>21</v>
      </c>
      <c r="M160" s="27" t="s">
        <v>24</v>
      </c>
      <c r="N160" s="27" t="s">
        <v>101</v>
      </c>
      <c r="O160" s="27" t="s">
        <v>98</v>
      </c>
      <c r="P160" s="28">
        <v>41517</v>
      </c>
      <c r="Q160" s="27" t="s">
        <v>403</v>
      </c>
      <c r="R160" s="27"/>
      <c r="S160" s="27" t="s">
        <v>25</v>
      </c>
    </row>
    <row r="161" spans="1:19" x14ac:dyDescent="0.2">
      <c r="A161" s="27" t="s">
        <v>20</v>
      </c>
      <c r="B161" s="27" t="s">
        <v>21</v>
      </c>
      <c r="C161" s="27"/>
      <c r="D161" s="27"/>
      <c r="E161" s="27" t="s">
        <v>94</v>
      </c>
      <c r="F161" s="27"/>
      <c r="G161" s="27" t="s">
        <v>396</v>
      </c>
      <c r="H161" s="27" t="s">
        <v>30</v>
      </c>
      <c r="I161" s="28">
        <v>41517</v>
      </c>
      <c r="J161" s="27" t="s">
        <v>22</v>
      </c>
      <c r="K161" s="27" t="s">
        <v>23</v>
      </c>
      <c r="L161" s="29">
        <v>159.19</v>
      </c>
      <c r="M161" s="27" t="s">
        <v>24</v>
      </c>
      <c r="N161" s="27" t="s">
        <v>101</v>
      </c>
      <c r="O161" s="27" t="s">
        <v>98</v>
      </c>
      <c r="P161" s="28">
        <v>41517</v>
      </c>
      <c r="Q161" s="27" t="s">
        <v>404</v>
      </c>
      <c r="R161" s="27"/>
      <c r="S161" s="27" t="s">
        <v>25</v>
      </c>
    </row>
    <row r="162" spans="1:19" x14ac:dyDescent="0.2">
      <c r="A162" s="27" t="s">
        <v>20</v>
      </c>
      <c r="B162" s="27" t="s">
        <v>21</v>
      </c>
      <c r="C162" s="27"/>
      <c r="D162" s="27"/>
      <c r="E162" s="27" t="s">
        <v>94</v>
      </c>
      <c r="F162" s="27"/>
      <c r="G162" s="27" t="s">
        <v>405</v>
      </c>
      <c r="H162" s="27" t="s">
        <v>22</v>
      </c>
      <c r="I162" s="28">
        <v>41517</v>
      </c>
      <c r="J162" s="27" t="s">
        <v>22</v>
      </c>
      <c r="K162" s="27" t="s">
        <v>23</v>
      </c>
      <c r="L162" s="29">
        <v>19</v>
      </c>
      <c r="M162" s="27" t="s">
        <v>24</v>
      </c>
      <c r="N162" s="27" t="s">
        <v>173</v>
      </c>
      <c r="O162" s="27" t="s">
        <v>98</v>
      </c>
      <c r="P162" s="28">
        <v>41517</v>
      </c>
      <c r="Q162" s="27" t="s">
        <v>406</v>
      </c>
      <c r="R162" s="27"/>
      <c r="S162" s="27" t="s">
        <v>25</v>
      </c>
    </row>
    <row r="163" spans="1:19" x14ac:dyDescent="0.2">
      <c r="A163" s="27" t="s">
        <v>20</v>
      </c>
      <c r="B163" s="27" t="s">
        <v>21</v>
      </c>
      <c r="C163" s="27"/>
      <c r="D163" s="27"/>
      <c r="E163" s="27" t="s">
        <v>94</v>
      </c>
      <c r="F163" s="27"/>
      <c r="G163" s="27" t="s">
        <v>405</v>
      </c>
      <c r="H163" s="27" t="s">
        <v>387</v>
      </c>
      <c r="I163" s="28">
        <v>41517</v>
      </c>
      <c r="J163" s="27" t="s">
        <v>22</v>
      </c>
      <c r="K163" s="27" t="s">
        <v>23</v>
      </c>
      <c r="L163" s="29">
        <v>521.92999999999995</v>
      </c>
      <c r="M163" s="27" t="s">
        <v>24</v>
      </c>
      <c r="N163" s="27" t="s">
        <v>112</v>
      </c>
      <c r="O163" s="27" t="s">
        <v>98</v>
      </c>
      <c r="P163" s="28">
        <v>41517</v>
      </c>
      <c r="Q163" s="27" t="s">
        <v>407</v>
      </c>
      <c r="R163" s="27"/>
      <c r="S163" s="27" t="s">
        <v>25</v>
      </c>
    </row>
    <row r="164" spans="1:19" x14ac:dyDescent="0.2">
      <c r="A164" s="27" t="s">
        <v>20</v>
      </c>
      <c r="B164" s="27" t="s">
        <v>21</v>
      </c>
      <c r="C164" s="27"/>
      <c r="D164" s="27"/>
      <c r="E164" s="27" t="s">
        <v>94</v>
      </c>
      <c r="F164" s="27"/>
      <c r="G164" s="27" t="s">
        <v>405</v>
      </c>
      <c r="H164" s="27" t="s">
        <v>392</v>
      </c>
      <c r="I164" s="28">
        <v>41517</v>
      </c>
      <c r="J164" s="27" t="s">
        <v>22</v>
      </c>
      <c r="K164" s="27" t="s">
        <v>23</v>
      </c>
      <c r="L164" s="29">
        <v>-3009.2</v>
      </c>
      <c r="M164" s="27" t="s">
        <v>24</v>
      </c>
      <c r="N164" s="27" t="s">
        <v>127</v>
      </c>
      <c r="O164" s="27" t="s">
        <v>98</v>
      </c>
      <c r="P164" s="28">
        <v>41517</v>
      </c>
      <c r="Q164" s="27" t="s">
        <v>408</v>
      </c>
      <c r="R164" s="27" t="s">
        <v>409</v>
      </c>
      <c r="S164" s="27" t="s">
        <v>25</v>
      </c>
    </row>
    <row r="165" spans="1:19" x14ac:dyDescent="0.2">
      <c r="A165" s="27" t="s">
        <v>20</v>
      </c>
      <c r="B165" s="27" t="s">
        <v>21</v>
      </c>
      <c r="C165" s="27"/>
      <c r="D165" s="27"/>
      <c r="E165" s="27" t="s">
        <v>94</v>
      </c>
      <c r="F165" s="27"/>
      <c r="G165" s="27" t="s">
        <v>405</v>
      </c>
      <c r="H165" s="27" t="s">
        <v>27</v>
      </c>
      <c r="I165" s="28">
        <v>41517</v>
      </c>
      <c r="J165" s="27" t="s">
        <v>22</v>
      </c>
      <c r="K165" s="27" t="s">
        <v>23</v>
      </c>
      <c r="L165" s="29">
        <v>260.92</v>
      </c>
      <c r="M165" s="27" t="s">
        <v>24</v>
      </c>
      <c r="N165" s="27" t="s">
        <v>101</v>
      </c>
      <c r="O165" s="27" t="s">
        <v>98</v>
      </c>
      <c r="P165" s="28">
        <v>41517</v>
      </c>
      <c r="Q165" s="27" t="s">
        <v>410</v>
      </c>
      <c r="R165" s="27"/>
      <c r="S165" s="27" t="s">
        <v>25</v>
      </c>
    </row>
    <row r="166" spans="1:19" x14ac:dyDescent="0.2">
      <c r="A166" s="27" t="s">
        <v>20</v>
      </c>
      <c r="B166" s="27" t="s">
        <v>21</v>
      </c>
      <c r="C166" s="27"/>
      <c r="D166" s="27"/>
      <c r="E166" s="27" t="s">
        <v>94</v>
      </c>
      <c r="F166" s="27"/>
      <c r="G166" s="27" t="s">
        <v>405</v>
      </c>
      <c r="H166" s="27" t="s">
        <v>30</v>
      </c>
      <c r="I166" s="28">
        <v>41517</v>
      </c>
      <c r="J166" s="27" t="s">
        <v>22</v>
      </c>
      <c r="K166" s="27" t="s">
        <v>23</v>
      </c>
      <c r="L166" s="29">
        <v>2</v>
      </c>
      <c r="M166" s="27" t="s">
        <v>24</v>
      </c>
      <c r="N166" s="27" t="s">
        <v>101</v>
      </c>
      <c r="O166" s="27" t="s">
        <v>98</v>
      </c>
      <c r="P166" s="28">
        <v>41517</v>
      </c>
      <c r="Q166" s="27" t="s">
        <v>411</v>
      </c>
      <c r="R166" s="27"/>
      <c r="S166" s="27" t="s">
        <v>25</v>
      </c>
    </row>
    <row r="167" spans="1:19" x14ac:dyDescent="0.2">
      <c r="A167" s="27" t="s">
        <v>20</v>
      </c>
      <c r="B167" s="27" t="s">
        <v>21</v>
      </c>
      <c r="C167" s="27"/>
      <c r="D167" s="27"/>
      <c r="E167" s="27" t="s">
        <v>94</v>
      </c>
      <c r="F167" s="27"/>
      <c r="G167" s="27" t="s">
        <v>405</v>
      </c>
      <c r="H167" s="27" t="s">
        <v>385</v>
      </c>
      <c r="I167" s="28">
        <v>41517</v>
      </c>
      <c r="J167" s="27" t="s">
        <v>22</v>
      </c>
      <c r="K167" s="27" t="s">
        <v>23</v>
      </c>
      <c r="L167" s="29">
        <v>26.74</v>
      </c>
      <c r="M167" s="27" t="s">
        <v>24</v>
      </c>
      <c r="N167" s="27" t="s">
        <v>97</v>
      </c>
      <c r="O167" s="27" t="s">
        <v>98</v>
      </c>
      <c r="P167" s="28">
        <v>41517</v>
      </c>
      <c r="Q167" s="27" t="s">
        <v>412</v>
      </c>
      <c r="R167" s="27"/>
      <c r="S167" s="27" t="s">
        <v>25</v>
      </c>
    </row>
    <row r="168" spans="1:19" x14ac:dyDescent="0.2">
      <c r="A168" s="27" t="s">
        <v>20</v>
      </c>
      <c r="B168" s="27" t="s">
        <v>21</v>
      </c>
      <c r="C168" s="27"/>
      <c r="D168" s="27"/>
      <c r="E168" s="27" t="s">
        <v>94</v>
      </c>
      <c r="F168" s="27"/>
      <c r="G168" s="27" t="s">
        <v>405</v>
      </c>
      <c r="H168" s="27" t="s">
        <v>394</v>
      </c>
      <c r="I168" s="28">
        <v>41517</v>
      </c>
      <c r="J168" s="27" t="s">
        <v>22</v>
      </c>
      <c r="K168" s="27" t="s">
        <v>23</v>
      </c>
      <c r="L168" s="29">
        <v>737.59</v>
      </c>
      <c r="M168" s="27" t="s">
        <v>24</v>
      </c>
      <c r="N168" s="27" t="s">
        <v>239</v>
      </c>
      <c r="O168" s="27" t="s">
        <v>98</v>
      </c>
      <c r="P168" s="28">
        <v>41517</v>
      </c>
      <c r="Q168" s="27" t="s">
        <v>413</v>
      </c>
      <c r="R168" s="27"/>
      <c r="S168" s="27" t="s">
        <v>25</v>
      </c>
    </row>
    <row r="169" spans="1:19" x14ac:dyDescent="0.2">
      <c r="A169" s="27" t="s">
        <v>20</v>
      </c>
      <c r="B169" s="27" t="s">
        <v>21</v>
      </c>
      <c r="C169" s="27"/>
      <c r="D169" s="27"/>
      <c r="E169" s="27" t="s">
        <v>94</v>
      </c>
      <c r="F169" s="27"/>
      <c r="G169" s="27" t="s">
        <v>414</v>
      </c>
      <c r="H169" s="27" t="s">
        <v>22</v>
      </c>
      <c r="I169" s="28">
        <v>41517</v>
      </c>
      <c r="J169" s="27" t="s">
        <v>22</v>
      </c>
      <c r="K169" s="27" t="s">
        <v>23</v>
      </c>
      <c r="L169" s="29">
        <v>20.5</v>
      </c>
      <c r="M169" s="27" t="s">
        <v>24</v>
      </c>
      <c r="N169" s="27" t="s">
        <v>173</v>
      </c>
      <c r="O169" s="27" t="s">
        <v>98</v>
      </c>
      <c r="P169" s="28">
        <v>41517</v>
      </c>
      <c r="Q169" s="27" t="s">
        <v>415</v>
      </c>
      <c r="R169" s="27"/>
      <c r="S169" s="27" t="s">
        <v>25</v>
      </c>
    </row>
    <row r="170" spans="1:19" x14ac:dyDescent="0.2">
      <c r="A170" s="27" t="s">
        <v>20</v>
      </c>
      <c r="B170" s="27" t="s">
        <v>21</v>
      </c>
      <c r="C170" s="27"/>
      <c r="D170" s="27"/>
      <c r="E170" s="27" t="s">
        <v>94</v>
      </c>
      <c r="F170" s="27"/>
      <c r="G170" s="27" t="s">
        <v>414</v>
      </c>
      <c r="H170" s="27" t="s">
        <v>387</v>
      </c>
      <c r="I170" s="28">
        <v>41517</v>
      </c>
      <c r="J170" s="27" t="s">
        <v>22</v>
      </c>
      <c r="K170" s="27" t="s">
        <v>23</v>
      </c>
      <c r="L170" s="29">
        <v>190.27</v>
      </c>
      <c r="M170" s="27" t="s">
        <v>24</v>
      </c>
      <c r="N170" s="27" t="s">
        <v>112</v>
      </c>
      <c r="O170" s="27" t="s">
        <v>98</v>
      </c>
      <c r="P170" s="28">
        <v>41517</v>
      </c>
      <c r="Q170" s="27" t="s">
        <v>416</v>
      </c>
      <c r="R170" s="27"/>
      <c r="S170" s="27" t="s">
        <v>25</v>
      </c>
    </row>
    <row r="171" spans="1:19" x14ac:dyDescent="0.2">
      <c r="A171" s="27" t="s">
        <v>20</v>
      </c>
      <c r="B171" s="27" t="s">
        <v>21</v>
      </c>
      <c r="C171" s="27"/>
      <c r="D171" s="27"/>
      <c r="E171" s="27" t="s">
        <v>94</v>
      </c>
      <c r="F171" s="27"/>
      <c r="G171" s="27" t="s">
        <v>414</v>
      </c>
      <c r="H171" s="27" t="s">
        <v>27</v>
      </c>
      <c r="I171" s="28">
        <v>41517</v>
      </c>
      <c r="J171" s="27" t="s">
        <v>22</v>
      </c>
      <c r="K171" s="27" t="s">
        <v>23</v>
      </c>
      <c r="L171" s="29">
        <v>95.13</v>
      </c>
      <c r="M171" s="27" t="s">
        <v>24</v>
      </c>
      <c r="N171" s="27" t="s">
        <v>101</v>
      </c>
      <c r="O171" s="27" t="s">
        <v>98</v>
      </c>
      <c r="P171" s="28">
        <v>41517</v>
      </c>
      <c r="Q171" s="27" t="s">
        <v>417</v>
      </c>
      <c r="R171" s="27"/>
      <c r="S171" s="27" t="s">
        <v>25</v>
      </c>
    </row>
    <row r="172" spans="1:19" x14ac:dyDescent="0.2">
      <c r="A172" s="27" t="s">
        <v>20</v>
      </c>
      <c r="B172" s="27" t="s">
        <v>21</v>
      </c>
      <c r="C172" s="27"/>
      <c r="D172" s="27"/>
      <c r="E172" s="27" t="s">
        <v>94</v>
      </c>
      <c r="F172" s="27"/>
      <c r="G172" s="27" t="s">
        <v>414</v>
      </c>
      <c r="H172" s="27" t="s">
        <v>392</v>
      </c>
      <c r="I172" s="28">
        <v>41517</v>
      </c>
      <c r="J172" s="27" t="s">
        <v>22</v>
      </c>
      <c r="K172" s="27" t="s">
        <v>23</v>
      </c>
      <c r="L172" s="29">
        <v>-1103.94</v>
      </c>
      <c r="M172" s="27" t="s">
        <v>24</v>
      </c>
      <c r="N172" s="27" t="s">
        <v>127</v>
      </c>
      <c r="O172" s="27" t="s">
        <v>98</v>
      </c>
      <c r="P172" s="28">
        <v>41517</v>
      </c>
      <c r="Q172" s="27" t="s">
        <v>418</v>
      </c>
      <c r="R172" s="27" t="s">
        <v>419</v>
      </c>
      <c r="S172" s="27" t="s">
        <v>25</v>
      </c>
    </row>
    <row r="173" spans="1:19" x14ac:dyDescent="0.2">
      <c r="A173" s="27" t="s">
        <v>20</v>
      </c>
      <c r="B173" s="27" t="s">
        <v>21</v>
      </c>
      <c r="C173" s="27"/>
      <c r="D173" s="27"/>
      <c r="E173" s="27" t="s">
        <v>94</v>
      </c>
      <c r="F173" s="27"/>
      <c r="G173" s="27" t="s">
        <v>414</v>
      </c>
      <c r="H173" s="27" t="s">
        <v>394</v>
      </c>
      <c r="I173" s="28">
        <v>41517</v>
      </c>
      <c r="J173" s="27" t="s">
        <v>22</v>
      </c>
      <c r="K173" s="27" t="s">
        <v>23</v>
      </c>
      <c r="L173" s="29">
        <v>739.19</v>
      </c>
      <c r="M173" s="27" t="s">
        <v>24</v>
      </c>
      <c r="N173" s="27" t="s">
        <v>239</v>
      </c>
      <c r="O173" s="27" t="s">
        <v>98</v>
      </c>
      <c r="P173" s="28">
        <v>41517</v>
      </c>
      <c r="Q173" s="27" t="s">
        <v>420</v>
      </c>
      <c r="R173" s="27"/>
      <c r="S173" s="27" t="s">
        <v>25</v>
      </c>
    </row>
    <row r="174" spans="1:19" x14ac:dyDescent="0.2">
      <c r="A174" s="27" t="s">
        <v>20</v>
      </c>
      <c r="B174" s="27" t="s">
        <v>21</v>
      </c>
      <c r="C174" s="27"/>
      <c r="D174" s="27"/>
      <c r="E174" s="27" t="s">
        <v>94</v>
      </c>
      <c r="F174" s="27"/>
      <c r="G174" s="27" t="s">
        <v>414</v>
      </c>
      <c r="H174" s="27" t="s">
        <v>385</v>
      </c>
      <c r="I174" s="28">
        <v>41517</v>
      </c>
      <c r="J174" s="27" t="s">
        <v>22</v>
      </c>
      <c r="K174" s="27" t="s">
        <v>23</v>
      </c>
      <c r="L174" s="29">
        <v>16.690000000000001</v>
      </c>
      <c r="M174" s="27" t="s">
        <v>24</v>
      </c>
      <c r="N174" s="27" t="s">
        <v>97</v>
      </c>
      <c r="O174" s="27" t="s">
        <v>98</v>
      </c>
      <c r="P174" s="28">
        <v>41517</v>
      </c>
      <c r="Q174" s="27" t="s">
        <v>421</v>
      </c>
      <c r="R174" s="27"/>
      <c r="S174" s="27" t="s">
        <v>25</v>
      </c>
    </row>
    <row r="175" spans="1:19" x14ac:dyDescent="0.2">
      <c r="A175" s="27" t="s">
        <v>20</v>
      </c>
      <c r="B175" s="27" t="s">
        <v>21</v>
      </c>
      <c r="C175" s="27"/>
      <c r="D175" s="27"/>
      <c r="E175" s="27" t="s">
        <v>94</v>
      </c>
      <c r="F175" s="27"/>
      <c r="G175" s="27" t="s">
        <v>414</v>
      </c>
      <c r="H175" s="27" t="s">
        <v>30</v>
      </c>
      <c r="I175" s="28">
        <v>41517</v>
      </c>
      <c r="J175" s="27" t="s">
        <v>22</v>
      </c>
      <c r="K175" s="27" t="s">
        <v>23</v>
      </c>
      <c r="L175" s="29">
        <v>34</v>
      </c>
      <c r="M175" s="27" t="s">
        <v>24</v>
      </c>
      <c r="N175" s="27" t="s">
        <v>101</v>
      </c>
      <c r="O175" s="27" t="s">
        <v>98</v>
      </c>
      <c r="P175" s="28">
        <v>41517</v>
      </c>
      <c r="Q175" s="27" t="s">
        <v>422</v>
      </c>
      <c r="R175" s="27"/>
      <c r="S175" s="27" t="s">
        <v>25</v>
      </c>
    </row>
    <row r="176" spans="1:19" x14ac:dyDescent="0.2">
      <c r="A176" s="27" t="s">
        <v>20</v>
      </c>
      <c r="B176" s="27" t="s">
        <v>21</v>
      </c>
      <c r="C176" s="27"/>
      <c r="D176" s="27"/>
      <c r="E176" s="27" t="s">
        <v>94</v>
      </c>
      <c r="F176" s="27"/>
      <c r="G176" s="27" t="s">
        <v>423</v>
      </c>
      <c r="H176" s="27" t="s">
        <v>30</v>
      </c>
      <c r="I176" s="28">
        <v>41517</v>
      </c>
      <c r="J176" s="27" t="s">
        <v>22</v>
      </c>
      <c r="K176" s="27" t="s">
        <v>23</v>
      </c>
      <c r="L176" s="29">
        <v>1620.51</v>
      </c>
      <c r="M176" s="27" t="s">
        <v>24</v>
      </c>
      <c r="N176" s="27" t="s">
        <v>101</v>
      </c>
      <c r="O176" s="27" t="s">
        <v>98</v>
      </c>
      <c r="P176" s="28">
        <v>41517</v>
      </c>
      <c r="Q176" s="27" t="s">
        <v>424</v>
      </c>
      <c r="R176" s="27"/>
      <c r="S176" s="27" t="s">
        <v>25</v>
      </c>
    </row>
    <row r="177" spans="1:19" x14ac:dyDescent="0.2">
      <c r="A177" s="27" t="s">
        <v>20</v>
      </c>
      <c r="B177" s="27" t="s">
        <v>21</v>
      </c>
      <c r="C177" s="27"/>
      <c r="D177" s="27"/>
      <c r="E177" s="27" t="s">
        <v>94</v>
      </c>
      <c r="F177" s="27"/>
      <c r="G177" s="27" t="s">
        <v>423</v>
      </c>
      <c r="H177" s="27" t="s">
        <v>27</v>
      </c>
      <c r="I177" s="28">
        <v>41517</v>
      </c>
      <c r="J177" s="27" t="s">
        <v>22</v>
      </c>
      <c r="K177" s="27" t="s">
        <v>23</v>
      </c>
      <c r="L177" s="29">
        <v>40.75</v>
      </c>
      <c r="M177" s="27" t="s">
        <v>24</v>
      </c>
      <c r="N177" s="27" t="s">
        <v>173</v>
      </c>
      <c r="O177" s="27" t="s">
        <v>98</v>
      </c>
      <c r="P177" s="28">
        <v>41517</v>
      </c>
      <c r="Q177" s="27" t="s">
        <v>425</v>
      </c>
      <c r="R177" s="27"/>
      <c r="S177" s="27" t="s">
        <v>25</v>
      </c>
    </row>
    <row r="178" spans="1:19" x14ac:dyDescent="0.2">
      <c r="A178" s="27" t="s">
        <v>20</v>
      </c>
      <c r="B178" s="27" t="s">
        <v>21</v>
      </c>
      <c r="C178" s="27"/>
      <c r="D178" s="27"/>
      <c r="E178" s="27" t="s">
        <v>94</v>
      </c>
      <c r="F178" s="27"/>
      <c r="G178" s="27" t="s">
        <v>423</v>
      </c>
      <c r="H178" s="27" t="s">
        <v>385</v>
      </c>
      <c r="I178" s="28">
        <v>41517</v>
      </c>
      <c r="J178" s="27" t="s">
        <v>22</v>
      </c>
      <c r="K178" s="27" t="s">
        <v>23</v>
      </c>
      <c r="L178" s="29">
        <v>660.26</v>
      </c>
      <c r="M178" s="27" t="s">
        <v>24</v>
      </c>
      <c r="N178" s="27" t="s">
        <v>97</v>
      </c>
      <c r="O178" s="27" t="s">
        <v>98</v>
      </c>
      <c r="P178" s="28">
        <v>41517</v>
      </c>
      <c r="Q178" s="27" t="s">
        <v>426</v>
      </c>
      <c r="R178" s="27"/>
      <c r="S178" s="27" t="s">
        <v>25</v>
      </c>
    </row>
    <row r="179" spans="1:19" x14ac:dyDescent="0.2">
      <c r="A179" s="27" t="s">
        <v>20</v>
      </c>
      <c r="B179" s="27" t="s">
        <v>21</v>
      </c>
      <c r="C179" s="27"/>
      <c r="D179" s="27"/>
      <c r="E179" s="27" t="s">
        <v>94</v>
      </c>
      <c r="F179" s="27"/>
      <c r="G179" s="27" t="s">
        <v>423</v>
      </c>
      <c r="H179" s="27" t="s">
        <v>387</v>
      </c>
      <c r="I179" s="28">
        <v>41517</v>
      </c>
      <c r="J179" s="27" t="s">
        <v>22</v>
      </c>
      <c r="K179" s="27" t="s">
        <v>23</v>
      </c>
      <c r="L179" s="29">
        <v>3240.85</v>
      </c>
      <c r="M179" s="27" t="s">
        <v>24</v>
      </c>
      <c r="N179" s="27" t="s">
        <v>112</v>
      </c>
      <c r="O179" s="27" t="s">
        <v>98</v>
      </c>
      <c r="P179" s="28">
        <v>41517</v>
      </c>
      <c r="Q179" s="27" t="s">
        <v>427</v>
      </c>
      <c r="R179" s="27"/>
      <c r="S179" s="27" t="s">
        <v>25</v>
      </c>
    </row>
    <row r="180" spans="1:19" x14ac:dyDescent="0.2">
      <c r="A180" s="27" t="s">
        <v>20</v>
      </c>
      <c r="B180" s="27" t="s">
        <v>21</v>
      </c>
      <c r="C180" s="27"/>
      <c r="D180" s="27"/>
      <c r="E180" s="27" t="s">
        <v>94</v>
      </c>
      <c r="F180" s="27"/>
      <c r="G180" s="27" t="s">
        <v>423</v>
      </c>
      <c r="H180" s="27" t="s">
        <v>394</v>
      </c>
      <c r="I180" s="28">
        <v>41517</v>
      </c>
      <c r="J180" s="27" t="s">
        <v>22</v>
      </c>
      <c r="K180" s="27" t="s">
        <v>23</v>
      </c>
      <c r="L180" s="29">
        <v>2258.9699999999998</v>
      </c>
      <c r="M180" s="27" t="s">
        <v>24</v>
      </c>
      <c r="N180" s="27" t="s">
        <v>239</v>
      </c>
      <c r="O180" s="27" t="s">
        <v>98</v>
      </c>
      <c r="P180" s="28">
        <v>41517</v>
      </c>
      <c r="Q180" s="27" t="s">
        <v>428</v>
      </c>
      <c r="R180" s="27"/>
      <c r="S180" s="27" t="s">
        <v>25</v>
      </c>
    </row>
    <row r="181" spans="1:19" x14ac:dyDescent="0.2">
      <c r="A181" s="27" t="s">
        <v>20</v>
      </c>
      <c r="B181" s="27" t="s">
        <v>21</v>
      </c>
      <c r="C181" s="27"/>
      <c r="D181" s="27"/>
      <c r="E181" s="27" t="s">
        <v>94</v>
      </c>
      <c r="F181" s="27"/>
      <c r="G181" s="27" t="s">
        <v>423</v>
      </c>
      <c r="H181" s="27" t="s">
        <v>392</v>
      </c>
      <c r="I181" s="28">
        <v>41517</v>
      </c>
      <c r="J181" s="27" t="s">
        <v>22</v>
      </c>
      <c r="K181" s="27" t="s">
        <v>23</v>
      </c>
      <c r="L181" s="29">
        <v>-19179.400000000001</v>
      </c>
      <c r="M181" s="27" t="s">
        <v>24</v>
      </c>
      <c r="N181" s="27" t="s">
        <v>127</v>
      </c>
      <c r="O181" s="27" t="s">
        <v>98</v>
      </c>
      <c r="P181" s="28">
        <v>41517</v>
      </c>
      <c r="Q181" s="27" t="s">
        <v>429</v>
      </c>
      <c r="R181" s="27" t="s">
        <v>430</v>
      </c>
      <c r="S181" s="27" t="s">
        <v>25</v>
      </c>
    </row>
    <row r="182" spans="1:19" x14ac:dyDescent="0.2">
      <c r="A182" s="27" t="s">
        <v>20</v>
      </c>
      <c r="B182" s="27" t="s">
        <v>21</v>
      </c>
      <c r="C182" s="27"/>
      <c r="D182" s="27"/>
      <c r="E182" s="27" t="s">
        <v>94</v>
      </c>
      <c r="F182" s="27"/>
      <c r="G182" s="27" t="s">
        <v>431</v>
      </c>
      <c r="H182" s="27" t="s">
        <v>389</v>
      </c>
      <c r="I182" s="28">
        <v>41517</v>
      </c>
      <c r="J182" s="27" t="s">
        <v>22</v>
      </c>
      <c r="K182" s="27" t="s">
        <v>23</v>
      </c>
      <c r="L182" s="29">
        <v>2.6</v>
      </c>
      <c r="M182" s="27" t="s">
        <v>24</v>
      </c>
      <c r="N182" s="27" t="s">
        <v>330</v>
      </c>
      <c r="O182" s="27" t="s">
        <v>98</v>
      </c>
      <c r="P182" s="28">
        <v>41517</v>
      </c>
      <c r="Q182" s="27" t="s">
        <v>432</v>
      </c>
      <c r="R182" s="27"/>
      <c r="S182" s="27" t="s">
        <v>25</v>
      </c>
    </row>
    <row r="183" spans="1:19" x14ac:dyDescent="0.2">
      <c r="A183" s="27" t="s">
        <v>20</v>
      </c>
      <c r="B183" s="27" t="s">
        <v>21</v>
      </c>
      <c r="C183" s="27"/>
      <c r="D183" s="27"/>
      <c r="E183" s="27" t="s">
        <v>94</v>
      </c>
      <c r="F183" s="27"/>
      <c r="G183" s="27" t="s">
        <v>433</v>
      </c>
      <c r="H183" s="27" t="s">
        <v>394</v>
      </c>
      <c r="I183" s="28">
        <v>41517</v>
      </c>
      <c r="J183" s="27" t="s">
        <v>22</v>
      </c>
      <c r="K183" s="27" t="s">
        <v>23</v>
      </c>
      <c r="L183" s="29">
        <v>-464</v>
      </c>
      <c r="M183" s="27" t="s">
        <v>24</v>
      </c>
      <c r="N183" s="27" t="s">
        <v>101</v>
      </c>
      <c r="O183" s="27" t="s">
        <v>98</v>
      </c>
      <c r="P183" s="28">
        <v>41517</v>
      </c>
      <c r="Q183" s="27" t="s">
        <v>434</v>
      </c>
      <c r="R183" s="27"/>
      <c r="S183" s="27" t="s">
        <v>25</v>
      </c>
    </row>
    <row r="184" spans="1:19" x14ac:dyDescent="0.2">
      <c r="A184" s="27" t="s">
        <v>20</v>
      </c>
      <c r="B184" s="27" t="s">
        <v>21</v>
      </c>
      <c r="C184" s="27"/>
      <c r="D184" s="27"/>
      <c r="E184" s="27" t="s">
        <v>94</v>
      </c>
      <c r="F184" s="27"/>
      <c r="G184" s="27" t="s">
        <v>433</v>
      </c>
      <c r="H184" s="27" t="s">
        <v>392</v>
      </c>
      <c r="I184" s="28">
        <v>41517</v>
      </c>
      <c r="J184" s="27" t="s">
        <v>22</v>
      </c>
      <c r="K184" s="27" t="s">
        <v>23</v>
      </c>
      <c r="L184" s="29">
        <v>60</v>
      </c>
      <c r="M184" s="27" t="s">
        <v>24</v>
      </c>
      <c r="N184" s="27" t="s">
        <v>330</v>
      </c>
      <c r="O184" s="27" t="s">
        <v>98</v>
      </c>
      <c r="P184" s="28">
        <v>41517</v>
      </c>
      <c r="Q184" s="27" t="s">
        <v>223</v>
      </c>
      <c r="R184" s="27"/>
      <c r="S184" s="27" t="s">
        <v>25</v>
      </c>
    </row>
    <row r="185" spans="1:19" x14ac:dyDescent="0.2">
      <c r="A185" s="27" t="s">
        <v>20</v>
      </c>
      <c r="B185" s="27" t="s">
        <v>21</v>
      </c>
      <c r="C185" s="27"/>
      <c r="D185" s="27"/>
      <c r="E185" s="27" t="s">
        <v>94</v>
      </c>
      <c r="F185" s="27"/>
      <c r="G185" s="27" t="s">
        <v>433</v>
      </c>
      <c r="H185" s="27" t="s">
        <v>389</v>
      </c>
      <c r="I185" s="28">
        <v>41517</v>
      </c>
      <c r="J185" s="27" t="s">
        <v>22</v>
      </c>
      <c r="K185" s="27" t="s">
        <v>23</v>
      </c>
      <c r="L185" s="29">
        <v>60</v>
      </c>
      <c r="M185" s="27" t="s">
        <v>24</v>
      </c>
      <c r="N185" s="27" t="s">
        <v>330</v>
      </c>
      <c r="O185" s="27" t="s">
        <v>98</v>
      </c>
      <c r="P185" s="28">
        <v>41517</v>
      </c>
      <c r="Q185" s="27" t="s">
        <v>223</v>
      </c>
      <c r="R185" s="27"/>
      <c r="S185" s="27" t="s">
        <v>25</v>
      </c>
    </row>
    <row r="186" spans="1:19" x14ac:dyDescent="0.2">
      <c r="A186" s="27" t="s">
        <v>20</v>
      </c>
      <c r="B186" s="27" t="s">
        <v>21</v>
      </c>
      <c r="C186" s="27"/>
      <c r="D186" s="27"/>
      <c r="E186" s="27" t="s">
        <v>94</v>
      </c>
      <c r="F186" s="27"/>
      <c r="G186" s="27" t="s">
        <v>435</v>
      </c>
      <c r="H186" s="27" t="s">
        <v>30</v>
      </c>
      <c r="I186" s="28">
        <v>41501</v>
      </c>
      <c r="J186" s="27" t="s">
        <v>22</v>
      </c>
      <c r="K186" s="27" t="s">
        <v>23</v>
      </c>
      <c r="L186" s="29">
        <v>-21</v>
      </c>
      <c r="M186" s="27" t="s">
        <v>24</v>
      </c>
      <c r="N186" s="27" t="s">
        <v>101</v>
      </c>
      <c r="O186" s="27" t="s">
        <v>98</v>
      </c>
      <c r="P186" s="28">
        <v>41500</v>
      </c>
      <c r="Q186" s="27"/>
      <c r="R186" s="27"/>
      <c r="S186" s="27" t="s">
        <v>25</v>
      </c>
    </row>
    <row r="187" spans="1:19" x14ac:dyDescent="0.2">
      <c r="A187" s="27" t="s">
        <v>20</v>
      </c>
      <c r="B187" s="27" t="s">
        <v>21</v>
      </c>
      <c r="C187" s="27"/>
      <c r="D187" s="27"/>
      <c r="E187" s="27" t="s">
        <v>94</v>
      </c>
      <c r="F187" s="27"/>
      <c r="G187" s="27" t="s">
        <v>435</v>
      </c>
      <c r="H187" s="27" t="s">
        <v>77</v>
      </c>
      <c r="I187" s="28">
        <v>41501</v>
      </c>
      <c r="J187" s="27" t="s">
        <v>22</v>
      </c>
      <c r="K187" s="27" t="s">
        <v>23</v>
      </c>
      <c r="L187" s="29">
        <v>-13</v>
      </c>
      <c r="M187" s="27" t="s">
        <v>24</v>
      </c>
      <c r="N187" s="27" t="s">
        <v>101</v>
      </c>
      <c r="O187" s="27" t="s">
        <v>98</v>
      </c>
      <c r="P187" s="28">
        <v>41500</v>
      </c>
      <c r="Q187" s="27"/>
      <c r="R187" s="27"/>
      <c r="S187" s="27" t="s">
        <v>25</v>
      </c>
    </row>
    <row r="188" spans="1:19" x14ac:dyDescent="0.2">
      <c r="A188" s="27" t="s">
        <v>20</v>
      </c>
      <c r="B188" s="27" t="s">
        <v>21</v>
      </c>
      <c r="C188" s="27"/>
      <c r="D188" s="27"/>
      <c r="E188" s="27" t="s">
        <v>94</v>
      </c>
      <c r="F188" s="27"/>
      <c r="G188" s="27" t="s">
        <v>435</v>
      </c>
      <c r="H188" s="27" t="s">
        <v>392</v>
      </c>
      <c r="I188" s="28">
        <v>41501</v>
      </c>
      <c r="J188" s="27" t="s">
        <v>22</v>
      </c>
      <c r="K188" s="27" t="s">
        <v>23</v>
      </c>
      <c r="L188" s="29">
        <v>-1</v>
      </c>
      <c r="M188" s="27" t="s">
        <v>24</v>
      </c>
      <c r="N188" s="27" t="s">
        <v>101</v>
      </c>
      <c r="O188" s="27" t="s">
        <v>98</v>
      </c>
      <c r="P188" s="28">
        <v>41500</v>
      </c>
      <c r="Q188" s="27"/>
      <c r="R188" s="27"/>
      <c r="S188" s="27" t="s">
        <v>25</v>
      </c>
    </row>
    <row r="189" spans="1:19" x14ac:dyDescent="0.2">
      <c r="A189" s="27" t="s">
        <v>20</v>
      </c>
      <c r="B189" s="27" t="s">
        <v>21</v>
      </c>
      <c r="C189" s="27"/>
      <c r="D189" s="27"/>
      <c r="E189" s="27" t="s">
        <v>94</v>
      </c>
      <c r="F189" s="27"/>
      <c r="G189" s="27" t="s">
        <v>435</v>
      </c>
      <c r="H189" s="27" t="s">
        <v>29</v>
      </c>
      <c r="I189" s="28">
        <v>41501</v>
      </c>
      <c r="J189" s="27" t="s">
        <v>22</v>
      </c>
      <c r="K189" s="27" t="s">
        <v>23</v>
      </c>
      <c r="L189" s="29">
        <v>-17</v>
      </c>
      <c r="M189" s="27" t="s">
        <v>24</v>
      </c>
      <c r="N189" s="27" t="s">
        <v>101</v>
      </c>
      <c r="O189" s="27" t="s">
        <v>98</v>
      </c>
      <c r="P189" s="28">
        <v>41500</v>
      </c>
      <c r="Q189" s="27"/>
      <c r="R189" s="27"/>
      <c r="S189" s="27" t="s">
        <v>25</v>
      </c>
    </row>
    <row r="190" spans="1:19" x14ac:dyDescent="0.2">
      <c r="A190" s="27" t="s">
        <v>20</v>
      </c>
      <c r="B190" s="27" t="s">
        <v>21</v>
      </c>
      <c r="C190" s="27"/>
      <c r="D190" s="27"/>
      <c r="E190" s="27" t="s">
        <v>94</v>
      </c>
      <c r="F190" s="27"/>
      <c r="G190" s="27" t="s">
        <v>435</v>
      </c>
      <c r="H190" s="27" t="s">
        <v>28</v>
      </c>
      <c r="I190" s="28">
        <v>41501</v>
      </c>
      <c r="J190" s="27" t="s">
        <v>22</v>
      </c>
      <c r="K190" s="27" t="s">
        <v>23</v>
      </c>
      <c r="L190" s="29">
        <v>-2</v>
      </c>
      <c r="M190" s="27" t="s">
        <v>24</v>
      </c>
      <c r="N190" s="27" t="s">
        <v>101</v>
      </c>
      <c r="O190" s="27" t="s">
        <v>98</v>
      </c>
      <c r="P190" s="28">
        <v>41500</v>
      </c>
      <c r="Q190" s="27"/>
      <c r="R190" s="27"/>
      <c r="S190" s="27" t="s">
        <v>25</v>
      </c>
    </row>
    <row r="191" spans="1:19" x14ac:dyDescent="0.2">
      <c r="A191" s="27" t="s">
        <v>20</v>
      </c>
      <c r="B191" s="27" t="s">
        <v>21</v>
      </c>
      <c r="C191" s="27"/>
      <c r="D191" s="27"/>
      <c r="E191" s="27" t="s">
        <v>94</v>
      </c>
      <c r="F191" s="27"/>
      <c r="G191" s="27" t="s">
        <v>436</v>
      </c>
      <c r="H191" s="27" t="s">
        <v>392</v>
      </c>
      <c r="I191" s="28">
        <v>41501</v>
      </c>
      <c r="J191" s="27" t="s">
        <v>22</v>
      </c>
      <c r="K191" s="27" t="s">
        <v>23</v>
      </c>
      <c r="L191" s="29">
        <v>5</v>
      </c>
      <c r="M191" s="27" t="s">
        <v>24</v>
      </c>
      <c r="N191" s="27" t="s">
        <v>76</v>
      </c>
      <c r="O191" s="27" t="s">
        <v>98</v>
      </c>
      <c r="P191" s="28">
        <v>41500</v>
      </c>
      <c r="Q191" s="27"/>
      <c r="R191" s="27"/>
      <c r="S191" s="27" t="s">
        <v>25</v>
      </c>
    </row>
    <row r="192" spans="1:19" x14ac:dyDescent="0.2">
      <c r="A192" s="27" t="s">
        <v>20</v>
      </c>
      <c r="B192" s="27" t="s">
        <v>21</v>
      </c>
      <c r="C192" s="27"/>
      <c r="D192" s="27"/>
      <c r="E192" s="27" t="s">
        <v>94</v>
      </c>
      <c r="F192" s="27"/>
      <c r="G192" s="27" t="s">
        <v>437</v>
      </c>
      <c r="H192" s="27" t="s">
        <v>392</v>
      </c>
      <c r="I192" s="28">
        <v>41501</v>
      </c>
      <c r="J192" s="27" t="s">
        <v>22</v>
      </c>
      <c r="K192" s="27" t="s">
        <v>23</v>
      </c>
      <c r="L192" s="29">
        <v>-320</v>
      </c>
      <c r="M192" s="27" t="s">
        <v>24</v>
      </c>
      <c r="N192" s="27" t="s">
        <v>101</v>
      </c>
      <c r="O192" s="27" t="s">
        <v>98</v>
      </c>
      <c r="P192" s="28">
        <v>41500</v>
      </c>
      <c r="Q192" s="27"/>
      <c r="R192" s="27"/>
      <c r="S192" s="27" t="s">
        <v>25</v>
      </c>
    </row>
    <row r="193" spans="1:19" x14ac:dyDescent="0.2">
      <c r="A193" s="27" t="s">
        <v>20</v>
      </c>
      <c r="B193" s="27" t="s">
        <v>21</v>
      </c>
      <c r="C193" s="27"/>
      <c r="D193" s="27"/>
      <c r="E193" s="27" t="s">
        <v>94</v>
      </c>
      <c r="F193" s="27"/>
      <c r="G193" s="27" t="s">
        <v>438</v>
      </c>
      <c r="H193" s="27" t="s">
        <v>385</v>
      </c>
      <c r="I193" s="28">
        <v>41532</v>
      </c>
      <c r="J193" s="27" t="s">
        <v>31</v>
      </c>
      <c r="K193" s="27" t="s">
        <v>23</v>
      </c>
      <c r="L193" s="29">
        <v>11688.57</v>
      </c>
      <c r="M193" s="27" t="s">
        <v>24</v>
      </c>
      <c r="N193" s="27" t="s">
        <v>439</v>
      </c>
      <c r="O193" s="27" t="s">
        <v>98</v>
      </c>
      <c r="P193" s="28">
        <v>41501</v>
      </c>
      <c r="Q193" s="27"/>
      <c r="R193" s="27"/>
      <c r="S193" s="27" t="s">
        <v>25</v>
      </c>
    </row>
    <row r="194" spans="1:19" x14ac:dyDescent="0.2">
      <c r="A194" s="27" t="s">
        <v>20</v>
      </c>
      <c r="B194" s="27" t="s">
        <v>21</v>
      </c>
      <c r="C194" s="27"/>
      <c r="D194" s="27"/>
      <c r="E194" s="27" t="s">
        <v>94</v>
      </c>
      <c r="F194" s="27"/>
      <c r="G194" s="27" t="s">
        <v>440</v>
      </c>
      <c r="H194" s="27" t="s">
        <v>392</v>
      </c>
      <c r="I194" s="28">
        <v>41501</v>
      </c>
      <c r="J194" s="27" t="s">
        <v>22</v>
      </c>
      <c r="K194" s="27" t="s">
        <v>23</v>
      </c>
      <c r="L194" s="29">
        <v>-2300</v>
      </c>
      <c r="M194" s="27" t="s">
        <v>24</v>
      </c>
      <c r="N194" s="27" t="s">
        <v>76</v>
      </c>
      <c r="O194" s="27" t="s">
        <v>98</v>
      </c>
      <c r="P194" s="28">
        <v>41500</v>
      </c>
      <c r="Q194" s="27"/>
      <c r="R194" s="27"/>
      <c r="S194" s="27" t="s">
        <v>25</v>
      </c>
    </row>
    <row r="195" spans="1:19" x14ac:dyDescent="0.2">
      <c r="A195" s="30"/>
      <c r="B195" s="30"/>
      <c r="C195" s="30"/>
      <c r="D195" s="30"/>
      <c r="E195" s="30"/>
      <c r="F195" s="30"/>
      <c r="G195" s="30"/>
      <c r="H195" s="30"/>
      <c r="I195" s="31"/>
      <c r="J195" s="30"/>
      <c r="K195" s="30"/>
      <c r="L195" s="32">
        <v>-118183.43</v>
      </c>
      <c r="M195" s="30"/>
      <c r="N195" s="30"/>
      <c r="O195" s="30"/>
      <c r="P195" s="31"/>
      <c r="Q195" s="30"/>
      <c r="R195" s="30"/>
      <c r="S195" s="30"/>
    </row>
  </sheetData>
  <autoFilter ref="A1:S15"/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20" sqref="F20"/>
    </sheetView>
  </sheetViews>
  <sheetFormatPr defaultRowHeight="12.75" x14ac:dyDescent="0.2"/>
  <sheetData>
    <row r="1" spans="1:2" x14ac:dyDescent="0.2">
      <c r="A1">
        <v>1</v>
      </c>
      <c r="B1" t="s">
        <v>789</v>
      </c>
    </row>
    <row r="2" spans="1:2" x14ac:dyDescent="0.2">
      <c r="B2" t="s">
        <v>790</v>
      </c>
    </row>
    <row r="4" spans="1:2" x14ac:dyDescent="0.2">
      <c r="A4">
        <v>2</v>
      </c>
      <c r="B4" t="s">
        <v>791</v>
      </c>
    </row>
    <row r="5" spans="1:2" x14ac:dyDescent="0.2">
      <c r="B5" t="s">
        <v>792</v>
      </c>
    </row>
    <row r="7" spans="1:2" x14ac:dyDescent="0.2">
      <c r="A7">
        <v>3</v>
      </c>
      <c r="B7" t="s">
        <v>793</v>
      </c>
    </row>
    <row r="9" spans="1:2" x14ac:dyDescent="0.2">
      <c r="A9">
        <v>4</v>
      </c>
      <c r="B9" t="s">
        <v>794</v>
      </c>
    </row>
    <row r="10" spans="1:2" x14ac:dyDescent="0.2">
      <c r="B10" t="s">
        <v>795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opLeftCell="G1" workbookViewId="0">
      <selection activeCell="C44" sqref="C44"/>
    </sheetView>
  </sheetViews>
  <sheetFormatPr defaultRowHeight="12.75" x14ac:dyDescent="0.2"/>
  <cols>
    <col min="1" max="1" width="11.28515625" customWidth="1"/>
    <col min="2" max="2" width="14.5703125" customWidth="1"/>
    <col min="3" max="3" width="16.85546875" customWidth="1"/>
    <col min="4" max="4" width="20.140625" customWidth="1"/>
    <col min="5" max="5" width="11.7109375" customWidth="1"/>
    <col min="6" max="6" width="19.28515625" customWidth="1"/>
    <col min="7" max="7" width="20" customWidth="1"/>
    <col min="8" max="8" width="11.7109375" customWidth="1"/>
    <col min="9" max="9" width="14.5703125" customWidth="1"/>
    <col min="10" max="10" width="16.42578125" customWidth="1"/>
    <col min="11" max="12" width="13.140625" customWidth="1"/>
    <col min="13" max="13" width="16.5703125" customWidth="1"/>
    <col min="14" max="14" width="18" customWidth="1"/>
    <col min="15" max="15" width="19.42578125" customWidth="1"/>
    <col min="16" max="16" width="23.140625" customWidth="1"/>
    <col min="19" max="19" width="10.285156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20</v>
      </c>
      <c r="B2" t="s">
        <v>21</v>
      </c>
      <c r="E2" t="s">
        <v>94</v>
      </c>
      <c r="G2" t="s">
        <v>433</v>
      </c>
      <c r="H2" t="s">
        <v>389</v>
      </c>
      <c r="I2" s="34">
        <v>41517</v>
      </c>
      <c r="J2" t="s">
        <v>22</v>
      </c>
      <c r="K2" t="s">
        <v>23</v>
      </c>
      <c r="L2">
        <v>60</v>
      </c>
      <c r="M2" t="s">
        <v>24</v>
      </c>
      <c r="N2" t="s">
        <v>330</v>
      </c>
      <c r="O2" t="s">
        <v>98</v>
      </c>
      <c r="P2" s="34">
        <v>41517</v>
      </c>
      <c r="Q2" t="s">
        <v>223</v>
      </c>
      <c r="S2" t="s">
        <v>25</v>
      </c>
    </row>
    <row r="3" spans="1:19" x14ac:dyDescent="0.2">
      <c r="A3" t="s">
        <v>20</v>
      </c>
      <c r="B3" t="s">
        <v>21</v>
      </c>
      <c r="E3" t="s">
        <v>94</v>
      </c>
      <c r="G3" t="s">
        <v>433</v>
      </c>
      <c r="H3" t="s">
        <v>392</v>
      </c>
      <c r="I3" s="34">
        <v>41517</v>
      </c>
      <c r="J3" t="s">
        <v>22</v>
      </c>
      <c r="K3" t="s">
        <v>23</v>
      </c>
      <c r="L3">
        <v>60</v>
      </c>
      <c r="M3" t="s">
        <v>24</v>
      </c>
      <c r="N3" t="s">
        <v>330</v>
      </c>
      <c r="O3" t="s">
        <v>98</v>
      </c>
      <c r="P3" s="34">
        <v>41517</v>
      </c>
      <c r="Q3" t="s">
        <v>223</v>
      </c>
      <c r="S3" t="s">
        <v>25</v>
      </c>
    </row>
    <row r="4" spans="1:19" x14ac:dyDescent="0.2">
      <c r="A4" t="s">
        <v>20</v>
      </c>
      <c r="B4" t="s">
        <v>21</v>
      </c>
      <c r="E4" t="s">
        <v>94</v>
      </c>
      <c r="G4" t="s">
        <v>431</v>
      </c>
      <c r="H4" t="s">
        <v>389</v>
      </c>
      <c r="I4" s="34">
        <v>41517</v>
      </c>
      <c r="J4" t="s">
        <v>22</v>
      </c>
      <c r="K4" t="s">
        <v>23</v>
      </c>
      <c r="L4">
        <v>2.6</v>
      </c>
      <c r="M4" t="s">
        <v>24</v>
      </c>
      <c r="N4" t="s">
        <v>330</v>
      </c>
      <c r="O4" t="s">
        <v>98</v>
      </c>
      <c r="P4" s="34">
        <v>41517</v>
      </c>
      <c r="Q4" t="s">
        <v>432</v>
      </c>
      <c r="S4" t="s">
        <v>25</v>
      </c>
    </row>
    <row r="5" spans="1:19" x14ac:dyDescent="0.2">
      <c r="A5" t="s">
        <v>20</v>
      </c>
      <c r="B5" t="s">
        <v>21</v>
      </c>
      <c r="E5" t="s">
        <v>94</v>
      </c>
      <c r="G5" t="s">
        <v>95</v>
      </c>
      <c r="H5" t="s">
        <v>334</v>
      </c>
      <c r="I5" s="34">
        <v>41517</v>
      </c>
      <c r="J5" t="s">
        <v>22</v>
      </c>
      <c r="K5" t="s">
        <v>23</v>
      </c>
      <c r="L5">
        <v>95</v>
      </c>
      <c r="M5" t="s">
        <v>24</v>
      </c>
      <c r="N5" t="s">
        <v>330</v>
      </c>
      <c r="O5" t="s">
        <v>98</v>
      </c>
      <c r="P5" s="34">
        <v>41517</v>
      </c>
      <c r="Q5" t="s">
        <v>335</v>
      </c>
      <c r="S5" t="s">
        <v>25</v>
      </c>
    </row>
    <row r="6" spans="1:19" x14ac:dyDescent="0.2">
      <c r="A6" t="s">
        <v>20</v>
      </c>
      <c r="B6" t="s">
        <v>21</v>
      </c>
      <c r="E6" t="s">
        <v>94</v>
      </c>
      <c r="G6" t="s">
        <v>95</v>
      </c>
      <c r="H6" t="s">
        <v>332</v>
      </c>
      <c r="I6" s="34">
        <v>41517</v>
      </c>
      <c r="J6" t="s">
        <v>22</v>
      </c>
      <c r="K6" t="s">
        <v>23</v>
      </c>
      <c r="L6">
        <v>1557.5</v>
      </c>
      <c r="M6" t="s">
        <v>24</v>
      </c>
      <c r="N6" t="s">
        <v>330</v>
      </c>
      <c r="O6" t="s">
        <v>98</v>
      </c>
      <c r="P6" s="34">
        <v>41517</v>
      </c>
      <c r="Q6" t="s">
        <v>333</v>
      </c>
      <c r="S6" t="s">
        <v>25</v>
      </c>
    </row>
    <row r="7" spans="1:19" x14ac:dyDescent="0.2">
      <c r="A7" t="s">
        <v>20</v>
      </c>
      <c r="B7" t="s">
        <v>21</v>
      </c>
      <c r="E7" t="s">
        <v>94</v>
      </c>
      <c r="G7" t="s">
        <v>95</v>
      </c>
      <c r="H7" t="s">
        <v>329</v>
      </c>
      <c r="I7" s="34">
        <v>41517</v>
      </c>
      <c r="J7" t="s">
        <v>22</v>
      </c>
      <c r="K7" t="s">
        <v>23</v>
      </c>
      <c r="L7">
        <v>12045</v>
      </c>
      <c r="M7" t="s">
        <v>24</v>
      </c>
      <c r="N7" t="s">
        <v>330</v>
      </c>
      <c r="O7" t="s">
        <v>98</v>
      </c>
      <c r="P7" s="34">
        <v>41517</v>
      </c>
      <c r="Q7" t="s">
        <v>331</v>
      </c>
      <c r="S7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Statement</vt:lpstr>
      <vt:lpstr>Physical Backup</vt:lpstr>
      <vt:lpstr>DataPivot</vt:lpstr>
      <vt:lpstr>Data</vt:lpstr>
      <vt:lpstr>Notes</vt:lpstr>
      <vt:lpstr>Marketing 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Damon</dc:creator>
  <cp:lastModifiedBy>Anthony Ross</cp:lastModifiedBy>
  <cp:lastPrinted>2013-10-03T15:13:11Z</cp:lastPrinted>
  <dcterms:created xsi:type="dcterms:W3CDTF">2013-08-23T17:33:29Z</dcterms:created>
  <dcterms:modified xsi:type="dcterms:W3CDTF">2013-11-08T19:02:29Z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ATO_Statement_201307.xlsx</vt:lpwstr>
  </property>
  <property fmtid="{D5CDD505-2E9C-101B-9397-08002B2CF9AE}" pid="3" name="SV_QUERY_LIST_4F35BF76-6C0D-4D9B-82B2-816C12CF3733">
    <vt:lpwstr>empty_477D106A-C0D6-4607-AEBD-E2C9D60EA279</vt:lpwstr>
  </property>
</Properties>
</file>