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7235" windowHeight="6210"/>
  </bookViews>
  <sheets>
    <sheet name="MonthlyPhy_Varese_131981" sheetId="1" r:id="rId1"/>
  </sheets>
  <calcPr calcId="125725"/>
</workbook>
</file>

<file path=xl/calcChain.xml><?xml version="1.0" encoding="utf-8"?>
<calcChain xmlns="http://schemas.openxmlformats.org/spreadsheetml/2006/main">
  <c r="AY8" i="1"/>
  <c r="I10" l="1"/>
  <c r="J10"/>
  <c r="P10"/>
  <c r="R10"/>
  <c r="U10"/>
  <c r="V10"/>
  <c r="W10"/>
  <c r="AI10"/>
  <c r="AJ10"/>
  <c r="AN10"/>
  <c r="AO10"/>
  <c r="AQ10"/>
  <c r="I11"/>
  <c r="J11"/>
  <c r="P11"/>
  <c r="R11"/>
  <c r="U11"/>
  <c r="V11"/>
  <c r="W11"/>
  <c r="AI11"/>
  <c r="AJ11"/>
  <c r="AN11"/>
  <c r="AO11"/>
  <c r="AQ11"/>
  <c r="I12"/>
  <c r="J12"/>
  <c r="P12"/>
  <c r="R12"/>
  <c r="U12"/>
  <c r="V12"/>
  <c r="W12"/>
  <c r="AI12"/>
  <c r="AJ12"/>
  <c r="AN12"/>
  <c r="AO12"/>
  <c r="AQ12"/>
  <c r="I13"/>
  <c r="J13"/>
  <c r="P13"/>
  <c r="R13"/>
  <c r="U13"/>
  <c r="V13"/>
  <c r="W13"/>
  <c r="AI13"/>
  <c r="AJ13"/>
  <c r="AN13"/>
  <c r="AO13"/>
  <c r="AQ13"/>
  <c r="I14"/>
  <c r="J14"/>
  <c r="P14"/>
  <c r="R14"/>
  <c r="U14"/>
  <c r="V14"/>
  <c r="W14"/>
  <c r="AI14"/>
  <c r="AJ14"/>
  <c r="AN14"/>
  <c r="AO14"/>
  <c r="AQ14"/>
  <c r="I15"/>
  <c r="J15"/>
  <c r="P15"/>
  <c r="R15"/>
  <c r="U15"/>
  <c r="V15"/>
  <c r="W15"/>
  <c r="AI15"/>
  <c r="AJ15"/>
  <c r="AN15"/>
  <c r="AO15"/>
  <c r="AQ15"/>
  <c r="I16"/>
  <c r="J16"/>
  <c r="P16"/>
  <c r="R16"/>
  <c r="U16"/>
  <c r="V16"/>
  <c r="W16"/>
  <c r="AI16"/>
  <c r="AJ16"/>
  <c r="AN16"/>
  <c r="AO16"/>
  <c r="AQ16"/>
  <c r="I17"/>
  <c r="J17"/>
  <c r="P17"/>
  <c r="R17"/>
  <c r="U17"/>
  <c r="V17"/>
  <c r="W17"/>
  <c r="AI17"/>
  <c r="AJ17"/>
  <c r="AN17"/>
  <c r="AO17"/>
  <c r="AQ17"/>
  <c r="I18"/>
  <c r="J18"/>
  <c r="P18"/>
  <c r="R18"/>
  <c r="U18"/>
  <c r="V18"/>
  <c r="W18"/>
  <c r="AI18"/>
  <c r="AJ18"/>
  <c r="AN18"/>
  <c r="AO18"/>
  <c r="AQ18"/>
  <c r="I19"/>
  <c r="J19"/>
  <c r="P19"/>
  <c r="R19"/>
  <c r="U19"/>
  <c r="V19"/>
  <c r="W19"/>
  <c r="AI19"/>
  <c r="AJ19"/>
  <c r="AN19"/>
  <c r="AO19"/>
  <c r="AQ19"/>
  <c r="I20"/>
  <c r="J20"/>
  <c r="P20"/>
  <c r="R20"/>
  <c r="U20"/>
  <c r="V20"/>
  <c r="W20"/>
  <c r="AI20"/>
  <c r="AJ20"/>
  <c r="AN20"/>
  <c r="AO20"/>
  <c r="AQ20"/>
  <c r="I21"/>
  <c r="J21"/>
  <c r="P21"/>
  <c r="R21"/>
  <c r="U21"/>
  <c r="V21"/>
  <c r="W21"/>
  <c r="AI21"/>
  <c r="AJ21"/>
  <c r="AN21"/>
  <c r="AO21"/>
  <c r="AQ21"/>
  <c r="I22"/>
  <c r="J22"/>
  <c r="P22"/>
  <c r="R22"/>
  <c r="U22"/>
  <c r="V22"/>
  <c r="W22"/>
  <c r="AI22"/>
  <c r="AJ22"/>
  <c r="AN22"/>
  <c r="AO22"/>
  <c r="AQ22"/>
  <c r="I23"/>
  <c r="J23"/>
  <c r="P23"/>
  <c r="R23"/>
  <c r="U23"/>
  <c r="V23"/>
  <c r="W23"/>
  <c r="AJ23"/>
  <c r="AO23"/>
  <c r="AQ23"/>
  <c r="I24"/>
  <c r="J24"/>
  <c r="P24"/>
  <c r="R24"/>
  <c r="U24"/>
  <c r="V24"/>
  <c r="W24"/>
  <c r="AJ24"/>
  <c r="AN24"/>
  <c r="AO24"/>
  <c r="AQ24"/>
  <c r="I25"/>
  <c r="J25"/>
  <c r="P25"/>
  <c r="R25"/>
  <c r="U25"/>
  <c r="V25"/>
  <c r="W25"/>
  <c r="AI25"/>
  <c r="AJ25"/>
  <c r="AN25"/>
  <c r="AO25"/>
  <c r="AQ25"/>
  <c r="I26"/>
  <c r="J26"/>
  <c r="P26"/>
  <c r="R26"/>
  <c r="U26"/>
  <c r="V26"/>
  <c r="W26"/>
  <c r="AI26"/>
  <c r="AJ26"/>
  <c r="AN26"/>
  <c r="AO26"/>
  <c r="AQ26"/>
  <c r="I27"/>
  <c r="J27"/>
  <c r="P27"/>
  <c r="R27"/>
  <c r="U27"/>
  <c r="V27"/>
  <c r="W27"/>
  <c r="AI27"/>
  <c r="AJ27"/>
  <c r="AN27"/>
  <c r="AO27"/>
  <c r="AQ27"/>
  <c r="I28"/>
  <c r="J28"/>
  <c r="P28"/>
  <c r="R28"/>
  <c r="U28"/>
  <c r="V28"/>
  <c r="W28"/>
  <c r="AI28"/>
  <c r="AJ28"/>
  <c r="AN28"/>
  <c r="AO28"/>
  <c r="AQ28"/>
  <c r="I29"/>
  <c r="J29"/>
  <c r="P29"/>
  <c r="R29"/>
  <c r="U29"/>
  <c r="V29"/>
  <c r="W29"/>
  <c r="AI29"/>
  <c r="AJ29"/>
  <c r="AN29"/>
  <c r="AO29"/>
  <c r="AQ29"/>
  <c r="I30"/>
  <c r="J30"/>
  <c r="P30"/>
  <c r="R30"/>
  <c r="U30"/>
  <c r="V30"/>
  <c r="W30"/>
  <c r="AJ30"/>
  <c r="AN30"/>
  <c r="AO30"/>
  <c r="AQ30"/>
  <c r="I31"/>
  <c r="J31"/>
  <c r="P31"/>
  <c r="R31"/>
  <c r="U31"/>
  <c r="V31"/>
  <c r="W31"/>
  <c r="AJ31"/>
  <c r="AN31"/>
  <c r="AO31"/>
  <c r="AQ31"/>
  <c r="I32"/>
  <c r="J32"/>
  <c r="P32"/>
  <c r="R32"/>
  <c r="U32"/>
  <c r="V32"/>
  <c r="W32"/>
  <c r="AI32"/>
  <c r="AJ32"/>
  <c r="AN32"/>
  <c r="AO32"/>
  <c r="AQ32"/>
  <c r="I33"/>
  <c r="J33"/>
  <c r="P33"/>
  <c r="R33"/>
  <c r="U33"/>
  <c r="V33"/>
  <c r="W33"/>
  <c r="AI33"/>
  <c r="AJ33"/>
  <c r="AN33"/>
  <c r="AO33"/>
  <c r="AQ33"/>
  <c r="I34"/>
  <c r="J34"/>
  <c r="P34"/>
  <c r="R34"/>
  <c r="U34"/>
  <c r="V34"/>
  <c r="W34"/>
  <c r="AI34"/>
  <c r="AJ34"/>
  <c r="AN34"/>
  <c r="AO34"/>
  <c r="AQ34"/>
  <c r="I35"/>
  <c r="J35"/>
  <c r="P35"/>
  <c r="R35"/>
  <c r="U35"/>
  <c r="V35"/>
  <c r="W35"/>
  <c r="AI35"/>
  <c r="AJ35"/>
  <c r="AN35"/>
  <c r="AO35"/>
  <c r="AQ35"/>
  <c r="I36"/>
  <c r="J36"/>
  <c r="P36"/>
  <c r="R36"/>
  <c r="U36"/>
  <c r="V36"/>
  <c r="W36"/>
  <c r="AJ36"/>
  <c r="AN36"/>
  <c r="AO36"/>
  <c r="AQ36"/>
  <c r="I37"/>
  <c r="J37"/>
  <c r="P37"/>
  <c r="R37"/>
  <c r="U37"/>
  <c r="V37"/>
  <c r="W37"/>
  <c r="AI37"/>
  <c r="AJ37"/>
  <c r="AN37"/>
  <c r="AO37"/>
  <c r="AQ37"/>
  <c r="I38"/>
  <c r="J38"/>
  <c r="P38"/>
  <c r="R38"/>
  <c r="U38"/>
  <c r="V38"/>
  <c r="W38"/>
  <c r="AJ38"/>
  <c r="AN38"/>
  <c r="AO38"/>
  <c r="AQ38"/>
  <c r="I39"/>
  <c r="J39"/>
  <c r="P39"/>
  <c r="R39"/>
  <c r="U39"/>
  <c r="V39"/>
  <c r="W39"/>
  <c r="AJ39"/>
  <c r="AN39"/>
  <c r="AO39"/>
  <c r="AQ39"/>
  <c r="I40"/>
  <c r="J40"/>
  <c r="P40"/>
  <c r="R40"/>
  <c r="U40"/>
  <c r="V40"/>
  <c r="W40"/>
  <c r="AI40"/>
  <c r="AJ40"/>
  <c r="AN40"/>
  <c r="AO40"/>
  <c r="AQ40"/>
  <c r="I41"/>
  <c r="J41"/>
  <c r="P41"/>
  <c r="R41"/>
  <c r="U41"/>
  <c r="V41"/>
  <c r="W41"/>
  <c r="AI41"/>
  <c r="AJ41"/>
  <c r="AN41"/>
  <c r="AO41"/>
  <c r="AQ41"/>
  <c r="I42"/>
  <c r="J42"/>
  <c r="P42"/>
  <c r="R42"/>
  <c r="U42"/>
  <c r="V42"/>
  <c r="W42"/>
  <c r="AI42"/>
  <c r="AJ42"/>
  <c r="AN42"/>
  <c r="AO42"/>
  <c r="AQ42"/>
  <c r="I43"/>
  <c r="J43"/>
  <c r="P43"/>
  <c r="R43"/>
  <c r="U43"/>
  <c r="V43"/>
  <c r="W43"/>
  <c r="AI43"/>
  <c r="AJ43"/>
  <c r="AN43"/>
  <c r="AO43"/>
  <c r="AQ43"/>
  <c r="I44"/>
  <c r="J44"/>
  <c r="P44"/>
  <c r="R44"/>
  <c r="U44"/>
  <c r="V44"/>
  <c r="W44"/>
  <c r="AI44"/>
  <c r="AJ44"/>
  <c r="AO44"/>
  <c r="AQ44"/>
  <c r="I45"/>
  <c r="J45"/>
  <c r="P45"/>
  <c r="R45"/>
  <c r="U45"/>
  <c r="V45"/>
  <c r="W45"/>
  <c r="AI45"/>
  <c r="AJ45"/>
  <c r="AO45"/>
  <c r="AQ45"/>
  <c r="I46"/>
  <c r="J46"/>
  <c r="P46"/>
  <c r="R46"/>
  <c r="U46"/>
  <c r="V46"/>
  <c r="W46"/>
  <c r="AI46"/>
  <c r="AJ46"/>
  <c r="AN46"/>
  <c r="AO46"/>
  <c r="AQ46"/>
  <c r="I47"/>
  <c r="J47"/>
  <c r="P47"/>
  <c r="R47"/>
  <c r="U47"/>
  <c r="V47"/>
  <c r="W47"/>
  <c r="AI47"/>
  <c r="AJ47"/>
  <c r="AN47"/>
  <c r="AO47"/>
  <c r="AQ47"/>
  <c r="I48"/>
  <c r="J48"/>
  <c r="P48"/>
  <c r="R48"/>
  <c r="U48"/>
  <c r="V48"/>
  <c r="W48"/>
  <c r="AI48"/>
  <c r="AJ48"/>
  <c r="AN48"/>
  <c r="AO48"/>
  <c r="AQ48"/>
  <c r="I49"/>
  <c r="J49"/>
  <c r="P49"/>
  <c r="R49"/>
  <c r="U49"/>
  <c r="V49"/>
  <c r="W49"/>
  <c r="AI49"/>
  <c r="AJ49"/>
  <c r="AN49"/>
  <c r="AO49"/>
  <c r="AQ49"/>
  <c r="I50"/>
  <c r="J50"/>
  <c r="P50"/>
  <c r="R50"/>
  <c r="U50"/>
  <c r="V50"/>
  <c r="W50"/>
  <c r="AI50"/>
  <c r="AJ50"/>
  <c r="AN50"/>
  <c r="AO50"/>
  <c r="AQ50"/>
  <c r="I51"/>
  <c r="J51"/>
  <c r="P51"/>
  <c r="R51"/>
  <c r="U51"/>
  <c r="V51"/>
  <c r="W51"/>
  <c r="AI51"/>
  <c r="AJ51"/>
  <c r="AN51"/>
  <c r="AO51"/>
  <c r="AQ51"/>
  <c r="I52"/>
  <c r="J52"/>
  <c r="P52"/>
  <c r="R52"/>
  <c r="U52"/>
  <c r="V52"/>
  <c r="W52"/>
  <c r="AI52"/>
  <c r="AJ52"/>
  <c r="AN52"/>
  <c r="AO52"/>
  <c r="AQ52"/>
  <c r="I53"/>
  <c r="J53"/>
  <c r="P53"/>
  <c r="R53"/>
  <c r="U53"/>
  <c r="V53"/>
  <c r="W53"/>
  <c r="AI53"/>
  <c r="AJ53"/>
  <c r="AN53"/>
  <c r="AO53"/>
  <c r="AQ53"/>
  <c r="I54"/>
  <c r="J54"/>
  <c r="P54"/>
  <c r="R54"/>
  <c r="U54"/>
  <c r="V54"/>
  <c r="W54"/>
  <c r="AI54"/>
  <c r="AJ54"/>
  <c r="AN54"/>
  <c r="AO54"/>
  <c r="AQ54"/>
  <c r="I55"/>
  <c r="J55"/>
  <c r="P55"/>
  <c r="R55"/>
  <c r="U55"/>
  <c r="V55"/>
  <c r="W55"/>
  <c r="AI55"/>
  <c r="AJ55"/>
  <c r="AN55"/>
  <c r="AO55"/>
  <c r="AQ55"/>
  <c r="I56"/>
  <c r="J56"/>
  <c r="P56"/>
  <c r="R56"/>
  <c r="U56"/>
  <c r="V56"/>
  <c r="W56"/>
  <c r="AJ56"/>
  <c r="AN56"/>
  <c r="AO56"/>
  <c r="AQ56"/>
  <c r="I57"/>
  <c r="J57"/>
  <c r="P57"/>
  <c r="R57"/>
  <c r="U57"/>
  <c r="V57"/>
  <c r="W57"/>
  <c r="AJ57"/>
  <c r="AN57"/>
  <c r="AO57"/>
  <c r="AQ57"/>
  <c r="I58"/>
  <c r="J58"/>
  <c r="P58"/>
  <c r="R58"/>
  <c r="U58"/>
  <c r="V58"/>
  <c r="W58"/>
  <c r="AI58"/>
  <c r="AJ58"/>
  <c r="AN58"/>
  <c r="AO58"/>
  <c r="AQ58"/>
  <c r="I59"/>
  <c r="J59"/>
  <c r="P59"/>
  <c r="R59"/>
  <c r="U59"/>
  <c r="V59"/>
  <c r="W59"/>
  <c r="AJ59"/>
  <c r="AN59"/>
  <c r="AO59"/>
  <c r="AQ59"/>
  <c r="I60"/>
  <c r="J60"/>
  <c r="P60"/>
  <c r="R60"/>
  <c r="U60"/>
  <c r="V60"/>
  <c r="W60"/>
  <c r="AJ60"/>
  <c r="AN60"/>
  <c r="AO60"/>
  <c r="AQ60"/>
  <c r="I61"/>
  <c r="J61"/>
  <c r="P61"/>
  <c r="R61"/>
  <c r="U61"/>
  <c r="V61"/>
  <c r="W61"/>
  <c r="AJ61"/>
  <c r="AN61"/>
  <c r="AO61"/>
  <c r="AQ61"/>
  <c r="I62"/>
  <c r="J62"/>
  <c r="P62"/>
  <c r="R62"/>
  <c r="U62"/>
  <c r="V62"/>
  <c r="W62"/>
  <c r="AI62"/>
  <c r="AJ62"/>
  <c r="AN62"/>
  <c r="AO62"/>
  <c r="AQ62"/>
  <c r="I63"/>
  <c r="J63"/>
  <c r="P63"/>
  <c r="R63"/>
  <c r="U63"/>
  <c r="V63"/>
  <c r="W63"/>
  <c r="AI63"/>
  <c r="AJ63"/>
  <c r="AN63"/>
  <c r="AO63"/>
  <c r="AQ63"/>
  <c r="I64"/>
  <c r="J64"/>
  <c r="P64"/>
  <c r="R64"/>
  <c r="U64"/>
  <c r="V64"/>
  <c r="W64"/>
  <c r="AI64"/>
  <c r="AJ64"/>
  <c r="AN64"/>
  <c r="AO64"/>
  <c r="AQ64"/>
  <c r="I65"/>
  <c r="J65"/>
  <c r="P65"/>
  <c r="R65"/>
  <c r="U65"/>
  <c r="V65"/>
  <c r="W65"/>
  <c r="AI65"/>
  <c r="AJ65"/>
  <c r="AN65"/>
  <c r="AO65"/>
  <c r="AQ65"/>
  <c r="I66"/>
  <c r="J66"/>
  <c r="P66"/>
  <c r="R66"/>
  <c r="U66"/>
  <c r="V66"/>
  <c r="W66"/>
  <c r="AJ66"/>
  <c r="AN66"/>
  <c r="AO66"/>
  <c r="AQ66"/>
  <c r="I67"/>
  <c r="J67"/>
  <c r="P67"/>
  <c r="R67"/>
  <c r="U67"/>
  <c r="V67"/>
  <c r="W67"/>
  <c r="AI67"/>
  <c r="AJ67"/>
  <c r="AN67"/>
  <c r="AO67"/>
  <c r="AQ67"/>
  <c r="I68"/>
  <c r="J68"/>
  <c r="P68"/>
  <c r="R68"/>
  <c r="U68"/>
  <c r="V68"/>
  <c r="W68"/>
  <c r="AI68"/>
  <c r="AJ68"/>
  <c r="AN68"/>
  <c r="AO68"/>
  <c r="AQ68"/>
  <c r="I69"/>
  <c r="J69"/>
  <c r="P69"/>
  <c r="R69"/>
  <c r="U69"/>
  <c r="V69"/>
  <c r="W69"/>
  <c r="AI69"/>
  <c r="AJ69"/>
  <c r="AN69"/>
  <c r="AO69"/>
  <c r="AQ69"/>
  <c r="I70"/>
  <c r="J70"/>
  <c r="P70"/>
  <c r="R70"/>
  <c r="U70"/>
  <c r="V70"/>
  <c r="W70"/>
  <c r="AI70"/>
  <c r="AJ70"/>
  <c r="AN70"/>
  <c r="AO70"/>
  <c r="AQ70"/>
  <c r="I71"/>
  <c r="J71"/>
  <c r="P71"/>
  <c r="R71"/>
  <c r="U71"/>
  <c r="V71"/>
  <c r="W71"/>
  <c r="AI71"/>
  <c r="AJ71"/>
  <c r="AN71"/>
  <c r="AO71"/>
  <c r="AQ71"/>
  <c r="I72"/>
  <c r="J72"/>
  <c r="P72"/>
  <c r="R72"/>
  <c r="U72"/>
  <c r="V72"/>
  <c r="W72"/>
  <c r="AI72"/>
  <c r="AJ72"/>
  <c r="AN72"/>
  <c r="AO72"/>
  <c r="AQ72"/>
  <c r="I73"/>
  <c r="J73"/>
  <c r="P73"/>
  <c r="R73"/>
  <c r="U73"/>
  <c r="V73"/>
  <c r="W73"/>
  <c r="AI73"/>
  <c r="AJ73"/>
  <c r="AN73"/>
  <c r="AO73"/>
  <c r="AQ73"/>
  <c r="I74"/>
  <c r="J74"/>
  <c r="P74"/>
  <c r="R74"/>
  <c r="U74"/>
  <c r="V74"/>
  <c r="W74"/>
  <c r="AI74"/>
  <c r="AJ74"/>
  <c r="AN74"/>
  <c r="AO74"/>
  <c r="AQ74"/>
  <c r="I75"/>
  <c r="J75"/>
  <c r="P75"/>
  <c r="R75"/>
  <c r="U75"/>
  <c r="V75"/>
  <c r="W75"/>
  <c r="AJ75"/>
  <c r="AN75"/>
  <c r="AO75"/>
  <c r="AQ75"/>
  <c r="I76"/>
  <c r="J76"/>
  <c r="P76"/>
  <c r="R76"/>
  <c r="U76"/>
  <c r="V76"/>
  <c r="W76"/>
  <c r="AI76"/>
  <c r="AJ76"/>
  <c r="AN76"/>
  <c r="AO76"/>
  <c r="AQ76"/>
  <c r="I77"/>
  <c r="J77"/>
  <c r="P77"/>
  <c r="R77"/>
  <c r="U77"/>
  <c r="V77"/>
  <c r="W77"/>
  <c r="AJ77"/>
  <c r="AN77"/>
  <c r="AO77"/>
  <c r="AQ77"/>
  <c r="I78"/>
  <c r="J78"/>
  <c r="R78"/>
  <c r="V78"/>
  <c r="W78"/>
  <c r="AI78"/>
  <c r="AJ78"/>
  <c r="AN78"/>
  <c r="AO78"/>
  <c r="AQ78"/>
  <c r="I79"/>
  <c r="J79"/>
  <c r="P79"/>
  <c r="R79"/>
  <c r="U79"/>
  <c r="V79"/>
  <c r="W79"/>
  <c r="AI79"/>
  <c r="AJ79"/>
  <c r="AN79"/>
  <c r="AO79"/>
  <c r="AQ79"/>
  <c r="I80"/>
  <c r="J80"/>
  <c r="P80"/>
  <c r="R80"/>
  <c r="U80"/>
  <c r="V80"/>
  <c r="W80"/>
  <c r="AI80"/>
  <c r="AJ80"/>
  <c r="AN80"/>
  <c r="AO80"/>
  <c r="AQ80"/>
  <c r="I81"/>
  <c r="J81"/>
  <c r="P81"/>
  <c r="R81"/>
  <c r="U81"/>
  <c r="V81"/>
  <c r="W81"/>
  <c r="AJ81"/>
  <c r="AO81"/>
  <c r="AQ81"/>
  <c r="I82"/>
  <c r="J82"/>
  <c r="P82"/>
  <c r="R82"/>
  <c r="U82"/>
  <c r="V82"/>
  <c r="W82"/>
  <c r="AJ82"/>
  <c r="AN82"/>
  <c r="AO82"/>
  <c r="AQ82"/>
  <c r="I83"/>
  <c r="J83"/>
  <c r="P83"/>
  <c r="R83"/>
  <c r="U83"/>
  <c r="V83"/>
  <c r="W83"/>
  <c r="AI83"/>
  <c r="AJ83"/>
  <c r="AN83"/>
  <c r="AO83"/>
  <c r="AQ83"/>
  <c r="I84"/>
  <c r="J84"/>
  <c r="P84"/>
  <c r="R84"/>
  <c r="U84"/>
  <c r="V84"/>
  <c r="W84"/>
  <c r="AI84"/>
  <c r="AJ84"/>
  <c r="AN84"/>
  <c r="AO84"/>
  <c r="AQ84"/>
  <c r="I85"/>
  <c r="J85"/>
  <c r="P85"/>
  <c r="R85"/>
  <c r="U85"/>
  <c r="V85"/>
  <c r="W85"/>
  <c r="AJ85"/>
  <c r="AN85"/>
  <c r="AO85"/>
  <c r="AQ85"/>
  <c r="I86"/>
  <c r="J86"/>
  <c r="P86"/>
  <c r="R86"/>
  <c r="U86"/>
  <c r="V86"/>
  <c r="W86"/>
  <c r="AI86"/>
  <c r="AJ86"/>
  <c r="AN86"/>
  <c r="AO86"/>
  <c r="AQ86"/>
  <c r="I87"/>
  <c r="J87"/>
  <c r="P87"/>
  <c r="R87"/>
  <c r="U87"/>
  <c r="V87"/>
  <c r="W87"/>
  <c r="AI87"/>
  <c r="AJ87"/>
  <c r="AN87"/>
  <c r="AO87"/>
  <c r="AQ87"/>
  <c r="I88"/>
  <c r="J88"/>
  <c r="P88"/>
  <c r="R88"/>
  <c r="U88"/>
  <c r="V88"/>
  <c r="W88"/>
  <c r="AI88"/>
  <c r="AJ88"/>
  <c r="AN88"/>
  <c r="AO88"/>
  <c r="AQ88"/>
  <c r="I89"/>
  <c r="J89"/>
  <c r="P89"/>
  <c r="R89"/>
  <c r="U89"/>
  <c r="V89"/>
  <c r="W89"/>
  <c r="AI89"/>
  <c r="AJ89"/>
  <c r="AN89"/>
  <c r="AO89"/>
  <c r="AQ89"/>
  <c r="I90"/>
  <c r="J90"/>
  <c r="P90"/>
  <c r="R90"/>
  <c r="U90"/>
  <c r="V90"/>
  <c r="W90"/>
  <c r="AI90"/>
  <c r="AJ90"/>
  <c r="AN90"/>
  <c r="AO90"/>
  <c r="AQ90"/>
  <c r="I91"/>
  <c r="J91"/>
  <c r="P91"/>
  <c r="R91"/>
  <c r="U91"/>
  <c r="V91"/>
  <c r="W91"/>
  <c r="AI91"/>
  <c r="AJ91"/>
  <c r="AN91"/>
  <c r="AO91"/>
  <c r="AQ91"/>
  <c r="I92"/>
  <c r="J92"/>
  <c r="P92"/>
  <c r="R92"/>
  <c r="U92"/>
  <c r="V92"/>
  <c r="W92"/>
  <c r="AI92"/>
  <c r="AJ92"/>
  <c r="AN92"/>
  <c r="AO92"/>
  <c r="AQ92"/>
  <c r="I93"/>
  <c r="J93"/>
  <c r="P93"/>
  <c r="R93"/>
  <c r="U93"/>
  <c r="V93"/>
  <c r="W93"/>
  <c r="AI93"/>
  <c r="AJ93"/>
  <c r="AN93"/>
  <c r="AO93"/>
  <c r="AQ93"/>
  <c r="I94"/>
  <c r="J94"/>
  <c r="P94"/>
  <c r="R94"/>
  <c r="U94"/>
  <c r="V94"/>
  <c r="W94"/>
  <c r="AI94"/>
  <c r="AJ94"/>
  <c r="AN94"/>
  <c r="AO94"/>
  <c r="AQ94"/>
  <c r="I95"/>
  <c r="J95"/>
  <c r="P95"/>
  <c r="R95"/>
  <c r="U95"/>
  <c r="V95"/>
  <c r="W95"/>
  <c r="AI95"/>
  <c r="AJ95"/>
  <c r="AN95"/>
  <c r="AO95"/>
  <c r="AQ95"/>
  <c r="I96"/>
  <c r="J96"/>
  <c r="P96"/>
  <c r="R96"/>
  <c r="U96"/>
  <c r="V96"/>
  <c r="W96"/>
  <c r="AI96"/>
  <c r="AJ96"/>
  <c r="AN96"/>
  <c r="AO96"/>
  <c r="AQ96"/>
  <c r="I97"/>
  <c r="J97"/>
  <c r="P97"/>
  <c r="R97"/>
  <c r="U97"/>
  <c r="V97"/>
  <c r="W97"/>
  <c r="AI97"/>
  <c r="AJ97"/>
  <c r="AN97"/>
  <c r="AO97"/>
  <c r="AQ97"/>
  <c r="I98"/>
  <c r="J98"/>
  <c r="P98"/>
  <c r="R98"/>
  <c r="U98"/>
  <c r="V98"/>
  <c r="W98"/>
  <c r="AI98"/>
  <c r="AJ98"/>
  <c r="AN98"/>
  <c r="AO98"/>
  <c r="AQ98"/>
  <c r="I99"/>
  <c r="J99"/>
  <c r="P99"/>
  <c r="R99"/>
  <c r="U99"/>
  <c r="V99"/>
  <c r="W99"/>
  <c r="AI99"/>
  <c r="AJ99"/>
  <c r="AN99"/>
  <c r="AO99"/>
  <c r="AQ99"/>
  <c r="I100"/>
  <c r="J100"/>
  <c r="P100"/>
  <c r="R100"/>
  <c r="U100"/>
  <c r="V100"/>
  <c r="W100"/>
  <c r="AI100"/>
  <c r="AJ100"/>
  <c r="AN100"/>
  <c r="AO100"/>
  <c r="AQ100"/>
  <c r="I101"/>
  <c r="J101"/>
  <c r="P101"/>
  <c r="R101"/>
  <c r="U101"/>
  <c r="V101"/>
  <c r="W101"/>
  <c r="AI101"/>
  <c r="AJ101"/>
  <c r="AN101"/>
  <c r="AO101"/>
  <c r="AQ101"/>
  <c r="I102"/>
  <c r="J102"/>
  <c r="P102"/>
  <c r="R102"/>
  <c r="U102"/>
  <c r="V102"/>
  <c r="W102"/>
  <c r="AI102"/>
  <c r="AJ102"/>
  <c r="AN102"/>
  <c r="AO102"/>
  <c r="AQ102"/>
  <c r="I103"/>
  <c r="J103"/>
  <c r="P103"/>
  <c r="R103"/>
  <c r="U103"/>
  <c r="V103"/>
  <c r="W103"/>
  <c r="AJ103"/>
  <c r="AN103"/>
  <c r="AO103"/>
  <c r="AQ103"/>
  <c r="I104"/>
  <c r="J104"/>
  <c r="P104"/>
  <c r="R104"/>
  <c r="U104"/>
  <c r="V104"/>
  <c r="W104"/>
  <c r="AI104"/>
  <c r="AJ104"/>
  <c r="AN104"/>
  <c r="AO104"/>
  <c r="AQ104"/>
  <c r="I105"/>
  <c r="J105"/>
  <c r="P105"/>
  <c r="R105"/>
  <c r="U105"/>
  <c r="V105"/>
  <c r="W105"/>
  <c r="AI105"/>
  <c r="AJ105"/>
  <c r="AN105"/>
  <c r="AO105"/>
  <c r="AQ105"/>
  <c r="I106"/>
  <c r="J106"/>
  <c r="P106"/>
  <c r="R106"/>
  <c r="U106"/>
  <c r="V106"/>
  <c r="W106"/>
  <c r="AI106"/>
  <c r="AJ106"/>
  <c r="AN106"/>
  <c r="AO106"/>
  <c r="AQ106"/>
  <c r="I107"/>
  <c r="J107"/>
  <c r="P107"/>
  <c r="R107"/>
  <c r="U107"/>
  <c r="V107"/>
  <c r="W107"/>
  <c r="AI107"/>
  <c r="AJ107"/>
  <c r="AN107"/>
  <c r="AO107"/>
  <c r="AQ107"/>
  <c r="I108"/>
  <c r="J108"/>
  <c r="P108"/>
  <c r="R108"/>
  <c r="U108"/>
  <c r="V108"/>
  <c r="W108"/>
  <c r="AI108"/>
  <c r="AJ108"/>
  <c r="AN108"/>
  <c r="AO108"/>
  <c r="AQ108"/>
  <c r="I109"/>
  <c r="J109"/>
  <c r="P109"/>
  <c r="R109"/>
  <c r="U109"/>
  <c r="V109"/>
  <c r="W109"/>
  <c r="AI109"/>
  <c r="AJ109"/>
  <c r="AN109"/>
  <c r="AO109"/>
  <c r="AQ109"/>
  <c r="I110"/>
  <c r="J110"/>
  <c r="P110"/>
  <c r="R110"/>
  <c r="U110"/>
  <c r="V110"/>
  <c r="W110"/>
  <c r="AI110"/>
  <c r="AJ110"/>
  <c r="AN110"/>
  <c r="AO110"/>
  <c r="AQ110"/>
  <c r="I111"/>
  <c r="J111"/>
  <c r="P111"/>
  <c r="R111"/>
  <c r="U111"/>
  <c r="V111"/>
  <c r="W111"/>
  <c r="AJ111"/>
  <c r="AN111"/>
  <c r="AO111"/>
  <c r="AQ111"/>
  <c r="I112"/>
  <c r="J112"/>
  <c r="P112"/>
  <c r="R112"/>
  <c r="U112"/>
  <c r="V112"/>
  <c r="W112"/>
  <c r="AI112"/>
  <c r="AJ112"/>
  <c r="AN112"/>
  <c r="AO112"/>
  <c r="AQ112"/>
  <c r="I113"/>
  <c r="J113"/>
  <c r="P113"/>
  <c r="R113"/>
  <c r="U113"/>
  <c r="V113"/>
  <c r="W113"/>
  <c r="AI113"/>
  <c r="AJ113"/>
  <c r="AN113"/>
  <c r="AO113"/>
  <c r="AQ113"/>
  <c r="I114"/>
  <c r="J114"/>
  <c r="P114"/>
  <c r="R114"/>
  <c r="U114"/>
  <c r="V114"/>
  <c r="W114"/>
  <c r="AI114"/>
  <c r="AJ114"/>
  <c r="AN114"/>
  <c r="AO114"/>
  <c r="AQ114"/>
  <c r="I115"/>
  <c r="J115"/>
  <c r="P115"/>
  <c r="R115"/>
  <c r="U115"/>
  <c r="V115"/>
  <c r="W115"/>
  <c r="AI115"/>
  <c r="AJ115"/>
  <c r="AN115"/>
  <c r="AO115"/>
  <c r="AQ115"/>
  <c r="I116"/>
  <c r="J116"/>
  <c r="P116"/>
  <c r="R116"/>
  <c r="U116"/>
  <c r="V116"/>
  <c r="W116"/>
  <c r="AI116"/>
  <c r="AJ116"/>
  <c r="AN116"/>
  <c r="AO116"/>
  <c r="AQ116"/>
  <c r="I117"/>
  <c r="J117"/>
  <c r="P117"/>
  <c r="R117"/>
  <c r="U117"/>
  <c r="V117"/>
  <c r="W117"/>
  <c r="AJ117"/>
  <c r="AN117"/>
  <c r="AO117"/>
  <c r="AQ117"/>
  <c r="I118"/>
  <c r="J118"/>
  <c r="P118"/>
  <c r="R118"/>
  <c r="U118"/>
  <c r="V118"/>
  <c r="W118"/>
  <c r="AI118"/>
  <c r="AJ118"/>
  <c r="AN118"/>
  <c r="AO118"/>
  <c r="AQ118"/>
  <c r="I119"/>
  <c r="J119"/>
  <c r="P119"/>
  <c r="R119"/>
  <c r="U119"/>
  <c r="V119"/>
  <c r="W119"/>
  <c r="AJ119"/>
  <c r="AN119"/>
  <c r="AO119"/>
  <c r="AQ119"/>
  <c r="I120"/>
  <c r="J120"/>
  <c r="P120"/>
  <c r="R120"/>
  <c r="U120"/>
  <c r="V120"/>
  <c r="W120"/>
  <c r="AJ120"/>
  <c r="AN120"/>
  <c r="AO120"/>
  <c r="AQ120"/>
  <c r="I121"/>
  <c r="J121"/>
  <c r="P121"/>
  <c r="R121"/>
  <c r="U121"/>
  <c r="V121"/>
  <c r="W121"/>
  <c r="AI121"/>
  <c r="AJ121"/>
  <c r="AN121"/>
  <c r="AO121"/>
  <c r="AQ121"/>
  <c r="I122"/>
  <c r="J122"/>
  <c r="P122"/>
  <c r="R122"/>
  <c r="U122"/>
  <c r="V122"/>
  <c r="W122"/>
  <c r="AI122"/>
  <c r="AJ122"/>
  <c r="AN122"/>
  <c r="AO122"/>
  <c r="AQ122"/>
  <c r="I123"/>
  <c r="J123"/>
  <c r="P123"/>
  <c r="R123"/>
  <c r="U123"/>
  <c r="V123"/>
  <c r="W123"/>
  <c r="AJ123"/>
  <c r="AN123"/>
  <c r="AO123"/>
  <c r="AQ123"/>
  <c r="I124"/>
  <c r="J124"/>
  <c r="P124"/>
  <c r="R124"/>
  <c r="U124"/>
  <c r="V124"/>
  <c r="W124"/>
  <c r="AI124"/>
  <c r="AJ124"/>
  <c r="AN124"/>
  <c r="AO124"/>
  <c r="AQ124"/>
  <c r="I125"/>
  <c r="J125"/>
  <c r="P125"/>
  <c r="R125"/>
  <c r="U125"/>
  <c r="V125"/>
  <c r="W125"/>
  <c r="AI125"/>
  <c r="AJ125"/>
  <c r="AN125"/>
  <c r="AO125"/>
  <c r="AQ125"/>
  <c r="I126"/>
  <c r="J126"/>
  <c r="P126"/>
  <c r="R126"/>
  <c r="U126"/>
  <c r="V126"/>
  <c r="W126"/>
  <c r="AI126"/>
  <c r="AJ126"/>
  <c r="AN126"/>
  <c r="AO126"/>
  <c r="AQ126"/>
  <c r="I127"/>
  <c r="J127"/>
  <c r="P127"/>
  <c r="R127"/>
  <c r="U127"/>
  <c r="V127"/>
  <c r="W127"/>
  <c r="AI127"/>
  <c r="AJ127"/>
  <c r="AN127"/>
  <c r="AO127"/>
  <c r="AQ127"/>
  <c r="I128"/>
  <c r="J128"/>
  <c r="P128"/>
  <c r="R128"/>
  <c r="U128"/>
  <c r="V128"/>
  <c r="W128"/>
  <c r="AI128"/>
  <c r="AJ128"/>
  <c r="AN128"/>
  <c r="AO128"/>
  <c r="AQ128"/>
  <c r="I129"/>
  <c r="J129"/>
  <c r="P129"/>
  <c r="R129"/>
  <c r="U129"/>
  <c r="V129"/>
  <c r="W129"/>
  <c r="AJ129"/>
  <c r="AN129"/>
  <c r="AO129"/>
  <c r="AQ129"/>
  <c r="I130"/>
  <c r="J130"/>
  <c r="P130"/>
  <c r="R130"/>
  <c r="U130"/>
  <c r="V130"/>
  <c r="W130"/>
  <c r="AJ130"/>
  <c r="AN130"/>
  <c r="AO130"/>
  <c r="AQ130"/>
  <c r="I131"/>
  <c r="J131"/>
  <c r="P131"/>
  <c r="R131"/>
  <c r="U131"/>
  <c r="V131"/>
  <c r="W131"/>
  <c r="AI131"/>
  <c r="AJ131"/>
  <c r="AN131"/>
  <c r="AO131"/>
  <c r="AQ131"/>
  <c r="I132"/>
  <c r="J132"/>
  <c r="P132"/>
  <c r="R132"/>
  <c r="U132"/>
  <c r="V132"/>
  <c r="W132"/>
  <c r="AI132"/>
  <c r="AJ132"/>
  <c r="AN132"/>
  <c r="AO132"/>
  <c r="AQ132"/>
  <c r="I133"/>
  <c r="J133"/>
  <c r="P133"/>
  <c r="R133"/>
  <c r="U133"/>
  <c r="V133"/>
  <c r="W133"/>
  <c r="AI133"/>
  <c r="AJ133"/>
  <c r="AN133"/>
  <c r="AO133"/>
  <c r="AQ133"/>
  <c r="I134"/>
  <c r="J134"/>
  <c r="P134"/>
  <c r="R134"/>
  <c r="U134"/>
  <c r="V134"/>
  <c r="W134"/>
  <c r="AI134"/>
  <c r="AJ134"/>
  <c r="AN134"/>
  <c r="AO134"/>
  <c r="AQ134"/>
  <c r="I135"/>
  <c r="J135"/>
  <c r="P135"/>
  <c r="R135"/>
  <c r="U135"/>
  <c r="V135"/>
  <c r="W135"/>
  <c r="AI135"/>
  <c r="AJ135"/>
  <c r="AN135"/>
  <c r="AO135"/>
  <c r="AQ135"/>
  <c r="I136"/>
  <c r="J136"/>
  <c r="R136"/>
  <c r="V136"/>
  <c r="W136"/>
  <c r="AI136"/>
  <c r="AJ136"/>
  <c r="AN136"/>
  <c r="AO136"/>
  <c r="AQ136"/>
  <c r="I137"/>
  <c r="J137"/>
  <c r="R137"/>
  <c r="V137"/>
  <c r="W137"/>
  <c r="AI137"/>
  <c r="AJ137"/>
  <c r="AN137"/>
  <c r="AO137"/>
  <c r="AQ137"/>
  <c r="I138"/>
  <c r="J138"/>
  <c r="R138"/>
  <c r="V138"/>
  <c r="W138"/>
  <c r="AI138"/>
  <c r="AJ138"/>
  <c r="AN138"/>
  <c r="AO138"/>
  <c r="AQ138"/>
  <c r="I139"/>
  <c r="J139"/>
  <c r="R139"/>
  <c r="V139"/>
  <c r="W139"/>
  <c r="AI139"/>
  <c r="AJ139"/>
  <c r="AN139"/>
  <c r="AO139"/>
  <c r="AQ139"/>
  <c r="I140"/>
  <c r="J140"/>
  <c r="R140"/>
  <c r="V140"/>
  <c r="W140"/>
  <c r="AI140"/>
  <c r="AJ140"/>
  <c r="AN140"/>
  <c r="AO140"/>
  <c r="AQ140"/>
  <c r="I141"/>
  <c r="J141"/>
  <c r="P141"/>
  <c r="R141"/>
  <c r="U141"/>
  <c r="V141"/>
  <c r="W141"/>
  <c r="AI141"/>
  <c r="AJ141"/>
  <c r="AN141"/>
  <c r="AO141"/>
  <c r="AQ141"/>
  <c r="I142"/>
  <c r="J142"/>
  <c r="P142"/>
  <c r="R142"/>
  <c r="U142"/>
  <c r="V142"/>
  <c r="W142"/>
  <c r="AJ142"/>
  <c r="AN142"/>
  <c r="AO142"/>
  <c r="AQ142"/>
  <c r="I143"/>
  <c r="J143"/>
  <c r="P143"/>
  <c r="R143"/>
  <c r="U143"/>
  <c r="V143"/>
  <c r="W143"/>
  <c r="AJ143"/>
  <c r="AN143"/>
  <c r="AO143"/>
  <c r="AQ143"/>
  <c r="I144"/>
  <c r="J144"/>
  <c r="P144"/>
  <c r="R144"/>
  <c r="U144"/>
  <c r="V144"/>
  <c r="W144"/>
  <c r="AI144"/>
  <c r="AJ144"/>
  <c r="AN144"/>
  <c r="AO144"/>
  <c r="AQ144"/>
  <c r="I145"/>
  <c r="J145"/>
  <c r="P145"/>
  <c r="R145"/>
  <c r="U145"/>
  <c r="V145"/>
  <c r="W145"/>
  <c r="AI145"/>
  <c r="AJ145"/>
  <c r="AN145"/>
  <c r="AO145"/>
  <c r="AQ145"/>
  <c r="I146"/>
  <c r="J146"/>
  <c r="P146"/>
  <c r="R146"/>
  <c r="U146"/>
  <c r="V146"/>
  <c r="W146"/>
  <c r="AI146"/>
  <c r="AJ146"/>
  <c r="AN146"/>
  <c r="AO146"/>
  <c r="AQ146"/>
  <c r="I147"/>
  <c r="J147"/>
  <c r="P147"/>
  <c r="R147"/>
  <c r="U147"/>
  <c r="V147"/>
  <c r="W147"/>
  <c r="AJ147"/>
  <c r="AN147"/>
  <c r="AO147"/>
  <c r="AQ147"/>
  <c r="I148"/>
  <c r="J148"/>
  <c r="P148"/>
  <c r="R148"/>
  <c r="U148"/>
  <c r="V148"/>
  <c r="W148"/>
  <c r="AI148"/>
  <c r="AJ148"/>
  <c r="AN148"/>
  <c r="AO148"/>
  <c r="AQ148"/>
  <c r="I149"/>
  <c r="J149"/>
  <c r="P149"/>
  <c r="R149"/>
  <c r="U149"/>
  <c r="V149"/>
  <c r="W149"/>
  <c r="AI149"/>
  <c r="AJ149"/>
  <c r="AN149"/>
  <c r="AO149"/>
  <c r="AQ149"/>
  <c r="I150"/>
  <c r="J150"/>
  <c r="P150"/>
  <c r="R150"/>
  <c r="U150"/>
  <c r="V150"/>
  <c r="W150"/>
  <c r="AI150"/>
  <c r="AJ150"/>
  <c r="AN150"/>
  <c r="AO150"/>
  <c r="AQ150"/>
  <c r="I151"/>
  <c r="J151"/>
  <c r="P151"/>
  <c r="R151"/>
  <c r="U151"/>
  <c r="V151"/>
  <c r="W151"/>
  <c r="AJ151"/>
  <c r="AN151"/>
  <c r="AO151"/>
  <c r="AQ151"/>
  <c r="I152"/>
  <c r="J152"/>
  <c r="P152"/>
  <c r="R152"/>
  <c r="U152"/>
  <c r="V152"/>
  <c r="W152"/>
  <c r="AI152"/>
  <c r="AJ152"/>
  <c r="AN152"/>
  <c r="AO152"/>
  <c r="AQ152"/>
  <c r="I153"/>
  <c r="J153"/>
  <c r="P153"/>
  <c r="R153"/>
  <c r="U153"/>
  <c r="V153"/>
  <c r="W153"/>
  <c r="AI153"/>
  <c r="AJ153"/>
  <c r="AN153"/>
  <c r="AO153"/>
  <c r="AQ153"/>
  <c r="I154"/>
  <c r="J154"/>
  <c r="P154"/>
  <c r="R154"/>
  <c r="U154"/>
  <c r="V154"/>
  <c r="W154"/>
  <c r="AI154"/>
  <c r="AJ154"/>
  <c r="AN154"/>
  <c r="AO154"/>
  <c r="AQ154"/>
  <c r="I155"/>
  <c r="J155"/>
  <c r="P155"/>
  <c r="R155"/>
  <c r="U155"/>
  <c r="V155"/>
  <c r="W155"/>
  <c r="AI155"/>
  <c r="AJ155"/>
  <c r="AN155"/>
  <c r="AO155"/>
  <c r="AQ155"/>
  <c r="I156"/>
  <c r="J156"/>
  <c r="P156"/>
  <c r="R156"/>
  <c r="U156"/>
  <c r="V156"/>
  <c r="W156"/>
  <c r="AI156"/>
  <c r="AJ156"/>
  <c r="AN156"/>
  <c r="AO156"/>
  <c r="AQ156"/>
  <c r="I157"/>
  <c r="J157"/>
  <c r="P157"/>
  <c r="R157"/>
  <c r="U157"/>
  <c r="V157"/>
  <c r="W157"/>
  <c r="AI157"/>
  <c r="AJ157"/>
  <c r="AN157"/>
  <c r="AO157"/>
  <c r="AQ157"/>
  <c r="I158"/>
  <c r="J158"/>
  <c r="P158"/>
  <c r="R158"/>
  <c r="U158"/>
  <c r="V158"/>
  <c r="W158"/>
  <c r="AI158"/>
  <c r="AJ158"/>
  <c r="AN158"/>
  <c r="AO158"/>
  <c r="AQ158"/>
  <c r="I159"/>
  <c r="J159"/>
  <c r="P159"/>
  <c r="R159"/>
  <c r="U159"/>
  <c r="V159"/>
  <c r="W159"/>
  <c r="AI159"/>
  <c r="AJ159"/>
  <c r="AN159"/>
  <c r="AO159"/>
  <c r="AQ159"/>
  <c r="I160"/>
  <c r="J160"/>
  <c r="P160"/>
  <c r="R160"/>
  <c r="U160"/>
  <c r="V160"/>
  <c r="W160"/>
  <c r="AI160"/>
  <c r="AJ160"/>
  <c r="AN160"/>
  <c r="AO160"/>
  <c r="AQ160"/>
  <c r="I161"/>
  <c r="J161"/>
  <c r="P161"/>
  <c r="R161"/>
  <c r="U161"/>
  <c r="V161"/>
  <c r="W161"/>
  <c r="AI161"/>
  <c r="AJ161"/>
  <c r="AN161"/>
  <c r="AO161"/>
  <c r="AQ161"/>
  <c r="I162"/>
  <c r="J162"/>
  <c r="P162"/>
  <c r="R162"/>
  <c r="U162"/>
  <c r="V162"/>
  <c r="W162"/>
  <c r="AI162"/>
  <c r="AJ162"/>
  <c r="AN162"/>
  <c r="AO162"/>
  <c r="AQ162"/>
  <c r="I163"/>
  <c r="J163"/>
  <c r="P163"/>
  <c r="R163"/>
  <c r="U163"/>
  <c r="V163"/>
  <c r="W163"/>
  <c r="AI163"/>
  <c r="AJ163"/>
  <c r="AN163"/>
  <c r="AO163"/>
  <c r="AQ163"/>
  <c r="I164"/>
  <c r="J164"/>
  <c r="P164"/>
  <c r="R164"/>
  <c r="U164"/>
  <c r="V164"/>
  <c r="W164"/>
  <c r="AI164"/>
  <c r="AJ164"/>
  <c r="AN164"/>
  <c r="AO164"/>
  <c r="AQ164"/>
  <c r="I165"/>
  <c r="J165"/>
  <c r="R165"/>
  <c r="V165"/>
  <c r="W165"/>
  <c r="AI165"/>
  <c r="AJ165"/>
  <c r="AN165"/>
  <c r="AO165"/>
  <c r="AQ165"/>
  <c r="I166"/>
  <c r="J166"/>
  <c r="P166"/>
  <c r="R166"/>
  <c r="U166"/>
  <c r="V166"/>
  <c r="W166"/>
  <c r="AI166"/>
  <c r="AJ166"/>
  <c r="AN166"/>
  <c r="AO166"/>
  <c r="AQ166"/>
  <c r="I167"/>
  <c r="J167"/>
  <c r="P167"/>
  <c r="R167"/>
  <c r="U167"/>
  <c r="V167"/>
  <c r="W167"/>
  <c r="AI167"/>
  <c r="AJ167"/>
  <c r="AN167"/>
  <c r="AO167"/>
  <c r="AQ167"/>
  <c r="I168"/>
  <c r="J168"/>
  <c r="P168"/>
  <c r="R168"/>
  <c r="U168"/>
  <c r="V168"/>
  <c r="W168"/>
  <c r="AI168"/>
  <c r="AJ168"/>
  <c r="AN168"/>
  <c r="AO168"/>
  <c r="AQ168"/>
  <c r="I169"/>
  <c r="J169"/>
  <c r="P169"/>
  <c r="R169"/>
  <c r="U169"/>
  <c r="V169"/>
  <c r="W169"/>
  <c r="AI169"/>
  <c r="AJ169"/>
  <c r="AN169"/>
  <c r="AO169"/>
  <c r="AQ169"/>
  <c r="I170"/>
  <c r="J170"/>
  <c r="P170"/>
  <c r="R170"/>
  <c r="U170"/>
  <c r="V170"/>
  <c r="W170"/>
  <c r="AJ170"/>
  <c r="AN170"/>
  <c r="AO170"/>
  <c r="AQ170"/>
  <c r="I171"/>
  <c r="J171"/>
  <c r="P171"/>
  <c r="R171"/>
  <c r="U171"/>
  <c r="V171"/>
  <c r="W171"/>
  <c r="AI171"/>
  <c r="AJ171"/>
  <c r="AN171"/>
  <c r="AO171"/>
  <c r="AQ171"/>
  <c r="I172"/>
  <c r="J172"/>
  <c r="P172"/>
  <c r="R172"/>
  <c r="U172"/>
  <c r="V172"/>
  <c r="W172"/>
  <c r="AI172"/>
  <c r="AJ172"/>
  <c r="AN172"/>
  <c r="AO172"/>
  <c r="AQ172"/>
  <c r="I173"/>
  <c r="J173"/>
  <c r="R173"/>
  <c r="V173"/>
  <c r="W173"/>
  <c r="AI173"/>
  <c r="AJ173"/>
  <c r="AN173"/>
  <c r="AO173"/>
  <c r="AQ173"/>
  <c r="I174"/>
  <c r="J174"/>
  <c r="O174"/>
  <c r="P174"/>
  <c r="R174"/>
  <c r="U174"/>
  <c r="V174"/>
  <c r="W174"/>
  <c r="AI174"/>
  <c r="AJ174"/>
  <c r="AN174"/>
  <c r="AO174"/>
  <c r="AQ174"/>
  <c r="I175"/>
  <c r="J175"/>
  <c r="P175"/>
  <c r="R175"/>
  <c r="U175"/>
  <c r="V175"/>
  <c r="W175"/>
  <c r="AI175"/>
  <c r="AJ175"/>
  <c r="AN175"/>
  <c r="AO175"/>
  <c r="AQ175"/>
  <c r="I176"/>
  <c r="J176"/>
  <c r="P176"/>
  <c r="R176"/>
  <c r="U176"/>
  <c r="V176"/>
  <c r="W176"/>
  <c r="AJ176"/>
  <c r="AN176"/>
  <c r="AO176"/>
  <c r="AQ176"/>
  <c r="I177"/>
  <c r="J177"/>
  <c r="P177"/>
  <c r="R177"/>
  <c r="U177"/>
  <c r="V177"/>
  <c r="W177"/>
  <c r="AJ177"/>
  <c r="AN177"/>
  <c r="AO177"/>
  <c r="AQ177"/>
  <c r="I178"/>
  <c r="J178"/>
  <c r="P178"/>
  <c r="R178"/>
  <c r="U178"/>
  <c r="V178"/>
  <c r="W178"/>
  <c r="AJ178"/>
  <c r="AN178"/>
  <c r="AO178"/>
  <c r="AQ178"/>
  <c r="I179"/>
  <c r="J179"/>
  <c r="R179"/>
  <c r="V179"/>
  <c r="W179"/>
  <c r="AI179"/>
  <c r="AJ179"/>
  <c r="AN179"/>
  <c r="AO179"/>
  <c r="AQ179"/>
  <c r="I180"/>
  <c r="J180"/>
  <c r="P180"/>
  <c r="R180"/>
  <c r="U180"/>
  <c r="V180"/>
  <c r="W180"/>
  <c r="AI180"/>
  <c r="AJ180"/>
  <c r="AN180"/>
  <c r="AO180"/>
  <c r="AQ180"/>
  <c r="I181"/>
  <c r="J181"/>
  <c r="P181"/>
  <c r="R181"/>
  <c r="U181"/>
  <c r="V181"/>
  <c r="W181"/>
  <c r="AI181"/>
  <c r="AJ181"/>
  <c r="AN181"/>
  <c r="AO181"/>
  <c r="AQ181"/>
  <c r="I182"/>
  <c r="J182"/>
  <c r="P182"/>
  <c r="R182"/>
  <c r="U182"/>
  <c r="V182"/>
  <c r="W182"/>
  <c r="AI182"/>
  <c r="AJ182"/>
  <c r="AN182"/>
  <c r="AO182"/>
  <c r="AQ182"/>
  <c r="I183"/>
  <c r="J183"/>
  <c r="P183"/>
  <c r="R183"/>
  <c r="U183"/>
  <c r="V183"/>
  <c r="W183"/>
  <c r="AJ183"/>
  <c r="AN183"/>
  <c r="AO183"/>
  <c r="AQ183"/>
  <c r="I184"/>
  <c r="J184"/>
  <c r="P184"/>
  <c r="R184"/>
  <c r="U184"/>
  <c r="V184"/>
  <c r="W184"/>
  <c r="AI184"/>
  <c r="AJ184"/>
  <c r="AN184"/>
  <c r="AO184"/>
  <c r="AQ184"/>
  <c r="I185"/>
  <c r="J185"/>
  <c r="P185"/>
  <c r="R185"/>
  <c r="U185"/>
  <c r="V185"/>
  <c r="W185"/>
  <c r="AJ185"/>
  <c r="AN185"/>
  <c r="AO185"/>
  <c r="AQ185"/>
  <c r="I186"/>
  <c r="J186"/>
  <c r="P186"/>
  <c r="R186"/>
  <c r="U186"/>
  <c r="V186"/>
  <c r="W186"/>
  <c r="AI186"/>
  <c r="AJ186"/>
  <c r="AN186"/>
  <c r="AO186"/>
  <c r="AQ186"/>
  <c r="I187"/>
  <c r="J187"/>
  <c r="P187"/>
  <c r="R187"/>
  <c r="U187"/>
  <c r="V187"/>
  <c r="W187"/>
  <c r="AJ187"/>
  <c r="AN187"/>
  <c r="AO187"/>
  <c r="AQ187"/>
  <c r="I188"/>
  <c r="J188"/>
  <c r="R188"/>
  <c r="V188"/>
  <c r="W188"/>
  <c r="AI188"/>
  <c r="AJ188"/>
  <c r="AN188"/>
  <c r="AO188"/>
  <c r="AQ188"/>
  <c r="I189"/>
  <c r="J189"/>
  <c r="P189"/>
  <c r="R189"/>
  <c r="U189"/>
  <c r="V189"/>
  <c r="W189"/>
  <c r="AI189"/>
  <c r="AJ189"/>
  <c r="AN189"/>
  <c r="AO189"/>
  <c r="AQ189"/>
  <c r="I190"/>
  <c r="J190"/>
  <c r="P190"/>
  <c r="R190"/>
  <c r="U190"/>
  <c r="V190"/>
  <c r="W190"/>
  <c r="AI190"/>
  <c r="AJ190"/>
  <c r="AN190"/>
  <c r="AO190"/>
  <c r="AQ190"/>
  <c r="I191"/>
  <c r="J191"/>
  <c r="P191"/>
  <c r="R191"/>
  <c r="U191"/>
  <c r="V191"/>
  <c r="W191"/>
  <c r="AI191"/>
  <c r="AJ191"/>
  <c r="AN191"/>
  <c r="AO191"/>
  <c r="AQ191"/>
  <c r="I192"/>
  <c r="J192"/>
  <c r="P192"/>
  <c r="R192"/>
  <c r="U192"/>
  <c r="V192"/>
  <c r="W192"/>
  <c r="AI192"/>
  <c r="AJ192"/>
  <c r="AN192"/>
  <c r="AO192"/>
  <c r="AQ192"/>
  <c r="I193"/>
  <c r="J193"/>
  <c r="P193"/>
  <c r="R193"/>
  <c r="U193"/>
  <c r="V193"/>
  <c r="W193"/>
  <c r="AJ193"/>
  <c r="AN193"/>
  <c r="AO193"/>
  <c r="AQ193"/>
  <c r="I194"/>
  <c r="J194"/>
  <c r="P194"/>
  <c r="R194"/>
  <c r="U194"/>
  <c r="V194"/>
  <c r="W194"/>
  <c r="AI194"/>
  <c r="AJ194"/>
  <c r="AN194"/>
  <c r="AO194"/>
  <c r="AQ194"/>
  <c r="I195"/>
  <c r="J195"/>
  <c r="P195"/>
  <c r="R195"/>
  <c r="U195"/>
  <c r="V195"/>
  <c r="W195"/>
  <c r="AI195"/>
  <c r="AJ195"/>
  <c r="AN195"/>
  <c r="AO195"/>
  <c r="AQ195"/>
  <c r="I196"/>
  <c r="J196"/>
  <c r="P196"/>
  <c r="R196"/>
  <c r="U196"/>
  <c r="V196"/>
  <c r="W196"/>
  <c r="AI196"/>
  <c r="AJ196"/>
  <c r="AN196"/>
  <c r="AO196"/>
  <c r="AQ196"/>
  <c r="I197"/>
  <c r="J197"/>
  <c r="R197"/>
  <c r="V197"/>
  <c r="W197"/>
  <c r="AI197"/>
  <c r="AJ197"/>
  <c r="AN197"/>
  <c r="AO197"/>
  <c r="AQ197"/>
  <c r="I198"/>
  <c r="J198"/>
  <c r="P198"/>
  <c r="R198"/>
  <c r="U198"/>
  <c r="V198"/>
  <c r="W198"/>
  <c r="AI198"/>
  <c r="AJ198"/>
  <c r="AN198"/>
  <c r="AO198"/>
  <c r="AQ198"/>
  <c r="I199"/>
  <c r="J199"/>
  <c r="P199"/>
  <c r="R199"/>
  <c r="U199"/>
  <c r="V199"/>
  <c r="W199"/>
  <c r="AI199"/>
  <c r="AJ199"/>
  <c r="AN199"/>
  <c r="AO199"/>
  <c r="AQ199"/>
  <c r="I200"/>
  <c r="J200"/>
  <c r="P200"/>
  <c r="R200"/>
  <c r="U200"/>
  <c r="V200"/>
  <c r="W200"/>
  <c r="AI200"/>
  <c r="AJ200"/>
  <c r="AN200"/>
  <c r="AO200"/>
  <c r="AQ200"/>
  <c r="I201"/>
  <c r="J201"/>
  <c r="P201"/>
  <c r="R201"/>
  <c r="U201"/>
  <c r="V201"/>
  <c r="W201"/>
  <c r="AI201"/>
  <c r="AJ201"/>
  <c r="AN201"/>
  <c r="AO201"/>
  <c r="AQ201"/>
  <c r="I202"/>
  <c r="J202"/>
  <c r="P202"/>
  <c r="R202"/>
  <c r="U202"/>
  <c r="V202"/>
  <c r="W202"/>
  <c r="AI202"/>
  <c r="AJ202"/>
  <c r="AN202"/>
  <c r="AO202"/>
  <c r="AQ202"/>
  <c r="I203"/>
  <c r="J203"/>
  <c r="P203"/>
  <c r="R203"/>
  <c r="U203"/>
  <c r="V203"/>
  <c r="W203"/>
  <c r="AI203"/>
  <c r="AJ203"/>
  <c r="AN203"/>
  <c r="AO203"/>
  <c r="AQ203"/>
  <c r="I204"/>
  <c r="J204"/>
  <c r="P204"/>
  <c r="R204"/>
  <c r="U204"/>
  <c r="V204"/>
  <c r="W204"/>
  <c r="AJ204"/>
  <c r="AN204"/>
  <c r="AO204"/>
  <c r="AQ204"/>
  <c r="I205"/>
  <c r="J205"/>
  <c r="P205"/>
  <c r="R205"/>
  <c r="U205"/>
  <c r="V205"/>
  <c r="W205"/>
  <c r="AI205"/>
  <c r="AJ205"/>
  <c r="AN205"/>
  <c r="AO205"/>
  <c r="AQ205"/>
  <c r="I206"/>
  <c r="J206"/>
  <c r="P206"/>
  <c r="R206"/>
  <c r="U206"/>
  <c r="V206"/>
  <c r="W206"/>
  <c r="AI206"/>
  <c r="AJ206"/>
  <c r="AN206"/>
  <c r="AO206"/>
  <c r="AQ206"/>
  <c r="I207"/>
  <c r="J207"/>
  <c r="P207"/>
  <c r="R207"/>
  <c r="U207"/>
  <c r="V207"/>
  <c r="W207"/>
  <c r="AI207"/>
  <c r="AJ207"/>
  <c r="AN207"/>
  <c r="AO207"/>
  <c r="AQ207"/>
  <c r="I208"/>
  <c r="J208"/>
  <c r="P208"/>
  <c r="R208"/>
  <c r="U208"/>
  <c r="V208"/>
  <c r="W208"/>
  <c r="AJ208"/>
  <c r="AN208"/>
  <c r="AO208"/>
  <c r="AQ208"/>
  <c r="I209"/>
  <c r="J209"/>
  <c r="P209"/>
  <c r="R209"/>
  <c r="U209"/>
  <c r="V209"/>
  <c r="W209"/>
  <c r="AI209"/>
  <c r="AJ209"/>
  <c r="AN209"/>
  <c r="AO209"/>
  <c r="AQ209"/>
  <c r="I210"/>
  <c r="J210"/>
  <c r="P210"/>
  <c r="R210"/>
  <c r="U210"/>
  <c r="V210"/>
  <c r="W210"/>
  <c r="AI210"/>
  <c r="AJ210"/>
  <c r="AN210"/>
  <c r="AO210"/>
  <c r="AQ210"/>
  <c r="I211"/>
  <c r="J211"/>
  <c r="R211"/>
  <c r="V211"/>
  <c r="W211"/>
  <c r="AI211"/>
  <c r="AJ211"/>
  <c r="AN211"/>
  <c r="AO211"/>
  <c r="AQ211"/>
  <c r="I212"/>
  <c r="J212"/>
  <c r="P212"/>
  <c r="R212"/>
  <c r="U212"/>
  <c r="V212"/>
  <c r="W212"/>
  <c r="AI212"/>
  <c r="AJ212"/>
  <c r="AN212"/>
  <c r="AO212"/>
  <c r="AQ212"/>
  <c r="I213"/>
  <c r="J213"/>
  <c r="P213"/>
  <c r="R213"/>
  <c r="U213"/>
  <c r="V213"/>
  <c r="W213"/>
  <c r="AJ213"/>
  <c r="AN213"/>
  <c r="AO213"/>
  <c r="AQ213"/>
  <c r="I214"/>
  <c r="J214"/>
  <c r="P214"/>
  <c r="R214"/>
  <c r="U214"/>
  <c r="V214"/>
  <c r="W214"/>
  <c r="AI214"/>
  <c r="AJ214"/>
  <c r="AN214"/>
  <c r="AO214"/>
  <c r="AQ214"/>
  <c r="I215"/>
  <c r="J215"/>
  <c r="P215"/>
  <c r="R215"/>
  <c r="U215"/>
  <c r="V215"/>
  <c r="W215"/>
  <c r="AI215"/>
  <c r="AJ215"/>
  <c r="AN215"/>
  <c r="AO215"/>
  <c r="AQ215"/>
  <c r="I216"/>
  <c r="J216"/>
  <c r="P216"/>
  <c r="R216"/>
  <c r="U216"/>
  <c r="V216"/>
  <c r="W216"/>
  <c r="AI216"/>
  <c r="AJ216"/>
  <c r="AN216"/>
  <c r="AO216"/>
  <c r="AQ216"/>
  <c r="I217"/>
  <c r="J217"/>
  <c r="P217"/>
  <c r="R217"/>
  <c r="U217"/>
  <c r="V217"/>
  <c r="W217"/>
  <c r="AJ217"/>
  <c r="AN217"/>
  <c r="AO217"/>
  <c r="AQ217"/>
  <c r="I218"/>
  <c r="J218"/>
  <c r="P218"/>
  <c r="R218"/>
  <c r="U218"/>
  <c r="V218"/>
  <c r="W218"/>
  <c r="AI218"/>
  <c r="AJ218"/>
  <c r="AN218"/>
  <c r="AO218"/>
  <c r="AQ218"/>
  <c r="I219"/>
  <c r="J219"/>
  <c r="P219"/>
  <c r="R219"/>
  <c r="U219"/>
  <c r="V219"/>
  <c r="W219"/>
  <c r="AI219"/>
  <c r="AJ219"/>
  <c r="AN219"/>
  <c r="AO219"/>
  <c r="AQ219"/>
  <c r="I220"/>
  <c r="J220"/>
  <c r="P220"/>
  <c r="R220"/>
  <c r="U220"/>
  <c r="V220"/>
  <c r="W220"/>
  <c r="AI220"/>
  <c r="AJ220"/>
  <c r="AN220"/>
  <c r="AO220"/>
  <c r="AQ220"/>
  <c r="I221"/>
  <c r="J221"/>
  <c r="P221"/>
  <c r="R221"/>
  <c r="U221"/>
  <c r="V221"/>
  <c r="W221"/>
  <c r="AJ221"/>
  <c r="AN221"/>
  <c r="AO221"/>
  <c r="AQ221"/>
  <c r="I222"/>
  <c r="J222"/>
  <c r="P222"/>
  <c r="R222"/>
  <c r="U222"/>
  <c r="V222"/>
  <c r="W222"/>
  <c r="AJ222"/>
  <c r="AN222"/>
  <c r="AO222"/>
  <c r="AQ222"/>
  <c r="I223"/>
  <c r="J223"/>
  <c r="P223"/>
  <c r="R223"/>
  <c r="U223"/>
  <c r="V223"/>
  <c r="W223"/>
  <c r="AJ223"/>
  <c r="AN223"/>
  <c r="AO223"/>
  <c r="AQ223"/>
  <c r="I224"/>
  <c r="J224"/>
  <c r="P224"/>
  <c r="R224"/>
  <c r="U224"/>
  <c r="V224"/>
  <c r="W224"/>
  <c r="AI224"/>
  <c r="AJ224"/>
  <c r="AN224"/>
  <c r="AO224"/>
  <c r="AQ224"/>
  <c r="I225"/>
  <c r="J225"/>
  <c r="R225"/>
  <c r="V225"/>
  <c r="W225"/>
  <c r="AI225"/>
  <c r="AJ225"/>
  <c r="AN225"/>
  <c r="AO225"/>
  <c r="AQ225"/>
  <c r="I226"/>
  <c r="J226"/>
  <c r="P226"/>
  <c r="R226"/>
  <c r="U226"/>
  <c r="V226"/>
  <c r="W226"/>
  <c r="AI226"/>
  <c r="AJ226"/>
  <c r="AN226"/>
  <c r="AO226"/>
  <c r="AQ226"/>
  <c r="I227"/>
  <c r="J227"/>
  <c r="P227"/>
  <c r="R227"/>
  <c r="U227"/>
  <c r="V227"/>
  <c r="W227"/>
  <c r="AI227"/>
  <c r="AJ227"/>
  <c r="AN227"/>
  <c r="AO227"/>
  <c r="AQ227"/>
  <c r="I228"/>
  <c r="J228"/>
  <c r="P228"/>
  <c r="R228"/>
  <c r="U228"/>
  <c r="V228"/>
  <c r="W228"/>
  <c r="AI228"/>
  <c r="AJ228"/>
  <c r="AN228"/>
  <c r="AO228"/>
  <c r="AQ228"/>
  <c r="I229"/>
  <c r="J229"/>
  <c r="P229"/>
  <c r="R229"/>
  <c r="U229"/>
  <c r="V229"/>
  <c r="W229"/>
  <c r="AI229"/>
  <c r="AJ229"/>
  <c r="AN229"/>
  <c r="AO229"/>
  <c r="AQ229"/>
  <c r="I230"/>
  <c r="J230"/>
  <c r="P230"/>
  <c r="R230"/>
  <c r="U230"/>
  <c r="V230"/>
  <c r="W230"/>
  <c r="AI230"/>
  <c r="AJ230"/>
  <c r="AN230"/>
  <c r="AO230"/>
  <c r="AQ230"/>
  <c r="I231"/>
  <c r="J231"/>
  <c r="P231"/>
  <c r="R231"/>
  <c r="U231"/>
  <c r="V231"/>
  <c r="W231"/>
  <c r="AI231"/>
  <c r="AJ231"/>
  <c r="AN231"/>
  <c r="AO231"/>
  <c r="AQ231"/>
  <c r="I232"/>
  <c r="J232"/>
  <c r="P232"/>
  <c r="R232"/>
  <c r="U232"/>
  <c r="V232"/>
  <c r="W232"/>
  <c r="AJ232"/>
  <c r="AN232"/>
  <c r="AO232"/>
  <c r="AQ232"/>
  <c r="I233"/>
  <c r="J233"/>
  <c r="P233"/>
  <c r="R233"/>
  <c r="U233"/>
  <c r="V233"/>
  <c r="W233"/>
  <c r="AI233"/>
  <c r="AJ233"/>
  <c r="AN233"/>
  <c r="AO233"/>
  <c r="AQ233"/>
  <c r="I234"/>
  <c r="J234"/>
  <c r="P234"/>
  <c r="R234"/>
  <c r="U234"/>
  <c r="V234"/>
  <c r="W234"/>
  <c r="AI234"/>
  <c r="AJ234"/>
  <c r="AN234"/>
  <c r="AO234"/>
  <c r="AQ234"/>
  <c r="I235"/>
  <c r="J235"/>
  <c r="P235"/>
  <c r="R235"/>
  <c r="U235"/>
  <c r="V235"/>
  <c r="W235"/>
  <c r="AJ235"/>
  <c r="AN235"/>
  <c r="AO235"/>
  <c r="AQ235"/>
  <c r="I236"/>
  <c r="J236"/>
  <c r="P236"/>
  <c r="R236"/>
  <c r="U236"/>
  <c r="V236"/>
  <c r="W236"/>
  <c r="AI236"/>
  <c r="AJ236"/>
  <c r="AN236"/>
  <c r="AO236"/>
  <c r="AQ236"/>
  <c r="I237"/>
  <c r="J237"/>
  <c r="P237"/>
  <c r="R237"/>
  <c r="U237"/>
  <c r="V237"/>
  <c r="W237"/>
  <c r="AI237"/>
  <c r="AJ237"/>
  <c r="AN237"/>
  <c r="AO237"/>
  <c r="AQ237"/>
  <c r="I238"/>
  <c r="J238"/>
  <c r="P238"/>
  <c r="R238"/>
  <c r="U238"/>
  <c r="V238"/>
  <c r="W238"/>
  <c r="AJ238"/>
  <c r="AN238"/>
  <c r="AO238"/>
  <c r="AQ238"/>
  <c r="I239"/>
  <c r="J239"/>
  <c r="P239"/>
  <c r="R239"/>
  <c r="U239"/>
  <c r="V239"/>
  <c r="W239"/>
  <c r="AI239"/>
  <c r="AJ239"/>
  <c r="AN239"/>
  <c r="AO239"/>
  <c r="AQ239"/>
  <c r="I240"/>
  <c r="J240"/>
  <c r="P240"/>
  <c r="R240"/>
  <c r="U240"/>
  <c r="V240"/>
  <c r="W240"/>
  <c r="AI240"/>
  <c r="AJ240"/>
  <c r="AN240"/>
  <c r="AO240"/>
  <c r="AQ240"/>
  <c r="I241"/>
  <c r="J241"/>
  <c r="P241"/>
  <c r="R241"/>
  <c r="U241"/>
  <c r="V241"/>
  <c r="W241"/>
  <c r="AI241"/>
  <c r="AJ241"/>
  <c r="AN241"/>
  <c r="AO241"/>
  <c r="AQ241"/>
  <c r="I242"/>
  <c r="J242"/>
  <c r="P242"/>
  <c r="R242"/>
  <c r="U242"/>
  <c r="V242"/>
  <c r="W242"/>
  <c r="AI242"/>
  <c r="AJ242"/>
  <c r="AN242"/>
  <c r="AO242"/>
  <c r="AQ242"/>
  <c r="I243"/>
  <c r="J243"/>
  <c r="P243"/>
  <c r="R243"/>
  <c r="U243"/>
  <c r="V243"/>
  <c r="W243"/>
  <c r="AI243"/>
  <c r="AJ243"/>
  <c r="AN243"/>
  <c r="AO243"/>
  <c r="AQ243"/>
  <c r="I244"/>
  <c r="J244"/>
  <c r="P244"/>
  <c r="R244"/>
  <c r="U244"/>
  <c r="V244"/>
  <c r="W244"/>
  <c r="AI244"/>
  <c r="AJ244"/>
  <c r="AN244"/>
  <c r="AO244"/>
  <c r="AQ244"/>
  <c r="I245"/>
  <c r="J245"/>
  <c r="P245"/>
  <c r="R245"/>
  <c r="U245"/>
  <c r="V245"/>
  <c r="W245"/>
  <c r="AI245"/>
  <c r="AJ245"/>
  <c r="AN245"/>
  <c r="AO245"/>
  <c r="AQ245"/>
  <c r="I246"/>
  <c r="J246"/>
  <c r="P246"/>
  <c r="R246"/>
  <c r="U246"/>
  <c r="V246"/>
  <c r="W246"/>
  <c r="AI246"/>
  <c r="AJ246"/>
  <c r="AN246"/>
  <c r="AO246"/>
  <c r="AQ246"/>
  <c r="I247"/>
  <c r="J247"/>
  <c r="P247"/>
  <c r="R247"/>
  <c r="U247"/>
  <c r="V247"/>
  <c r="W247"/>
  <c r="AI247"/>
  <c r="AJ247"/>
  <c r="AN247"/>
  <c r="AO247"/>
  <c r="AQ247"/>
  <c r="I248"/>
  <c r="J248"/>
  <c r="P248"/>
  <c r="R248"/>
  <c r="U248"/>
  <c r="V248"/>
  <c r="W248"/>
  <c r="AJ248"/>
  <c r="AN248"/>
  <c r="AO248"/>
  <c r="AQ248"/>
  <c r="I249"/>
  <c r="J249"/>
  <c r="P249"/>
  <c r="R249"/>
  <c r="U249"/>
  <c r="V249"/>
  <c r="W249"/>
  <c r="AI249"/>
  <c r="AJ249"/>
  <c r="AN249"/>
  <c r="AO249"/>
  <c r="AQ249"/>
  <c r="I250"/>
  <c r="J250"/>
  <c r="P250"/>
  <c r="R250"/>
  <c r="U250"/>
  <c r="V250"/>
  <c r="W250"/>
  <c r="AJ250"/>
  <c r="AN250"/>
  <c r="AO250"/>
  <c r="AQ250"/>
  <c r="I251"/>
  <c r="J251"/>
  <c r="P251"/>
  <c r="R251"/>
  <c r="U251"/>
  <c r="V251"/>
  <c r="W251"/>
  <c r="AI251"/>
  <c r="AJ251"/>
  <c r="AN251"/>
  <c r="AO251"/>
  <c r="AQ251"/>
  <c r="I252"/>
  <c r="J252"/>
  <c r="P252"/>
  <c r="R252"/>
  <c r="U252"/>
  <c r="V252"/>
  <c r="W252"/>
  <c r="AJ252"/>
  <c r="AN252"/>
  <c r="AO252"/>
  <c r="AQ252"/>
  <c r="I253"/>
  <c r="J253"/>
  <c r="P253"/>
  <c r="R253"/>
  <c r="U253"/>
  <c r="V253"/>
  <c r="W253"/>
  <c r="AI253"/>
  <c r="AJ253"/>
  <c r="AN253"/>
  <c r="AO253"/>
  <c r="AQ253"/>
  <c r="I254"/>
  <c r="J254"/>
  <c r="P254"/>
  <c r="R254"/>
  <c r="U254"/>
  <c r="V254"/>
  <c r="W254"/>
  <c r="AJ254"/>
  <c r="AN254"/>
  <c r="AO254"/>
  <c r="AQ254"/>
  <c r="I255"/>
  <c r="J255"/>
  <c r="P255"/>
  <c r="R255"/>
  <c r="U255"/>
  <c r="V255"/>
  <c r="W255"/>
  <c r="AJ255"/>
  <c r="AN255"/>
  <c r="AO255"/>
  <c r="AQ255"/>
  <c r="I256"/>
  <c r="J256"/>
  <c r="P256"/>
  <c r="R256"/>
  <c r="U256"/>
  <c r="V256"/>
  <c r="W256"/>
  <c r="AI256"/>
  <c r="AJ256"/>
  <c r="AN256"/>
  <c r="AO256"/>
  <c r="AQ256"/>
  <c r="I257"/>
  <c r="J257"/>
  <c r="P257"/>
  <c r="R257"/>
  <c r="U257"/>
  <c r="V257"/>
  <c r="W257"/>
  <c r="AI257"/>
  <c r="AJ257"/>
  <c r="AN257"/>
  <c r="AO257"/>
  <c r="AQ257"/>
  <c r="I258"/>
  <c r="J258"/>
  <c r="P258"/>
  <c r="R258"/>
  <c r="U258"/>
  <c r="V258"/>
  <c r="W258"/>
  <c r="AI258"/>
  <c r="AJ258"/>
  <c r="AN258"/>
  <c r="AO258"/>
  <c r="AQ258"/>
  <c r="I259"/>
  <c r="J259"/>
  <c r="R259"/>
  <c r="V259"/>
  <c r="W259"/>
  <c r="AI259"/>
  <c r="AJ259"/>
  <c r="AN259"/>
  <c r="AO259"/>
  <c r="AQ259"/>
  <c r="I260"/>
  <c r="J260"/>
  <c r="P260"/>
  <c r="R260"/>
  <c r="U260"/>
  <c r="V260"/>
  <c r="W260"/>
  <c r="AI260"/>
  <c r="AJ260"/>
  <c r="AN260"/>
  <c r="AO260"/>
  <c r="AQ260"/>
  <c r="I261"/>
  <c r="J261"/>
  <c r="P261"/>
  <c r="R261"/>
  <c r="U261"/>
  <c r="V261"/>
  <c r="W261"/>
  <c r="AI261"/>
  <c r="AJ261"/>
  <c r="AN261"/>
  <c r="AO261"/>
  <c r="AQ261"/>
  <c r="I262"/>
  <c r="J262"/>
  <c r="R262"/>
  <c r="V262"/>
  <c r="W262"/>
  <c r="AI262"/>
  <c r="AJ262"/>
  <c r="AN262"/>
  <c r="AO262"/>
  <c r="AQ262"/>
  <c r="I263"/>
  <c r="J263"/>
  <c r="P263"/>
  <c r="R263"/>
  <c r="U263"/>
  <c r="V263"/>
  <c r="W263"/>
  <c r="AI263"/>
  <c r="AJ263"/>
  <c r="AN263"/>
  <c r="AO263"/>
  <c r="AQ263"/>
  <c r="I264"/>
  <c r="J264"/>
  <c r="P264"/>
  <c r="R264"/>
  <c r="U264"/>
  <c r="V264"/>
  <c r="W264"/>
  <c r="AI264"/>
  <c r="AJ264"/>
  <c r="AN264"/>
  <c r="AO264"/>
  <c r="AQ264"/>
  <c r="I265"/>
  <c r="J265"/>
  <c r="R265"/>
  <c r="V265"/>
  <c r="W265"/>
  <c r="AI265"/>
  <c r="AJ265"/>
  <c r="AN265"/>
  <c r="AO265"/>
  <c r="AQ265"/>
  <c r="I266"/>
  <c r="J266"/>
  <c r="P266"/>
  <c r="R266"/>
  <c r="U266"/>
  <c r="V266"/>
  <c r="W266"/>
  <c r="AI266"/>
  <c r="AJ266"/>
  <c r="AN266"/>
  <c r="AO266"/>
  <c r="AQ266"/>
  <c r="I267"/>
  <c r="J267"/>
  <c r="P267"/>
  <c r="R267"/>
  <c r="U267"/>
  <c r="V267"/>
  <c r="W267"/>
  <c r="AI267"/>
  <c r="AJ267"/>
  <c r="AN267"/>
  <c r="AO267"/>
  <c r="AQ267"/>
  <c r="I268"/>
  <c r="J268"/>
  <c r="P268"/>
  <c r="R268"/>
  <c r="U268"/>
  <c r="V268"/>
  <c r="W268"/>
  <c r="AJ268"/>
  <c r="AN268"/>
  <c r="AO268"/>
  <c r="AQ268"/>
  <c r="I269"/>
  <c r="J269"/>
  <c r="P269"/>
  <c r="R269"/>
  <c r="U269"/>
  <c r="V269"/>
  <c r="W269"/>
  <c r="AI269"/>
  <c r="AJ269"/>
  <c r="AN269"/>
  <c r="AO269"/>
  <c r="AQ269"/>
  <c r="I270"/>
  <c r="J270"/>
  <c r="P270"/>
  <c r="R270"/>
  <c r="U270"/>
  <c r="V270"/>
  <c r="W270"/>
  <c r="AI270"/>
  <c r="AJ270"/>
  <c r="AN270"/>
  <c r="AO270"/>
  <c r="AQ270"/>
  <c r="I271"/>
  <c r="J271"/>
  <c r="P271"/>
  <c r="R271"/>
  <c r="U271"/>
  <c r="V271"/>
  <c r="W271"/>
  <c r="AI271"/>
  <c r="AJ271"/>
  <c r="AN271"/>
  <c r="AO271"/>
  <c r="AQ271"/>
  <c r="I272"/>
  <c r="J272"/>
  <c r="P272"/>
  <c r="R272"/>
  <c r="U272"/>
  <c r="V272"/>
  <c r="W272"/>
  <c r="AI272"/>
  <c r="AJ272"/>
  <c r="AN272"/>
  <c r="AO272"/>
  <c r="AQ272"/>
  <c r="I273"/>
  <c r="J273"/>
  <c r="P273"/>
  <c r="R273"/>
  <c r="U273"/>
  <c r="V273"/>
  <c r="W273"/>
  <c r="AI273"/>
  <c r="AJ273"/>
  <c r="AN273"/>
  <c r="AO273"/>
  <c r="AQ273"/>
  <c r="I274"/>
  <c r="J274"/>
  <c r="P274"/>
  <c r="R274"/>
  <c r="U274"/>
  <c r="V274"/>
  <c r="W274"/>
  <c r="AI274"/>
  <c r="AJ274"/>
  <c r="AN274"/>
  <c r="AO274"/>
  <c r="AQ274"/>
  <c r="I275"/>
  <c r="J275"/>
  <c r="P275"/>
  <c r="R275"/>
  <c r="U275"/>
  <c r="V275"/>
  <c r="W275"/>
  <c r="AJ275"/>
  <c r="AN275"/>
  <c r="AO275"/>
  <c r="AQ275"/>
  <c r="I276"/>
  <c r="J276"/>
  <c r="P276"/>
  <c r="R276"/>
  <c r="U276"/>
  <c r="V276"/>
  <c r="W276"/>
  <c r="AI276"/>
  <c r="AJ276"/>
  <c r="AN276"/>
  <c r="AO276"/>
  <c r="AQ276"/>
  <c r="I277"/>
  <c r="J277"/>
  <c r="P277"/>
  <c r="R277"/>
  <c r="U277"/>
  <c r="V277"/>
  <c r="W277"/>
  <c r="AI277"/>
  <c r="AJ277"/>
  <c r="AN277"/>
  <c r="AO277"/>
  <c r="AQ277"/>
  <c r="I278"/>
  <c r="J278"/>
  <c r="P278"/>
  <c r="R278"/>
  <c r="U278"/>
  <c r="V278"/>
  <c r="W278"/>
  <c r="AI278"/>
  <c r="AJ278"/>
  <c r="AN278"/>
  <c r="AO278"/>
  <c r="AQ278"/>
  <c r="I279"/>
  <c r="J279"/>
  <c r="P279"/>
  <c r="R279"/>
  <c r="U279"/>
  <c r="V279"/>
  <c r="W279"/>
  <c r="AI279"/>
  <c r="AJ279"/>
  <c r="AN279"/>
  <c r="AO279"/>
  <c r="AQ279"/>
  <c r="I280"/>
  <c r="J280"/>
  <c r="P280"/>
  <c r="R280"/>
  <c r="U280"/>
  <c r="V280"/>
  <c r="W280"/>
  <c r="AI280"/>
  <c r="AJ280"/>
  <c r="AN280"/>
  <c r="AO280"/>
  <c r="AQ280"/>
  <c r="I281"/>
  <c r="J281"/>
  <c r="P281"/>
  <c r="R281"/>
  <c r="U281"/>
  <c r="V281"/>
  <c r="W281"/>
  <c r="AI281"/>
  <c r="AJ281"/>
  <c r="AN281"/>
  <c r="AO281"/>
  <c r="AQ281"/>
  <c r="I282"/>
  <c r="J282"/>
  <c r="P282"/>
  <c r="R282"/>
  <c r="U282"/>
  <c r="V282"/>
  <c r="W282"/>
  <c r="AI282"/>
  <c r="AJ282"/>
  <c r="AN282"/>
  <c r="AO282"/>
  <c r="AQ282"/>
  <c r="I283"/>
  <c r="J283"/>
  <c r="P283"/>
  <c r="R283"/>
  <c r="U283"/>
  <c r="V283"/>
  <c r="W283"/>
  <c r="AI283"/>
  <c r="AJ283"/>
  <c r="AN283"/>
  <c r="AO283"/>
  <c r="AQ283"/>
  <c r="I284"/>
  <c r="J284"/>
  <c r="P284"/>
  <c r="R284"/>
  <c r="U284"/>
  <c r="V284"/>
  <c r="W284"/>
  <c r="AI284"/>
  <c r="AJ284"/>
  <c r="AN284"/>
  <c r="AO284"/>
  <c r="AQ284"/>
  <c r="I285"/>
  <c r="J285"/>
  <c r="R285"/>
  <c r="V285"/>
  <c r="W285"/>
  <c r="AI285"/>
  <c r="AJ285"/>
  <c r="AN285"/>
  <c r="AO285"/>
  <c r="AQ285"/>
  <c r="I286"/>
  <c r="J286"/>
  <c r="P286"/>
  <c r="R286"/>
  <c r="U286"/>
  <c r="V286"/>
  <c r="W286"/>
  <c r="AI286"/>
  <c r="AJ286"/>
  <c r="AN286"/>
  <c r="AO286"/>
  <c r="AQ286"/>
  <c r="I287"/>
  <c r="J287"/>
  <c r="P287"/>
  <c r="R287"/>
  <c r="U287"/>
  <c r="V287"/>
  <c r="W287"/>
  <c r="AJ287"/>
  <c r="AN287"/>
  <c r="AO287"/>
  <c r="AQ287"/>
  <c r="I288"/>
  <c r="J288"/>
  <c r="P288"/>
  <c r="R288"/>
  <c r="U288"/>
  <c r="V288"/>
  <c r="W288"/>
  <c r="AI288"/>
  <c r="AJ288"/>
  <c r="AN288"/>
  <c r="AO288"/>
  <c r="AQ288"/>
  <c r="I289"/>
  <c r="J289"/>
  <c r="P289"/>
  <c r="R289"/>
  <c r="U289"/>
  <c r="V289"/>
  <c r="W289"/>
  <c r="AI289"/>
  <c r="AJ289"/>
  <c r="AN289"/>
  <c r="AO289"/>
  <c r="AQ289"/>
  <c r="I290"/>
  <c r="J290"/>
  <c r="P290"/>
  <c r="R290"/>
  <c r="U290"/>
  <c r="V290"/>
  <c r="W290"/>
  <c r="AI290"/>
  <c r="AJ290"/>
  <c r="AN290"/>
  <c r="AO290"/>
  <c r="AQ290"/>
  <c r="I291"/>
  <c r="J291"/>
  <c r="P291"/>
  <c r="R291"/>
  <c r="U291"/>
  <c r="V291"/>
  <c r="W291"/>
  <c r="AI291"/>
  <c r="AJ291"/>
  <c r="AN291"/>
  <c r="AO291"/>
  <c r="AQ291"/>
  <c r="I292"/>
  <c r="J292"/>
  <c r="P292"/>
  <c r="R292"/>
  <c r="U292"/>
  <c r="V292"/>
  <c r="W292"/>
  <c r="AI292"/>
  <c r="AJ292"/>
  <c r="AN292"/>
  <c r="AO292"/>
  <c r="AQ292"/>
  <c r="I293"/>
  <c r="J293"/>
  <c r="P293"/>
  <c r="R293"/>
  <c r="U293"/>
  <c r="V293"/>
  <c r="W293"/>
  <c r="AI293"/>
  <c r="AJ293"/>
  <c r="AN293"/>
  <c r="AO293"/>
  <c r="AQ293"/>
  <c r="I294"/>
  <c r="J294"/>
  <c r="P294"/>
  <c r="R294"/>
  <c r="U294"/>
  <c r="V294"/>
  <c r="W294"/>
  <c r="AI294"/>
  <c r="AJ294"/>
  <c r="AN294"/>
  <c r="AO294"/>
  <c r="AQ294"/>
  <c r="I295"/>
  <c r="J295"/>
  <c r="P295"/>
  <c r="R295"/>
  <c r="U295"/>
  <c r="V295"/>
  <c r="W295"/>
  <c r="AI295"/>
  <c r="AJ295"/>
  <c r="AN295"/>
  <c r="AO295"/>
  <c r="AQ295"/>
  <c r="I296"/>
  <c r="J296"/>
  <c r="P296"/>
  <c r="R296"/>
  <c r="U296"/>
  <c r="V296"/>
  <c r="W296"/>
  <c r="AI296"/>
  <c r="AJ296"/>
  <c r="AN296"/>
  <c r="AO296"/>
  <c r="AQ296"/>
  <c r="I297"/>
  <c r="J297"/>
  <c r="P297"/>
  <c r="R297"/>
  <c r="U297"/>
  <c r="V297"/>
  <c r="W297"/>
  <c r="AI297"/>
  <c r="AJ297"/>
  <c r="AN297"/>
  <c r="AO297"/>
  <c r="AQ297"/>
  <c r="I298"/>
  <c r="J298"/>
  <c r="P298"/>
  <c r="R298"/>
  <c r="U298"/>
  <c r="V298"/>
  <c r="W298"/>
  <c r="AI298"/>
  <c r="AJ298"/>
  <c r="AN298"/>
  <c r="AO298"/>
  <c r="AQ298"/>
  <c r="I299"/>
  <c r="J299"/>
  <c r="P299"/>
  <c r="R299"/>
  <c r="U299"/>
  <c r="V299"/>
  <c r="W299"/>
  <c r="AI299"/>
  <c r="AJ299"/>
  <c r="AN299"/>
  <c r="AO299"/>
  <c r="AQ299"/>
  <c r="I300"/>
  <c r="J300"/>
  <c r="P300"/>
  <c r="R300"/>
  <c r="U300"/>
  <c r="V300"/>
  <c r="W300"/>
  <c r="AJ300"/>
  <c r="AN300"/>
  <c r="AO300"/>
  <c r="AQ300"/>
  <c r="I301"/>
  <c r="J301"/>
  <c r="P301"/>
  <c r="R301"/>
  <c r="U301"/>
  <c r="V301"/>
  <c r="W301"/>
  <c r="AJ301"/>
  <c r="AN301"/>
  <c r="AO301"/>
  <c r="AQ301"/>
  <c r="I302"/>
  <c r="J302"/>
  <c r="P302"/>
  <c r="R302"/>
  <c r="U302"/>
  <c r="V302"/>
  <c r="W302"/>
  <c r="AJ302"/>
  <c r="AN302"/>
  <c r="AO302"/>
  <c r="AQ302"/>
  <c r="I303"/>
  <c r="J303"/>
  <c r="P303"/>
  <c r="R303"/>
  <c r="U303"/>
  <c r="V303"/>
  <c r="W303"/>
  <c r="AJ303"/>
  <c r="AN303"/>
  <c r="AO303"/>
  <c r="AQ303"/>
  <c r="I304"/>
  <c r="J304"/>
  <c r="R304"/>
  <c r="V304"/>
  <c r="W304"/>
  <c r="AI304"/>
  <c r="AJ304"/>
  <c r="AN304"/>
  <c r="AO304"/>
  <c r="AQ304"/>
  <c r="I305"/>
  <c r="J305"/>
  <c r="P305"/>
  <c r="R305"/>
  <c r="U305"/>
  <c r="V305"/>
  <c r="W305"/>
  <c r="AJ305"/>
  <c r="AN305"/>
  <c r="AO305"/>
  <c r="AQ305"/>
  <c r="I306"/>
  <c r="J306"/>
  <c r="P306"/>
  <c r="R306"/>
  <c r="U306"/>
  <c r="V306"/>
  <c r="W306"/>
  <c r="AJ306"/>
  <c r="AN306"/>
  <c r="AO306"/>
  <c r="AQ306"/>
  <c r="I307"/>
  <c r="J307"/>
  <c r="P307"/>
  <c r="R307"/>
  <c r="U307"/>
  <c r="V307"/>
  <c r="W307"/>
  <c r="AI307"/>
  <c r="AJ307"/>
  <c r="AN307"/>
  <c r="AO307"/>
  <c r="AQ307"/>
  <c r="I308"/>
  <c r="J308"/>
  <c r="R308"/>
  <c r="V308"/>
  <c r="W308"/>
  <c r="AI308"/>
  <c r="AJ308"/>
  <c r="AN308"/>
  <c r="AO308"/>
  <c r="AQ308"/>
  <c r="I309"/>
  <c r="J309"/>
  <c r="P309"/>
  <c r="R309"/>
  <c r="U309"/>
  <c r="V309"/>
  <c r="W309"/>
  <c r="AI309"/>
  <c r="AJ309"/>
  <c r="AN309"/>
  <c r="AO309"/>
  <c r="AQ309"/>
  <c r="I310"/>
  <c r="J310"/>
  <c r="P310"/>
  <c r="R310"/>
  <c r="U310"/>
  <c r="V310"/>
  <c r="W310"/>
  <c r="AJ310"/>
  <c r="AN310"/>
  <c r="AO310"/>
  <c r="AQ310"/>
  <c r="I311"/>
  <c r="J311"/>
  <c r="P311"/>
  <c r="R311"/>
  <c r="U311"/>
  <c r="V311"/>
  <c r="W311"/>
  <c r="AI311"/>
  <c r="AJ311"/>
  <c r="AN311"/>
  <c r="AO311"/>
  <c r="AQ311"/>
  <c r="I312"/>
  <c r="J312"/>
  <c r="P312"/>
  <c r="R312"/>
  <c r="U312"/>
  <c r="V312"/>
  <c r="W312"/>
  <c r="AI312"/>
  <c r="AJ312"/>
  <c r="AN312"/>
  <c r="AO312"/>
  <c r="AQ312"/>
  <c r="I313"/>
  <c r="J313"/>
  <c r="R313"/>
  <c r="V313"/>
  <c r="W313"/>
  <c r="AI313"/>
  <c r="AJ313"/>
  <c r="AN313"/>
  <c r="AO313"/>
  <c r="AQ313"/>
  <c r="I314"/>
  <c r="J314"/>
  <c r="P314"/>
  <c r="R314"/>
  <c r="U314"/>
  <c r="V314"/>
  <c r="W314"/>
  <c r="AI314"/>
  <c r="AJ314"/>
  <c r="AN314"/>
  <c r="AO314"/>
  <c r="AQ314"/>
  <c r="I315"/>
  <c r="J315"/>
  <c r="R315"/>
  <c r="V315"/>
  <c r="W315"/>
  <c r="AI315"/>
  <c r="AJ315"/>
  <c r="AN315"/>
  <c r="AO315"/>
  <c r="AQ315"/>
  <c r="I316"/>
  <c r="J316"/>
  <c r="P316"/>
  <c r="R316"/>
  <c r="U316"/>
  <c r="V316"/>
  <c r="W316"/>
  <c r="AI316"/>
  <c r="AJ316"/>
  <c r="AN316"/>
  <c r="AO316"/>
  <c r="AQ316"/>
  <c r="I317"/>
  <c r="J317"/>
  <c r="P317"/>
  <c r="R317"/>
  <c r="U317"/>
  <c r="V317"/>
  <c r="W317"/>
  <c r="AI317"/>
  <c r="AJ317"/>
  <c r="AN317"/>
  <c r="AO317"/>
  <c r="AQ317"/>
  <c r="I318"/>
  <c r="J318"/>
  <c r="P318"/>
  <c r="R318"/>
  <c r="U318"/>
  <c r="V318"/>
  <c r="W318"/>
  <c r="AI318"/>
  <c r="AJ318"/>
  <c r="AN318"/>
  <c r="AO318"/>
  <c r="AQ318"/>
  <c r="I319"/>
  <c r="J319"/>
  <c r="P319"/>
  <c r="R319"/>
  <c r="U319"/>
  <c r="V319"/>
  <c r="W319"/>
  <c r="AI319"/>
  <c r="AJ319"/>
  <c r="AN319"/>
  <c r="AO319"/>
  <c r="AQ319"/>
  <c r="I320"/>
  <c r="J320"/>
  <c r="P320"/>
  <c r="R320"/>
  <c r="U320"/>
  <c r="V320"/>
  <c r="W320"/>
  <c r="AI320"/>
  <c r="AJ320"/>
  <c r="AN320"/>
  <c r="AO320"/>
  <c r="AQ320"/>
  <c r="I321"/>
  <c r="J321"/>
  <c r="P321"/>
  <c r="R321"/>
  <c r="U321"/>
  <c r="V321"/>
  <c r="W321"/>
  <c r="AI321"/>
  <c r="AJ321"/>
  <c r="AN321"/>
  <c r="AO321"/>
  <c r="AQ321"/>
  <c r="I322"/>
  <c r="J322"/>
  <c r="P322"/>
  <c r="R322"/>
  <c r="U322"/>
  <c r="V322"/>
  <c r="W322"/>
  <c r="AI322"/>
  <c r="AJ322"/>
  <c r="AN322"/>
  <c r="AO322"/>
  <c r="AQ322"/>
  <c r="I323"/>
  <c r="J323"/>
  <c r="R323"/>
  <c r="V323"/>
  <c r="W323"/>
  <c r="AI323"/>
  <c r="AJ323"/>
  <c r="AN323"/>
  <c r="AO323"/>
  <c r="AQ323"/>
  <c r="I324"/>
  <c r="J324"/>
  <c r="P324"/>
  <c r="R324"/>
  <c r="U324"/>
  <c r="V324"/>
  <c r="W324"/>
  <c r="AJ324"/>
  <c r="AN324"/>
  <c r="AO324"/>
  <c r="AQ324"/>
  <c r="I325"/>
  <c r="J325"/>
  <c r="P325"/>
  <c r="R325"/>
  <c r="U325"/>
  <c r="V325"/>
  <c r="W325"/>
  <c r="AJ325"/>
  <c r="AN325"/>
  <c r="AO325"/>
  <c r="AQ325"/>
  <c r="I326"/>
  <c r="J326"/>
  <c r="R326"/>
  <c r="V326"/>
  <c r="W326"/>
  <c r="AI326"/>
  <c r="AJ326"/>
  <c r="AN326"/>
  <c r="AO326"/>
  <c r="AQ326"/>
  <c r="I327"/>
  <c r="J327"/>
  <c r="P327"/>
  <c r="R327"/>
  <c r="U327"/>
  <c r="V327"/>
  <c r="W327"/>
  <c r="AI327"/>
  <c r="AJ327"/>
  <c r="AN327"/>
  <c r="AO327"/>
  <c r="AQ327"/>
  <c r="I328"/>
  <c r="J328"/>
  <c r="P328"/>
  <c r="R328"/>
  <c r="U328"/>
  <c r="V328"/>
  <c r="W328"/>
  <c r="AI328"/>
  <c r="AJ328"/>
  <c r="AN328"/>
  <c r="AO328"/>
  <c r="AQ328"/>
  <c r="I329"/>
  <c r="J329"/>
  <c r="P329"/>
  <c r="R329"/>
  <c r="U329"/>
  <c r="V329"/>
  <c r="W329"/>
  <c r="AI329"/>
  <c r="AJ329"/>
  <c r="AN329"/>
  <c r="AO329"/>
  <c r="AQ329"/>
  <c r="I330"/>
  <c r="J330"/>
  <c r="P330"/>
  <c r="R330"/>
  <c r="U330"/>
  <c r="V330"/>
  <c r="W330"/>
  <c r="AI330"/>
  <c r="AJ330"/>
  <c r="AN330"/>
  <c r="AO330"/>
  <c r="AQ330"/>
  <c r="I331"/>
  <c r="J331"/>
  <c r="P331"/>
  <c r="R331"/>
  <c r="U331"/>
  <c r="V331"/>
  <c r="W331"/>
  <c r="AI331"/>
  <c r="AJ331"/>
  <c r="AN331"/>
  <c r="AO331"/>
  <c r="AQ331"/>
  <c r="I332"/>
  <c r="J332"/>
  <c r="P332"/>
  <c r="R332"/>
  <c r="U332"/>
  <c r="V332"/>
  <c r="W332"/>
  <c r="AI332"/>
  <c r="AJ332"/>
  <c r="AN332"/>
  <c r="AO332"/>
  <c r="AQ332"/>
  <c r="I333"/>
  <c r="J333"/>
  <c r="P333"/>
  <c r="R333"/>
  <c r="U333"/>
  <c r="V333"/>
  <c r="W333"/>
  <c r="AI333"/>
  <c r="AJ333"/>
  <c r="AN333"/>
  <c r="AO333"/>
  <c r="AQ333"/>
  <c r="I334"/>
  <c r="J334"/>
  <c r="P334"/>
  <c r="R334"/>
  <c r="U334"/>
  <c r="V334"/>
  <c r="W334"/>
  <c r="AI334"/>
  <c r="AJ334"/>
  <c r="AN334"/>
  <c r="AO334"/>
  <c r="AQ334"/>
  <c r="I335"/>
  <c r="J335"/>
  <c r="P335"/>
  <c r="R335"/>
  <c r="U335"/>
  <c r="V335"/>
  <c r="W335"/>
  <c r="AI335"/>
  <c r="AJ335"/>
  <c r="AN335"/>
  <c r="AO335"/>
  <c r="AQ335"/>
  <c r="I336"/>
  <c r="J336"/>
  <c r="R336"/>
  <c r="V336"/>
  <c r="W336"/>
  <c r="AI336"/>
  <c r="AJ336"/>
  <c r="AN336"/>
  <c r="AO336"/>
  <c r="AQ336"/>
  <c r="I337"/>
  <c r="J337"/>
  <c r="P337"/>
  <c r="R337"/>
  <c r="U337"/>
  <c r="V337"/>
  <c r="W337"/>
  <c r="AI337"/>
  <c r="AJ337"/>
  <c r="AN337"/>
  <c r="AO337"/>
  <c r="AQ337"/>
  <c r="I338"/>
  <c r="J338"/>
  <c r="P338"/>
  <c r="R338"/>
  <c r="U338"/>
  <c r="V338"/>
  <c r="W338"/>
  <c r="AI338"/>
  <c r="AJ338"/>
  <c r="AN338"/>
  <c r="AO338"/>
  <c r="AQ338"/>
  <c r="I339"/>
  <c r="J339"/>
  <c r="P339"/>
  <c r="R339"/>
  <c r="U339"/>
  <c r="V339"/>
  <c r="W339"/>
  <c r="AJ339"/>
  <c r="AN339"/>
  <c r="AO339"/>
  <c r="AQ339"/>
  <c r="I340"/>
  <c r="J340"/>
  <c r="P340"/>
  <c r="R340"/>
  <c r="U340"/>
  <c r="V340"/>
  <c r="W340"/>
  <c r="AJ340"/>
  <c r="AN340"/>
  <c r="AO340"/>
  <c r="AQ340"/>
  <c r="I341"/>
  <c r="J341"/>
  <c r="P341"/>
  <c r="R341"/>
  <c r="U341"/>
  <c r="V341"/>
  <c r="W341"/>
  <c r="AI341"/>
  <c r="AJ341"/>
  <c r="AN341"/>
  <c r="AO341"/>
  <c r="AQ341"/>
  <c r="I342"/>
  <c r="J342"/>
  <c r="P342"/>
  <c r="R342"/>
  <c r="U342"/>
  <c r="V342"/>
  <c r="W342"/>
  <c r="AJ342"/>
  <c r="AN342"/>
  <c r="AO342"/>
  <c r="AQ342"/>
  <c r="I343"/>
  <c r="J343"/>
  <c r="P343"/>
  <c r="R343"/>
  <c r="U343"/>
  <c r="V343"/>
  <c r="W343"/>
  <c r="AI343"/>
  <c r="AJ343"/>
  <c r="AN343"/>
  <c r="AO343"/>
  <c r="AQ343"/>
  <c r="I344"/>
  <c r="J344"/>
  <c r="P344"/>
  <c r="R344"/>
  <c r="U344"/>
  <c r="V344"/>
  <c r="W344"/>
  <c r="AI344"/>
  <c r="AJ344"/>
  <c r="AN344"/>
  <c r="AO344"/>
  <c r="AQ344"/>
  <c r="I345"/>
  <c r="J345"/>
  <c r="P345"/>
  <c r="R345"/>
  <c r="U345"/>
  <c r="V345"/>
  <c r="W345"/>
  <c r="AI345"/>
  <c r="AJ345"/>
  <c r="AN345"/>
  <c r="AO345"/>
  <c r="AQ345"/>
  <c r="I346"/>
  <c r="J346"/>
  <c r="P346"/>
  <c r="R346"/>
  <c r="U346"/>
  <c r="V346"/>
  <c r="W346"/>
  <c r="AI346"/>
  <c r="AJ346"/>
  <c r="AN346"/>
  <c r="AO346"/>
  <c r="AQ346"/>
  <c r="I347"/>
  <c r="J347"/>
  <c r="P347"/>
  <c r="R347"/>
  <c r="U347"/>
  <c r="V347"/>
  <c r="W347"/>
  <c r="AI347"/>
  <c r="AJ347"/>
  <c r="AN347"/>
  <c r="AO347"/>
  <c r="AQ347"/>
  <c r="I348"/>
  <c r="J348"/>
  <c r="P348"/>
  <c r="R348"/>
  <c r="U348"/>
  <c r="V348"/>
  <c r="W348"/>
  <c r="AI348"/>
  <c r="AJ348"/>
  <c r="AN348"/>
  <c r="AO348"/>
  <c r="AQ348"/>
  <c r="I349"/>
  <c r="J349"/>
  <c r="P349"/>
  <c r="R349"/>
  <c r="U349"/>
  <c r="V349"/>
  <c r="W349"/>
  <c r="AJ349"/>
  <c r="AN349"/>
  <c r="AO349"/>
  <c r="AQ349"/>
  <c r="I350"/>
  <c r="J350"/>
  <c r="P350"/>
  <c r="R350"/>
  <c r="U350"/>
  <c r="V350"/>
  <c r="W350"/>
  <c r="AI350"/>
  <c r="AJ350"/>
  <c r="AN350"/>
  <c r="AO350"/>
  <c r="AQ350"/>
  <c r="I351"/>
  <c r="J351"/>
  <c r="P351"/>
  <c r="R351"/>
  <c r="U351"/>
  <c r="V351"/>
  <c r="W351"/>
  <c r="AI351"/>
  <c r="AJ351"/>
  <c r="AN351"/>
  <c r="AO351"/>
  <c r="AQ351"/>
  <c r="I352"/>
  <c r="J352"/>
  <c r="P352"/>
  <c r="R352"/>
  <c r="U352"/>
  <c r="V352"/>
  <c r="W352"/>
  <c r="AJ352"/>
  <c r="AN352"/>
  <c r="AO352"/>
  <c r="AQ352"/>
  <c r="I353"/>
  <c r="J353"/>
  <c r="P353"/>
  <c r="R353"/>
  <c r="U353"/>
  <c r="V353"/>
  <c r="W353"/>
  <c r="AJ353"/>
  <c r="AN353"/>
  <c r="AO353"/>
  <c r="AQ353"/>
  <c r="I354"/>
  <c r="J354"/>
  <c r="P354"/>
  <c r="R354"/>
  <c r="U354"/>
  <c r="V354"/>
  <c r="W354"/>
  <c r="AJ354"/>
  <c r="AN354"/>
  <c r="AO354"/>
  <c r="AQ354"/>
  <c r="I355"/>
  <c r="J355"/>
  <c r="P355"/>
  <c r="R355"/>
  <c r="U355"/>
  <c r="V355"/>
  <c r="W355"/>
  <c r="AI355"/>
  <c r="AJ355"/>
  <c r="AN355"/>
  <c r="AO355"/>
  <c r="AQ355"/>
  <c r="I356"/>
  <c r="J356"/>
  <c r="R356"/>
  <c r="V356"/>
  <c r="W356"/>
  <c r="AI356"/>
  <c r="AJ356"/>
  <c r="AN356"/>
  <c r="AO356"/>
  <c r="AQ356"/>
  <c r="I357"/>
  <c r="J357"/>
  <c r="P357"/>
  <c r="R357"/>
  <c r="U357"/>
  <c r="V357"/>
  <c r="W357"/>
  <c r="AI357"/>
  <c r="AJ357"/>
  <c r="AN357"/>
  <c r="AO357"/>
  <c r="AQ357"/>
  <c r="I358"/>
  <c r="J358"/>
  <c r="R358"/>
  <c r="V358"/>
  <c r="W358"/>
  <c r="AI358"/>
  <c r="AJ358"/>
  <c r="AN358"/>
  <c r="AO358"/>
  <c r="AQ358"/>
  <c r="I359"/>
  <c r="J359"/>
  <c r="P359"/>
  <c r="R359"/>
  <c r="U359"/>
  <c r="V359"/>
  <c r="W359"/>
  <c r="AJ359"/>
  <c r="AN359"/>
  <c r="AO359"/>
  <c r="AQ359"/>
  <c r="I360"/>
  <c r="J360"/>
  <c r="P360"/>
  <c r="R360"/>
  <c r="U360"/>
  <c r="V360"/>
  <c r="W360"/>
  <c r="AJ360"/>
  <c r="AN360"/>
  <c r="AO360"/>
  <c r="AQ360"/>
  <c r="I361"/>
  <c r="J361"/>
  <c r="P361"/>
  <c r="R361"/>
  <c r="U361"/>
  <c r="V361"/>
  <c r="W361"/>
  <c r="AJ361"/>
  <c r="AN361"/>
  <c r="AO361"/>
  <c r="AQ361"/>
  <c r="I362"/>
  <c r="J362"/>
  <c r="P362"/>
  <c r="R362"/>
  <c r="U362"/>
  <c r="V362"/>
  <c r="W362"/>
  <c r="AI362"/>
  <c r="AJ362"/>
  <c r="AN362"/>
  <c r="AO362"/>
  <c r="AQ362"/>
  <c r="I363"/>
  <c r="J363"/>
  <c r="P363"/>
  <c r="R363"/>
  <c r="U363"/>
  <c r="V363"/>
  <c r="W363"/>
  <c r="AI363"/>
  <c r="AJ363"/>
  <c r="AN363"/>
  <c r="AO363"/>
  <c r="AQ363"/>
  <c r="I364"/>
  <c r="J364"/>
  <c r="P364"/>
  <c r="R364"/>
  <c r="U364"/>
  <c r="V364"/>
  <c r="W364"/>
  <c r="AJ364"/>
  <c r="AN364"/>
  <c r="AO364"/>
  <c r="AQ364"/>
  <c r="I365"/>
  <c r="J365"/>
  <c r="P365"/>
  <c r="R365"/>
  <c r="U365"/>
  <c r="V365"/>
  <c r="W365"/>
  <c r="AI365"/>
  <c r="AJ365"/>
  <c r="AN365"/>
  <c r="AO365"/>
  <c r="AQ365"/>
  <c r="I366"/>
  <c r="J366"/>
  <c r="P366"/>
  <c r="R366"/>
  <c r="U366"/>
  <c r="V366"/>
  <c r="W366"/>
  <c r="AJ366"/>
  <c r="AN366"/>
  <c r="AO366"/>
  <c r="AQ366"/>
  <c r="I367"/>
  <c r="J367"/>
  <c r="P367"/>
  <c r="R367"/>
  <c r="U367"/>
  <c r="V367"/>
  <c r="W367"/>
  <c r="AJ367"/>
  <c r="AN367"/>
  <c r="AO367"/>
  <c r="AQ367"/>
  <c r="I368"/>
  <c r="J368"/>
  <c r="P368"/>
  <c r="R368"/>
  <c r="U368"/>
  <c r="V368"/>
  <c r="W368"/>
  <c r="AJ368"/>
  <c r="AN368"/>
  <c r="AO368"/>
  <c r="AQ368"/>
  <c r="I369"/>
  <c r="J369"/>
  <c r="P369"/>
  <c r="R369"/>
  <c r="U369"/>
  <c r="V369"/>
  <c r="W369"/>
  <c r="AI369"/>
  <c r="AJ369"/>
  <c r="AN369"/>
  <c r="AO369"/>
  <c r="AQ369"/>
  <c r="I370"/>
  <c r="J370"/>
  <c r="P370"/>
  <c r="R370"/>
  <c r="U370"/>
  <c r="V370"/>
  <c r="W370"/>
  <c r="AI370"/>
  <c r="AJ370"/>
  <c r="AN370"/>
  <c r="AO370"/>
  <c r="AQ370"/>
  <c r="I371"/>
  <c r="J371"/>
  <c r="P371"/>
  <c r="R371"/>
  <c r="U371"/>
  <c r="V371"/>
  <c r="W371"/>
  <c r="AI371"/>
  <c r="AJ371"/>
  <c r="AN371"/>
  <c r="AO371"/>
  <c r="AQ371"/>
  <c r="I372"/>
  <c r="J372"/>
  <c r="P372"/>
  <c r="R372"/>
  <c r="U372"/>
  <c r="V372"/>
  <c r="W372"/>
  <c r="AI372"/>
  <c r="AJ372"/>
  <c r="AN372"/>
  <c r="AO372"/>
  <c r="AQ372"/>
  <c r="I373"/>
  <c r="J373"/>
  <c r="P373"/>
  <c r="R373"/>
  <c r="U373"/>
  <c r="V373"/>
  <c r="W373"/>
  <c r="AI373"/>
  <c r="AJ373"/>
  <c r="AN373"/>
  <c r="AO373"/>
  <c r="AQ373"/>
  <c r="I374"/>
  <c r="J374"/>
  <c r="P374"/>
  <c r="R374"/>
  <c r="U374"/>
  <c r="V374"/>
  <c r="W374"/>
  <c r="AI374"/>
  <c r="AJ374"/>
  <c r="AN374"/>
  <c r="AO374"/>
  <c r="AQ374"/>
  <c r="I375"/>
  <c r="J375"/>
  <c r="P375"/>
  <c r="R375"/>
  <c r="U375"/>
  <c r="V375"/>
  <c r="W375"/>
  <c r="AI375"/>
  <c r="AJ375"/>
  <c r="AN375"/>
  <c r="AO375"/>
  <c r="AQ375"/>
  <c r="I376"/>
  <c r="J376"/>
  <c r="P376"/>
  <c r="R376"/>
  <c r="U376"/>
  <c r="V376"/>
  <c r="W376"/>
  <c r="AI376"/>
  <c r="AJ376"/>
  <c r="AN376"/>
  <c r="AO376"/>
  <c r="AQ376"/>
  <c r="I377"/>
  <c r="J377"/>
  <c r="P377"/>
  <c r="R377"/>
  <c r="U377"/>
  <c r="V377"/>
  <c r="W377"/>
  <c r="AI377"/>
  <c r="AJ377"/>
  <c r="AN377"/>
  <c r="AO377"/>
  <c r="AQ377"/>
  <c r="I378"/>
  <c r="J378"/>
  <c r="P378"/>
  <c r="R378"/>
  <c r="U378"/>
  <c r="V378"/>
  <c r="W378"/>
  <c r="AI378"/>
  <c r="AJ378"/>
  <c r="AN378"/>
  <c r="AO378"/>
  <c r="AQ378"/>
  <c r="I379"/>
  <c r="J379"/>
  <c r="P379"/>
  <c r="R379"/>
  <c r="U379"/>
  <c r="V379"/>
  <c r="W379"/>
  <c r="AI379"/>
  <c r="AJ379"/>
  <c r="AN379"/>
  <c r="AO379"/>
  <c r="AQ379"/>
  <c r="I380"/>
  <c r="J380"/>
  <c r="P380"/>
  <c r="R380"/>
  <c r="U380"/>
  <c r="V380"/>
  <c r="W380"/>
  <c r="AI380"/>
  <c r="AJ380"/>
  <c r="AN380"/>
  <c r="AO380"/>
  <c r="AQ380"/>
  <c r="I381"/>
  <c r="J381"/>
  <c r="P381"/>
  <c r="R381"/>
  <c r="U381"/>
  <c r="V381"/>
  <c r="W381"/>
  <c r="AI381"/>
  <c r="AJ381"/>
  <c r="AN381"/>
  <c r="AO381"/>
  <c r="AQ381"/>
  <c r="I382"/>
  <c r="J382"/>
  <c r="P382"/>
  <c r="R382"/>
  <c r="U382"/>
  <c r="V382"/>
  <c r="W382"/>
  <c r="AI382"/>
  <c r="AJ382"/>
  <c r="AN382"/>
  <c r="AO382"/>
  <c r="AQ382"/>
  <c r="I383"/>
  <c r="J383"/>
  <c r="P383"/>
  <c r="R383"/>
  <c r="U383"/>
  <c r="V383"/>
  <c r="W383"/>
  <c r="AI383"/>
  <c r="AJ383"/>
  <c r="AN383"/>
  <c r="AO383"/>
  <c r="AQ383"/>
  <c r="I384"/>
  <c r="J384"/>
  <c r="P384"/>
  <c r="R384"/>
  <c r="U384"/>
  <c r="V384"/>
  <c r="W384"/>
  <c r="AI384"/>
  <c r="AJ384"/>
  <c r="AN384"/>
  <c r="AO384"/>
  <c r="AQ384"/>
  <c r="I385"/>
  <c r="J385"/>
  <c r="R385"/>
  <c r="V385"/>
  <c r="W385"/>
  <c r="AI385"/>
  <c r="AJ385"/>
  <c r="AN385"/>
  <c r="AO385"/>
  <c r="AQ385"/>
  <c r="I386"/>
  <c r="J386"/>
  <c r="R386"/>
  <c r="V386"/>
  <c r="W386"/>
  <c r="AI386"/>
  <c r="AJ386"/>
  <c r="AN386"/>
  <c r="AO386"/>
  <c r="AQ386"/>
  <c r="I387"/>
  <c r="J387"/>
  <c r="P387"/>
  <c r="R387"/>
  <c r="U387"/>
  <c r="V387"/>
  <c r="W387"/>
  <c r="AI387"/>
  <c r="AJ387"/>
  <c r="AN387"/>
  <c r="AO387"/>
  <c r="AQ387"/>
  <c r="I388"/>
  <c r="J388"/>
  <c r="P388"/>
  <c r="R388"/>
  <c r="U388"/>
  <c r="V388"/>
  <c r="W388"/>
  <c r="AI388"/>
  <c r="AJ388"/>
  <c r="AN388"/>
  <c r="AO388"/>
  <c r="AQ388"/>
  <c r="I389"/>
  <c r="J389"/>
  <c r="P389"/>
  <c r="R389"/>
  <c r="U389"/>
  <c r="V389"/>
  <c r="W389"/>
  <c r="AI389"/>
  <c r="AJ389"/>
  <c r="AN389"/>
  <c r="AO389"/>
  <c r="AQ389"/>
  <c r="I390"/>
  <c r="J390"/>
  <c r="P390"/>
  <c r="R390"/>
  <c r="U390"/>
  <c r="V390"/>
  <c r="W390"/>
  <c r="AJ390"/>
  <c r="AN390"/>
  <c r="AO390"/>
  <c r="AQ390"/>
  <c r="I391"/>
  <c r="J391"/>
  <c r="P391"/>
  <c r="R391"/>
  <c r="U391"/>
  <c r="V391"/>
  <c r="W391"/>
  <c r="AI391"/>
  <c r="AJ391"/>
  <c r="AN391"/>
  <c r="AO391"/>
  <c r="AQ391"/>
  <c r="I392"/>
  <c r="J392"/>
  <c r="P392"/>
  <c r="R392"/>
  <c r="U392"/>
  <c r="V392"/>
  <c r="W392"/>
  <c r="AI392"/>
  <c r="AJ392"/>
  <c r="AN392"/>
  <c r="AO392"/>
  <c r="AQ392"/>
  <c r="I393"/>
  <c r="J393"/>
  <c r="P393"/>
  <c r="R393"/>
  <c r="U393"/>
  <c r="V393"/>
  <c r="W393"/>
  <c r="AI393"/>
  <c r="AJ393"/>
  <c r="AN393"/>
  <c r="AO393"/>
  <c r="AQ393"/>
  <c r="I394"/>
  <c r="J394"/>
  <c r="R394"/>
  <c r="V394"/>
  <c r="W394"/>
  <c r="AI394"/>
  <c r="AJ394"/>
  <c r="AN394"/>
  <c r="AO394"/>
  <c r="AQ394"/>
  <c r="I395"/>
  <c r="J395"/>
  <c r="P395"/>
  <c r="R395"/>
  <c r="U395"/>
  <c r="V395"/>
  <c r="W395"/>
  <c r="AI395"/>
  <c r="AJ395"/>
  <c r="AN395"/>
  <c r="AO395"/>
  <c r="AQ395"/>
  <c r="I396"/>
  <c r="J396"/>
  <c r="P396"/>
  <c r="R396"/>
  <c r="U396"/>
  <c r="V396"/>
  <c r="W396"/>
  <c r="AI396"/>
  <c r="AJ396"/>
  <c r="AN396"/>
  <c r="AO396"/>
  <c r="AQ396"/>
  <c r="I397"/>
  <c r="J397"/>
  <c r="P397"/>
  <c r="R397"/>
  <c r="U397"/>
  <c r="V397"/>
  <c r="W397"/>
  <c r="AI397"/>
  <c r="AJ397"/>
  <c r="AN397"/>
  <c r="AO397"/>
  <c r="AQ397"/>
  <c r="I398"/>
  <c r="J398"/>
  <c r="P398"/>
  <c r="R398"/>
  <c r="U398"/>
  <c r="V398"/>
  <c r="W398"/>
  <c r="AI398"/>
  <c r="AJ398"/>
  <c r="AN398"/>
  <c r="AO398"/>
  <c r="AQ398"/>
  <c r="I399"/>
  <c r="J399"/>
  <c r="P399"/>
  <c r="R399"/>
  <c r="U399"/>
  <c r="V399"/>
  <c r="W399"/>
  <c r="AI399"/>
  <c r="AJ399"/>
  <c r="AN399"/>
  <c r="AO399"/>
  <c r="AQ399"/>
  <c r="I400"/>
  <c r="J400"/>
  <c r="P400"/>
  <c r="R400"/>
  <c r="U400"/>
  <c r="V400"/>
  <c r="W400"/>
  <c r="AI400"/>
  <c r="AJ400"/>
  <c r="AN400"/>
  <c r="AO400"/>
  <c r="AQ400"/>
  <c r="I401"/>
  <c r="J401"/>
  <c r="P401"/>
  <c r="R401"/>
  <c r="U401"/>
  <c r="V401"/>
  <c r="W401"/>
  <c r="AJ401"/>
  <c r="AN401"/>
  <c r="AO401"/>
  <c r="AQ401"/>
  <c r="I402"/>
  <c r="J402"/>
  <c r="P402"/>
  <c r="R402"/>
  <c r="U402"/>
  <c r="V402"/>
  <c r="W402"/>
  <c r="AI402"/>
  <c r="AJ402"/>
  <c r="AN402"/>
  <c r="AO402"/>
  <c r="AQ402"/>
  <c r="I403"/>
  <c r="J403"/>
  <c r="P403"/>
  <c r="R403"/>
  <c r="U403"/>
  <c r="V403"/>
  <c r="W403"/>
  <c r="AI403"/>
  <c r="AJ403"/>
  <c r="AN403"/>
  <c r="AO403"/>
  <c r="AQ403"/>
  <c r="I404"/>
  <c r="J404"/>
  <c r="P404"/>
  <c r="R404"/>
  <c r="U404"/>
  <c r="V404"/>
  <c r="W404"/>
  <c r="AI404"/>
  <c r="AJ404"/>
  <c r="AN404"/>
  <c r="AO404"/>
  <c r="AQ404"/>
  <c r="I405"/>
  <c r="J405"/>
  <c r="P405"/>
  <c r="R405"/>
  <c r="U405"/>
  <c r="V405"/>
  <c r="W405"/>
  <c r="AI405"/>
  <c r="AJ405"/>
  <c r="AN405"/>
  <c r="AO405"/>
  <c r="AQ405"/>
  <c r="I406"/>
  <c r="J406"/>
  <c r="P406"/>
  <c r="R406"/>
  <c r="U406"/>
  <c r="V406"/>
  <c r="W406"/>
  <c r="AJ406"/>
  <c r="AN406"/>
  <c r="AO406"/>
  <c r="AQ406"/>
  <c r="I407"/>
  <c r="J407"/>
  <c r="P407"/>
  <c r="R407"/>
  <c r="U407"/>
  <c r="V407"/>
  <c r="W407"/>
  <c r="AJ407"/>
  <c r="AN407"/>
  <c r="AO407"/>
  <c r="AQ407"/>
  <c r="I408"/>
  <c r="J408"/>
  <c r="R408"/>
  <c r="V408"/>
  <c r="W408"/>
  <c r="AI408"/>
  <c r="AJ408"/>
  <c r="AN408"/>
  <c r="AO408"/>
  <c r="AQ408"/>
  <c r="I409"/>
  <c r="J409"/>
  <c r="P409"/>
  <c r="R409"/>
  <c r="U409"/>
  <c r="V409"/>
  <c r="W409"/>
  <c r="AI409"/>
  <c r="AJ409"/>
  <c r="AN409"/>
  <c r="AO409"/>
  <c r="AQ409"/>
  <c r="I410"/>
  <c r="J410"/>
  <c r="P410"/>
  <c r="R410"/>
  <c r="U410"/>
  <c r="V410"/>
  <c r="W410"/>
  <c r="AI410"/>
  <c r="AJ410"/>
  <c r="AN410"/>
  <c r="AO410"/>
  <c r="AQ410"/>
  <c r="I411"/>
  <c r="J411"/>
  <c r="P411"/>
  <c r="R411"/>
  <c r="U411"/>
  <c r="V411"/>
  <c r="W411"/>
  <c r="AI411"/>
  <c r="AJ411"/>
  <c r="AN411"/>
  <c r="AO411"/>
  <c r="AQ411"/>
  <c r="I412"/>
  <c r="J412"/>
  <c r="P412"/>
  <c r="R412"/>
  <c r="U412"/>
  <c r="V412"/>
  <c r="W412"/>
  <c r="AI412"/>
  <c r="AJ412"/>
  <c r="AN412"/>
  <c r="AO412"/>
  <c r="AQ412"/>
  <c r="I413"/>
  <c r="J413"/>
  <c r="P413"/>
  <c r="R413"/>
  <c r="U413"/>
  <c r="V413"/>
  <c r="W413"/>
  <c r="AI413"/>
  <c r="AJ413"/>
  <c r="AN413"/>
  <c r="AO413"/>
  <c r="AQ413"/>
  <c r="I414"/>
  <c r="J414"/>
  <c r="P414"/>
  <c r="R414"/>
  <c r="U414"/>
  <c r="V414"/>
  <c r="W414"/>
  <c r="AI414"/>
  <c r="AJ414"/>
  <c r="AN414"/>
  <c r="AO414"/>
  <c r="AQ414"/>
  <c r="I415"/>
  <c r="J415"/>
  <c r="P415"/>
  <c r="R415"/>
  <c r="U415"/>
  <c r="V415"/>
  <c r="W415"/>
  <c r="AJ415"/>
  <c r="AN415"/>
  <c r="AO415"/>
  <c r="AQ415"/>
  <c r="I416"/>
  <c r="J416"/>
  <c r="P416"/>
  <c r="R416"/>
  <c r="U416"/>
  <c r="V416"/>
  <c r="W416"/>
  <c r="AI416"/>
  <c r="AJ416"/>
  <c r="AN416"/>
  <c r="AO416"/>
  <c r="AQ416"/>
  <c r="I417"/>
  <c r="J417"/>
  <c r="P417"/>
  <c r="R417"/>
  <c r="U417"/>
  <c r="V417"/>
  <c r="W417"/>
  <c r="AI417"/>
  <c r="AJ417"/>
  <c r="AN417"/>
  <c r="AO417"/>
  <c r="AQ417"/>
  <c r="I418"/>
  <c r="J418"/>
  <c r="P418"/>
  <c r="R418"/>
  <c r="U418"/>
  <c r="V418"/>
  <c r="W418"/>
  <c r="AJ418"/>
  <c r="AN418"/>
  <c r="AO418"/>
  <c r="AQ418"/>
  <c r="I419"/>
  <c r="J419"/>
  <c r="P419"/>
  <c r="R419"/>
  <c r="U419"/>
  <c r="V419"/>
  <c r="W419"/>
  <c r="AI419"/>
  <c r="AJ419"/>
  <c r="AN419"/>
  <c r="AO419"/>
  <c r="AQ419"/>
  <c r="I420"/>
  <c r="J420"/>
  <c r="P420"/>
  <c r="R420"/>
  <c r="U420"/>
  <c r="V420"/>
  <c r="W420"/>
  <c r="AI420"/>
  <c r="AJ420"/>
  <c r="AN420"/>
  <c r="AO420"/>
  <c r="AQ420"/>
  <c r="I421"/>
  <c r="J421"/>
  <c r="P421"/>
  <c r="R421"/>
  <c r="U421"/>
  <c r="V421"/>
  <c r="W421"/>
  <c r="AJ421"/>
  <c r="AN421"/>
  <c r="AO421"/>
  <c r="AQ421"/>
  <c r="I422"/>
  <c r="J422"/>
  <c r="P422"/>
  <c r="R422"/>
  <c r="U422"/>
  <c r="V422"/>
  <c r="W422"/>
  <c r="AI422"/>
  <c r="AJ422"/>
  <c r="AN422"/>
  <c r="AO422"/>
  <c r="AQ422"/>
  <c r="I423"/>
  <c r="J423"/>
  <c r="P423"/>
  <c r="R423"/>
  <c r="U423"/>
  <c r="V423"/>
  <c r="W423"/>
  <c r="AI423"/>
  <c r="AJ423"/>
  <c r="AN423"/>
  <c r="AO423"/>
  <c r="AQ423"/>
  <c r="I424"/>
  <c r="J424"/>
  <c r="P424"/>
  <c r="R424"/>
  <c r="U424"/>
  <c r="V424"/>
  <c r="W424"/>
  <c r="AI424"/>
  <c r="AJ424"/>
  <c r="AN424"/>
  <c r="AO424"/>
  <c r="AQ424"/>
  <c r="I425"/>
  <c r="J425"/>
  <c r="P425"/>
  <c r="R425"/>
  <c r="U425"/>
  <c r="V425"/>
  <c r="W425"/>
  <c r="AI425"/>
  <c r="AJ425"/>
  <c r="AN425"/>
  <c r="AO425"/>
  <c r="AQ425"/>
  <c r="I426"/>
  <c r="J426"/>
  <c r="P426"/>
  <c r="R426"/>
  <c r="U426"/>
  <c r="V426"/>
  <c r="W426"/>
  <c r="AI426"/>
  <c r="AJ426"/>
  <c r="AN426"/>
  <c r="AO426"/>
  <c r="AQ426"/>
  <c r="I427"/>
  <c r="J427"/>
  <c r="P427"/>
  <c r="R427"/>
  <c r="U427"/>
  <c r="V427"/>
  <c r="W427"/>
  <c r="AI427"/>
  <c r="AJ427"/>
  <c r="AN427"/>
  <c r="AO427"/>
  <c r="AQ427"/>
  <c r="I428"/>
  <c r="J428"/>
  <c r="P428"/>
  <c r="R428"/>
  <c r="U428"/>
  <c r="V428"/>
  <c r="W428"/>
  <c r="AI428"/>
  <c r="AJ428"/>
  <c r="AN428"/>
  <c r="AO428"/>
  <c r="AQ428"/>
  <c r="I429"/>
  <c r="J429"/>
  <c r="P429"/>
  <c r="R429"/>
  <c r="U429"/>
  <c r="V429"/>
  <c r="W429"/>
  <c r="AI429"/>
  <c r="AJ429"/>
  <c r="AN429"/>
  <c r="AO429"/>
  <c r="AQ429"/>
  <c r="I430"/>
  <c r="J430"/>
  <c r="P430"/>
  <c r="R430"/>
  <c r="U430"/>
  <c r="V430"/>
  <c r="W430"/>
  <c r="AI430"/>
  <c r="AJ430"/>
  <c r="AN430"/>
  <c r="AO430"/>
  <c r="AQ430"/>
  <c r="I431"/>
  <c r="J431"/>
  <c r="P431"/>
  <c r="R431"/>
  <c r="U431"/>
  <c r="V431"/>
  <c r="W431"/>
  <c r="AI431"/>
  <c r="AJ431"/>
  <c r="AN431"/>
  <c r="AO431"/>
  <c r="AQ431"/>
  <c r="I432"/>
  <c r="J432"/>
  <c r="P432"/>
  <c r="R432"/>
  <c r="U432"/>
  <c r="V432"/>
  <c r="W432"/>
  <c r="AI432"/>
  <c r="AJ432"/>
  <c r="AN432"/>
  <c r="AO432"/>
  <c r="AQ432"/>
  <c r="I433"/>
  <c r="J433"/>
  <c r="P433"/>
  <c r="R433"/>
  <c r="U433"/>
  <c r="V433"/>
  <c r="W433"/>
  <c r="AJ433"/>
  <c r="AN433"/>
  <c r="AO433"/>
  <c r="AQ433"/>
  <c r="I434"/>
  <c r="J434"/>
  <c r="P434"/>
  <c r="R434"/>
  <c r="U434"/>
  <c r="V434"/>
  <c r="W434"/>
  <c r="AJ434"/>
  <c r="AN434"/>
  <c r="AO434"/>
  <c r="AQ434"/>
  <c r="I435"/>
  <c r="J435"/>
  <c r="P435"/>
  <c r="R435"/>
  <c r="U435"/>
  <c r="V435"/>
  <c r="W435"/>
  <c r="AJ435"/>
  <c r="AN435"/>
  <c r="AO435"/>
  <c r="AQ435"/>
  <c r="I436"/>
  <c r="J436"/>
  <c r="P436"/>
  <c r="R436"/>
  <c r="U436"/>
  <c r="V436"/>
  <c r="W436"/>
  <c r="AI436"/>
  <c r="AJ436"/>
  <c r="AN436"/>
  <c r="AO436"/>
  <c r="AQ436"/>
  <c r="I437"/>
  <c r="J437"/>
  <c r="P437"/>
  <c r="R437"/>
  <c r="U437"/>
  <c r="V437"/>
  <c r="W437"/>
  <c r="AJ437"/>
  <c r="AN437"/>
  <c r="AO437"/>
  <c r="AQ437"/>
  <c r="I438"/>
  <c r="J438"/>
  <c r="P438"/>
  <c r="R438"/>
  <c r="U438"/>
  <c r="V438"/>
  <c r="W438"/>
  <c r="AI438"/>
  <c r="AJ438"/>
  <c r="AN438"/>
  <c r="AO438"/>
  <c r="AQ438"/>
  <c r="I439"/>
  <c r="J439"/>
  <c r="P439"/>
  <c r="R439"/>
  <c r="U439"/>
  <c r="V439"/>
  <c r="W439"/>
  <c r="AI439"/>
  <c r="AJ439"/>
  <c r="AN439"/>
  <c r="AO439"/>
  <c r="AQ439"/>
  <c r="I440"/>
  <c r="J440"/>
  <c r="P440"/>
  <c r="R440"/>
  <c r="U440"/>
  <c r="V440"/>
  <c r="W440"/>
  <c r="AI440"/>
  <c r="AJ440"/>
  <c r="AN440"/>
  <c r="AO440"/>
  <c r="AQ440"/>
  <c r="I441"/>
  <c r="J441"/>
  <c r="P441"/>
  <c r="R441"/>
  <c r="U441"/>
  <c r="V441"/>
  <c r="W441"/>
  <c r="AI441"/>
  <c r="AJ441"/>
  <c r="AN441"/>
  <c r="AO441"/>
  <c r="AQ441"/>
  <c r="I442"/>
  <c r="J442"/>
  <c r="P442"/>
  <c r="R442"/>
  <c r="U442"/>
  <c r="V442"/>
  <c r="W442"/>
  <c r="AJ442"/>
  <c r="AN442"/>
  <c r="AO442"/>
  <c r="AQ442"/>
  <c r="I443"/>
  <c r="J443"/>
  <c r="P443"/>
  <c r="R443"/>
  <c r="U443"/>
  <c r="V443"/>
  <c r="W443"/>
  <c r="AI443"/>
  <c r="AJ443"/>
  <c r="AN443"/>
  <c r="AO443"/>
  <c r="AQ443"/>
  <c r="I444"/>
  <c r="J444"/>
  <c r="P444"/>
  <c r="R444"/>
  <c r="U444"/>
  <c r="V444"/>
  <c r="W444"/>
  <c r="AJ444"/>
  <c r="AN444"/>
  <c r="AO444"/>
  <c r="AQ444"/>
  <c r="I445"/>
  <c r="J445"/>
  <c r="P445"/>
  <c r="R445"/>
  <c r="U445"/>
  <c r="V445"/>
  <c r="W445"/>
  <c r="AJ445"/>
  <c r="AN445"/>
  <c r="AO445"/>
  <c r="AQ445"/>
  <c r="I446"/>
  <c r="J446"/>
  <c r="P446"/>
  <c r="R446"/>
  <c r="U446"/>
  <c r="V446"/>
  <c r="W446"/>
  <c r="AI446"/>
  <c r="AJ446"/>
  <c r="AN446"/>
  <c r="AO446"/>
  <c r="AQ446"/>
  <c r="I447"/>
  <c r="J447"/>
  <c r="P447"/>
  <c r="R447"/>
  <c r="U447"/>
  <c r="V447"/>
  <c r="W447"/>
  <c r="AJ447"/>
  <c r="AN447"/>
  <c r="AO447"/>
  <c r="AQ447"/>
  <c r="I448"/>
  <c r="J448"/>
  <c r="P448"/>
  <c r="R448"/>
  <c r="U448"/>
  <c r="V448"/>
  <c r="W448"/>
  <c r="AI448"/>
  <c r="AJ448"/>
  <c r="AN448"/>
  <c r="AO448"/>
  <c r="AQ448"/>
  <c r="I449"/>
  <c r="J449"/>
  <c r="P449"/>
  <c r="R449"/>
  <c r="U449"/>
  <c r="V449"/>
  <c r="W449"/>
  <c r="AI449"/>
  <c r="AJ449"/>
  <c r="AN449"/>
  <c r="AO449"/>
  <c r="AQ449"/>
  <c r="I450"/>
  <c r="J450"/>
  <c r="P450"/>
  <c r="R450"/>
  <c r="U450"/>
  <c r="V450"/>
  <c r="W450"/>
  <c r="AI450"/>
  <c r="AJ450"/>
  <c r="AN450"/>
  <c r="AO450"/>
  <c r="AQ450"/>
  <c r="I451"/>
  <c r="J451"/>
  <c r="P451"/>
  <c r="R451"/>
  <c r="U451"/>
  <c r="V451"/>
  <c r="W451"/>
  <c r="AI451"/>
  <c r="AJ451"/>
  <c r="AN451"/>
  <c r="AO451"/>
  <c r="AQ451"/>
  <c r="I452"/>
  <c r="J452"/>
  <c r="P452"/>
  <c r="R452"/>
  <c r="U452"/>
  <c r="V452"/>
  <c r="W452"/>
  <c r="AI452"/>
  <c r="AJ452"/>
  <c r="AN452"/>
  <c r="AO452"/>
  <c r="AQ452"/>
  <c r="I453"/>
  <c r="J453"/>
  <c r="P453"/>
  <c r="R453"/>
  <c r="U453"/>
  <c r="V453"/>
  <c r="W453"/>
  <c r="AJ453"/>
  <c r="AN453"/>
  <c r="AO453"/>
  <c r="AQ453"/>
  <c r="I454"/>
  <c r="J454"/>
  <c r="P454"/>
  <c r="R454"/>
  <c r="U454"/>
  <c r="V454"/>
  <c r="W454"/>
  <c r="AI454"/>
  <c r="AJ454"/>
  <c r="AN454"/>
  <c r="AO454"/>
  <c r="AQ454"/>
  <c r="I455"/>
  <c r="J455"/>
  <c r="P455"/>
  <c r="R455"/>
  <c r="U455"/>
  <c r="V455"/>
  <c r="W455"/>
  <c r="AI455"/>
  <c r="AJ455"/>
  <c r="AN455"/>
  <c r="AO455"/>
  <c r="AQ455"/>
  <c r="I456"/>
  <c r="J456"/>
  <c r="P456"/>
  <c r="R456"/>
  <c r="U456"/>
  <c r="V456"/>
  <c r="W456"/>
  <c r="AI456"/>
  <c r="AJ456"/>
  <c r="AN456"/>
  <c r="AO456"/>
  <c r="AQ456"/>
  <c r="I457"/>
  <c r="J457"/>
  <c r="P457"/>
  <c r="R457"/>
  <c r="U457"/>
  <c r="V457"/>
  <c r="W457"/>
  <c r="AI457"/>
  <c r="AJ457"/>
  <c r="AN457"/>
  <c r="AO457"/>
  <c r="AQ457"/>
  <c r="I458"/>
  <c r="J458"/>
  <c r="P458"/>
  <c r="R458"/>
  <c r="U458"/>
  <c r="V458"/>
  <c r="W458"/>
  <c r="AJ458"/>
  <c r="AN458"/>
  <c r="AO458"/>
  <c r="AQ458"/>
  <c r="I459"/>
  <c r="J459"/>
  <c r="P459"/>
  <c r="R459"/>
  <c r="U459"/>
  <c r="V459"/>
  <c r="W459"/>
  <c r="AI459"/>
  <c r="AJ459"/>
  <c r="AN459"/>
  <c r="AO459"/>
  <c r="AQ459"/>
  <c r="I460"/>
  <c r="J460"/>
  <c r="P460"/>
  <c r="R460"/>
  <c r="U460"/>
  <c r="V460"/>
  <c r="W460"/>
  <c r="AI460"/>
  <c r="AJ460"/>
  <c r="AN460"/>
  <c r="AO460"/>
  <c r="AQ460"/>
  <c r="I461"/>
  <c r="J461"/>
  <c r="P461"/>
  <c r="R461"/>
  <c r="U461"/>
  <c r="V461"/>
  <c r="W461"/>
  <c r="AJ461"/>
  <c r="AN461"/>
  <c r="AO461"/>
  <c r="AQ461"/>
  <c r="I462"/>
  <c r="J462"/>
  <c r="P462"/>
  <c r="R462"/>
  <c r="U462"/>
  <c r="V462"/>
  <c r="W462"/>
  <c r="AI462"/>
  <c r="AJ462"/>
  <c r="AN462"/>
  <c r="AO462"/>
  <c r="AQ462"/>
  <c r="I463"/>
  <c r="J463"/>
  <c r="P463"/>
  <c r="R463"/>
  <c r="U463"/>
  <c r="V463"/>
  <c r="W463"/>
  <c r="AI463"/>
  <c r="AJ463"/>
  <c r="AN463"/>
  <c r="AO463"/>
  <c r="AQ463"/>
  <c r="I464"/>
  <c r="J464"/>
  <c r="P464"/>
  <c r="R464"/>
  <c r="U464"/>
  <c r="V464"/>
  <c r="W464"/>
  <c r="AI464"/>
  <c r="AJ464"/>
  <c r="AN464"/>
  <c r="AO464"/>
  <c r="AQ464"/>
  <c r="I465"/>
  <c r="J465"/>
  <c r="P465"/>
  <c r="R465"/>
  <c r="U465"/>
  <c r="V465"/>
  <c r="W465"/>
  <c r="AI465"/>
  <c r="AJ465"/>
  <c r="AN465"/>
  <c r="AO465"/>
  <c r="AQ465"/>
  <c r="I466"/>
  <c r="J466"/>
  <c r="R466"/>
  <c r="V466"/>
  <c r="W466"/>
  <c r="AI466"/>
  <c r="AJ466"/>
  <c r="AN466"/>
  <c r="AO466"/>
  <c r="AQ466"/>
  <c r="I467"/>
  <c r="J467"/>
  <c r="P467"/>
  <c r="R467"/>
  <c r="U467"/>
  <c r="V467"/>
  <c r="W467"/>
  <c r="AJ467"/>
  <c r="AO467"/>
  <c r="AQ467"/>
  <c r="I468"/>
  <c r="J468"/>
  <c r="P468"/>
  <c r="R468"/>
  <c r="U468"/>
  <c r="V468"/>
  <c r="W468"/>
  <c r="AI468"/>
  <c r="AJ468"/>
  <c r="AN468"/>
  <c r="AO468"/>
  <c r="AQ468"/>
  <c r="I469"/>
  <c r="J469"/>
  <c r="P469"/>
  <c r="R469"/>
  <c r="U469"/>
  <c r="V469"/>
  <c r="W469"/>
  <c r="AI469"/>
  <c r="AJ469"/>
  <c r="AO469"/>
  <c r="AQ469"/>
  <c r="I470"/>
  <c r="J470"/>
  <c r="P470"/>
  <c r="R470"/>
  <c r="U470"/>
  <c r="V470"/>
  <c r="W470"/>
  <c r="AJ470"/>
  <c r="AN470"/>
  <c r="AO470"/>
  <c r="AQ470"/>
  <c r="I471"/>
  <c r="J471"/>
  <c r="P471"/>
  <c r="R471"/>
  <c r="U471"/>
  <c r="V471"/>
  <c r="W471"/>
  <c r="AI471"/>
  <c r="AJ471"/>
  <c r="AN471"/>
  <c r="AO471"/>
  <c r="AQ471"/>
  <c r="I472"/>
  <c r="J472"/>
  <c r="P472"/>
  <c r="R472"/>
  <c r="U472"/>
  <c r="V472"/>
  <c r="W472"/>
  <c r="AJ472"/>
  <c r="AN472"/>
  <c r="AO472"/>
  <c r="AQ472"/>
  <c r="I473"/>
  <c r="J473"/>
  <c r="P473"/>
  <c r="R473"/>
  <c r="U473"/>
  <c r="V473"/>
  <c r="W473"/>
  <c r="AI473"/>
  <c r="AJ473"/>
  <c r="AN473"/>
  <c r="AO473"/>
  <c r="AQ473"/>
  <c r="I474"/>
  <c r="J474"/>
  <c r="P474"/>
  <c r="R474"/>
  <c r="U474"/>
  <c r="V474"/>
  <c r="W474"/>
  <c r="AI474"/>
  <c r="AJ474"/>
  <c r="AN474"/>
  <c r="AO474"/>
  <c r="AQ474"/>
  <c r="I475"/>
  <c r="J475"/>
  <c r="P475"/>
  <c r="R475"/>
  <c r="U475"/>
  <c r="V475"/>
  <c r="W475"/>
  <c r="AI475"/>
  <c r="AJ475"/>
  <c r="AN475"/>
  <c r="AO475"/>
  <c r="AQ475"/>
  <c r="I476"/>
  <c r="J476"/>
  <c r="P476"/>
  <c r="R476"/>
  <c r="U476"/>
  <c r="V476"/>
  <c r="W476"/>
  <c r="AJ476"/>
  <c r="AN476"/>
  <c r="AO476"/>
  <c r="AQ476"/>
  <c r="I477"/>
  <c r="J477"/>
  <c r="P477"/>
  <c r="R477"/>
  <c r="U477"/>
  <c r="V477"/>
  <c r="W477"/>
  <c r="AJ477"/>
  <c r="AN477"/>
  <c r="AO477"/>
  <c r="AQ477"/>
  <c r="I478"/>
  <c r="J478"/>
  <c r="P478"/>
  <c r="R478"/>
  <c r="U478"/>
  <c r="V478"/>
  <c r="W478"/>
  <c r="AJ478"/>
  <c r="AN478"/>
  <c r="AO478"/>
  <c r="AQ478"/>
  <c r="I479"/>
  <c r="J479"/>
  <c r="P479"/>
  <c r="R479"/>
  <c r="U479"/>
  <c r="V479"/>
  <c r="W479"/>
  <c r="AJ479"/>
  <c r="AN479"/>
  <c r="AO479"/>
  <c r="AQ479"/>
  <c r="I480"/>
  <c r="J480"/>
  <c r="P480"/>
  <c r="R480"/>
  <c r="U480"/>
  <c r="V480"/>
  <c r="W480"/>
  <c r="AJ480"/>
  <c r="AN480"/>
  <c r="AO480"/>
  <c r="AQ480"/>
  <c r="I481"/>
  <c r="J481"/>
  <c r="R481"/>
  <c r="V481"/>
  <c r="W481"/>
  <c r="AI481"/>
  <c r="AJ481"/>
  <c r="AN481"/>
  <c r="AO481"/>
  <c r="AQ481"/>
  <c r="I482"/>
  <c r="J482"/>
  <c r="R482"/>
  <c r="V482"/>
  <c r="W482"/>
  <c r="AI482"/>
  <c r="AJ482"/>
  <c r="AN482"/>
  <c r="AO482"/>
  <c r="AQ482"/>
  <c r="I483"/>
  <c r="J483"/>
  <c r="R483"/>
  <c r="V483"/>
  <c r="W483"/>
  <c r="AI483"/>
  <c r="AJ483"/>
  <c r="AN483"/>
  <c r="AO483"/>
  <c r="AQ483"/>
  <c r="I484"/>
  <c r="J484"/>
  <c r="R484"/>
  <c r="V484"/>
  <c r="W484"/>
  <c r="AI484"/>
  <c r="AJ484"/>
  <c r="AN484"/>
  <c r="AO484"/>
  <c r="AQ484"/>
  <c r="I485"/>
  <c r="J485"/>
  <c r="R485"/>
  <c r="V485"/>
  <c r="W485"/>
  <c r="AI485"/>
  <c r="AJ485"/>
  <c r="AN485"/>
  <c r="AO485"/>
  <c r="AQ485"/>
  <c r="I486"/>
  <c r="J486"/>
  <c r="P486"/>
  <c r="R486"/>
  <c r="U486"/>
  <c r="V486"/>
  <c r="W486"/>
  <c r="AI486"/>
  <c r="AJ486"/>
  <c r="AN486"/>
  <c r="AO486"/>
  <c r="AQ486"/>
  <c r="I487"/>
  <c r="J487"/>
  <c r="P487"/>
  <c r="R487"/>
  <c r="U487"/>
  <c r="V487"/>
  <c r="W487"/>
  <c r="AI487"/>
  <c r="AJ487"/>
  <c r="AN487"/>
  <c r="AO487"/>
  <c r="AQ487"/>
  <c r="I488"/>
  <c r="J488"/>
  <c r="P488"/>
  <c r="R488"/>
  <c r="U488"/>
  <c r="V488"/>
  <c r="W488"/>
  <c r="AI488"/>
  <c r="AJ488"/>
  <c r="AN488"/>
  <c r="AO488"/>
  <c r="AQ488"/>
  <c r="I489"/>
  <c r="J489"/>
  <c r="P489"/>
  <c r="R489"/>
  <c r="U489"/>
  <c r="V489"/>
  <c r="W489"/>
  <c r="AJ489"/>
  <c r="AN489"/>
  <c r="AO489"/>
  <c r="AQ489"/>
  <c r="I490"/>
  <c r="J490"/>
  <c r="P490"/>
  <c r="R490"/>
  <c r="U490"/>
  <c r="V490"/>
  <c r="W490"/>
  <c r="AI490"/>
  <c r="AJ490"/>
  <c r="AN490"/>
  <c r="AO490"/>
  <c r="AQ490"/>
  <c r="I491"/>
  <c r="J491"/>
  <c r="P491"/>
  <c r="R491"/>
  <c r="U491"/>
  <c r="V491"/>
  <c r="W491"/>
  <c r="AJ491"/>
  <c r="AN491"/>
  <c r="AO491"/>
  <c r="AQ491"/>
  <c r="I492"/>
  <c r="J492"/>
  <c r="P492"/>
  <c r="R492"/>
  <c r="U492"/>
  <c r="V492"/>
  <c r="W492"/>
  <c r="AJ492"/>
  <c r="AN492"/>
  <c r="AO492"/>
  <c r="AQ492"/>
  <c r="I493"/>
  <c r="J493"/>
  <c r="P493"/>
  <c r="R493"/>
  <c r="U493"/>
  <c r="V493"/>
  <c r="W493"/>
  <c r="AJ493"/>
  <c r="AN493"/>
  <c r="AO493"/>
  <c r="AQ493"/>
  <c r="I494"/>
  <c r="J494"/>
  <c r="P494"/>
  <c r="R494"/>
  <c r="U494"/>
  <c r="V494"/>
  <c r="W494"/>
  <c r="AJ494"/>
  <c r="AN494"/>
  <c r="AO494"/>
  <c r="AQ494"/>
  <c r="I495"/>
  <c r="J495"/>
  <c r="P495"/>
  <c r="R495"/>
  <c r="U495"/>
  <c r="V495"/>
  <c r="W495"/>
  <c r="AJ495"/>
  <c r="AN495"/>
  <c r="AO495"/>
  <c r="AQ495"/>
  <c r="I496"/>
  <c r="J496"/>
  <c r="P496"/>
  <c r="R496"/>
  <c r="U496"/>
  <c r="V496"/>
  <c r="W496"/>
  <c r="AJ496"/>
  <c r="AN496"/>
  <c r="AO496"/>
  <c r="AQ496"/>
  <c r="I497"/>
  <c r="J497"/>
  <c r="P497"/>
  <c r="R497"/>
  <c r="U497"/>
  <c r="V497"/>
  <c r="W497"/>
  <c r="AJ497"/>
  <c r="AN497"/>
  <c r="AO497"/>
  <c r="AQ497"/>
  <c r="I498"/>
  <c r="J498"/>
  <c r="P498"/>
  <c r="R498"/>
  <c r="U498"/>
  <c r="V498"/>
  <c r="W498"/>
  <c r="AJ498"/>
  <c r="AN498"/>
  <c r="AO498"/>
  <c r="AQ498"/>
  <c r="I499"/>
  <c r="J499"/>
  <c r="P499"/>
  <c r="R499"/>
  <c r="U499"/>
  <c r="V499"/>
  <c r="W499"/>
  <c r="AJ499"/>
  <c r="AN499"/>
  <c r="AO499"/>
  <c r="AQ499"/>
  <c r="I500"/>
  <c r="J500"/>
  <c r="P500"/>
  <c r="R500"/>
  <c r="U500"/>
  <c r="V500"/>
  <c r="W500"/>
  <c r="AI500"/>
  <c r="AJ500"/>
  <c r="AN500"/>
  <c r="AO500"/>
  <c r="AQ500"/>
  <c r="I501"/>
  <c r="J501"/>
  <c r="P501"/>
  <c r="R501"/>
  <c r="U501"/>
  <c r="V501"/>
  <c r="W501"/>
  <c r="AI501"/>
  <c r="AJ501"/>
  <c r="AN501"/>
  <c r="AO501"/>
  <c r="AQ501"/>
  <c r="I502"/>
  <c r="J502"/>
  <c r="P502"/>
  <c r="R502"/>
  <c r="U502"/>
  <c r="V502"/>
  <c r="W502"/>
  <c r="AJ502"/>
  <c r="AN502"/>
  <c r="AO502"/>
  <c r="AQ502"/>
  <c r="I503"/>
  <c r="J503"/>
  <c r="P503"/>
  <c r="R503"/>
  <c r="U503"/>
  <c r="V503"/>
  <c r="W503"/>
  <c r="AJ503"/>
  <c r="AN503"/>
  <c r="AO503"/>
  <c r="AQ503"/>
  <c r="I504"/>
  <c r="J504"/>
  <c r="P504"/>
  <c r="R504"/>
  <c r="U504"/>
  <c r="V504"/>
  <c r="W504"/>
  <c r="AJ504"/>
  <c r="AN504"/>
  <c r="AO504"/>
  <c r="AQ504"/>
  <c r="I505"/>
  <c r="J505"/>
  <c r="P505"/>
  <c r="R505"/>
  <c r="U505"/>
  <c r="V505"/>
  <c r="W505"/>
  <c r="AJ505"/>
  <c r="AN505"/>
  <c r="AO505"/>
  <c r="AQ505"/>
  <c r="I506"/>
  <c r="J506"/>
  <c r="P506"/>
  <c r="R506"/>
  <c r="U506"/>
  <c r="V506"/>
  <c r="W506"/>
  <c r="AJ506"/>
  <c r="AN506"/>
  <c r="AO506"/>
  <c r="AQ506"/>
  <c r="I507"/>
  <c r="J507"/>
  <c r="P507"/>
  <c r="R507"/>
  <c r="U507"/>
  <c r="V507"/>
  <c r="W507"/>
  <c r="AJ507"/>
  <c r="AN507"/>
  <c r="AO507"/>
  <c r="AQ507"/>
  <c r="I508"/>
  <c r="J508"/>
  <c r="P508"/>
  <c r="R508"/>
  <c r="U508"/>
  <c r="V508"/>
  <c r="W508"/>
  <c r="AI508"/>
  <c r="AJ508"/>
  <c r="AN508"/>
  <c r="AO508"/>
  <c r="AQ508"/>
  <c r="I509"/>
  <c r="J509"/>
  <c r="P509"/>
  <c r="R509"/>
  <c r="U509"/>
  <c r="V509"/>
  <c r="W509"/>
  <c r="AJ509"/>
  <c r="AN509"/>
  <c r="AO509"/>
  <c r="AQ509"/>
  <c r="I510"/>
  <c r="J510"/>
  <c r="P510"/>
  <c r="R510"/>
  <c r="U510"/>
  <c r="V510"/>
  <c r="W510"/>
  <c r="AJ510"/>
  <c r="AN510"/>
  <c r="AO510"/>
  <c r="AQ510"/>
  <c r="I511"/>
  <c r="J511"/>
  <c r="P511"/>
  <c r="R511"/>
  <c r="U511"/>
  <c r="V511"/>
  <c r="W511"/>
  <c r="AI511"/>
  <c r="AJ511"/>
  <c r="AN511"/>
  <c r="AO511"/>
  <c r="AQ511"/>
  <c r="I512"/>
  <c r="J512"/>
  <c r="P512"/>
  <c r="R512"/>
  <c r="U512"/>
  <c r="V512"/>
  <c r="W512"/>
  <c r="AJ512"/>
  <c r="AN512"/>
  <c r="AO512"/>
  <c r="AQ512"/>
  <c r="I513"/>
  <c r="P513"/>
  <c r="R513"/>
  <c r="U513"/>
  <c r="V513"/>
  <c r="W513"/>
  <c r="AI513"/>
  <c r="AJ513"/>
  <c r="AN513"/>
  <c r="AO513"/>
  <c r="AQ513"/>
  <c r="I514"/>
  <c r="P514"/>
  <c r="R514"/>
  <c r="U514"/>
  <c r="V514"/>
  <c r="W514"/>
  <c r="AI514"/>
  <c r="AJ514"/>
  <c r="AN514"/>
  <c r="AO514"/>
  <c r="AQ514"/>
  <c r="I515"/>
  <c r="P515"/>
  <c r="R515"/>
  <c r="U515"/>
  <c r="V515"/>
  <c r="W515"/>
  <c r="AI515"/>
  <c r="AJ515"/>
  <c r="AN515"/>
  <c r="AO515"/>
  <c r="AQ515"/>
  <c r="I516"/>
  <c r="P516"/>
  <c r="R516"/>
  <c r="U516"/>
  <c r="V516"/>
  <c r="W516"/>
  <c r="AI516"/>
  <c r="AJ516"/>
  <c r="AN516"/>
  <c r="AO516"/>
  <c r="AQ516"/>
  <c r="I517"/>
  <c r="P517"/>
  <c r="R517"/>
  <c r="U517"/>
  <c r="V517"/>
  <c r="W517"/>
  <c r="AI517"/>
  <c r="AJ517"/>
  <c r="AN517"/>
  <c r="AO517"/>
  <c r="AQ517"/>
  <c r="I518"/>
  <c r="P518"/>
  <c r="R518"/>
  <c r="U518"/>
  <c r="V518"/>
  <c r="W518"/>
  <c r="AI518"/>
  <c r="AJ518"/>
  <c r="AN518"/>
  <c r="AO518"/>
  <c r="AQ518"/>
  <c r="I519"/>
  <c r="P519"/>
  <c r="Q519"/>
  <c r="R519"/>
  <c r="U519"/>
  <c r="V519"/>
  <c r="W519"/>
  <c r="AI519"/>
  <c r="AJ519"/>
  <c r="AN519"/>
  <c r="AO519"/>
  <c r="AQ519"/>
  <c r="I520"/>
  <c r="P520"/>
  <c r="Q520"/>
  <c r="R520"/>
  <c r="U520"/>
  <c r="V520"/>
  <c r="W520"/>
  <c r="AI520"/>
  <c r="AJ520"/>
  <c r="AN520"/>
  <c r="AO520"/>
  <c r="AQ520"/>
  <c r="I521"/>
  <c r="P521"/>
  <c r="R521"/>
  <c r="U521"/>
  <c r="V521"/>
  <c r="W521"/>
  <c r="AI521"/>
  <c r="AJ521"/>
  <c r="AN521"/>
  <c r="AO521"/>
  <c r="AQ521"/>
  <c r="I522"/>
  <c r="P522"/>
  <c r="R522"/>
  <c r="U522"/>
  <c r="V522"/>
  <c r="W522"/>
  <c r="AI522"/>
  <c r="AJ522"/>
  <c r="AN522"/>
  <c r="AO522"/>
  <c r="AQ522"/>
  <c r="I523"/>
  <c r="P523"/>
  <c r="Q523"/>
  <c r="R523"/>
  <c r="U523"/>
  <c r="V523"/>
  <c r="W523"/>
  <c r="AI523"/>
  <c r="AJ523"/>
  <c r="AN523"/>
  <c r="AO523"/>
  <c r="AQ523"/>
  <c r="I524"/>
  <c r="P524"/>
  <c r="Q524"/>
  <c r="R524"/>
  <c r="U524"/>
  <c r="V524"/>
  <c r="W524"/>
  <c r="AI524"/>
  <c r="AJ524"/>
  <c r="AN524"/>
  <c r="AO524"/>
  <c r="AQ524"/>
  <c r="I525"/>
  <c r="P525"/>
  <c r="R525"/>
  <c r="U525"/>
  <c r="V525"/>
  <c r="W525"/>
  <c r="AI525"/>
  <c r="AJ525"/>
  <c r="AN525"/>
  <c r="AO525"/>
  <c r="AQ525"/>
  <c r="I526"/>
  <c r="P526"/>
  <c r="R526"/>
  <c r="U526"/>
  <c r="V526"/>
  <c r="W526"/>
  <c r="AI526"/>
  <c r="AJ526"/>
  <c r="AN526"/>
  <c r="AO526"/>
  <c r="AQ526"/>
  <c r="I527"/>
  <c r="P527"/>
  <c r="R527"/>
  <c r="U527"/>
  <c r="V527"/>
  <c r="W527"/>
  <c r="AI527"/>
  <c r="AJ527"/>
  <c r="AN527"/>
  <c r="AO527"/>
  <c r="AQ527"/>
  <c r="I528"/>
  <c r="P528"/>
  <c r="R528"/>
  <c r="U528"/>
  <c r="V528"/>
  <c r="W528"/>
  <c r="AJ528"/>
  <c r="AN528"/>
  <c r="AO528"/>
  <c r="AQ528"/>
  <c r="I529"/>
  <c r="P529"/>
  <c r="Q529"/>
  <c r="R529"/>
  <c r="U529"/>
  <c r="V529"/>
  <c r="W529"/>
  <c r="AI529"/>
  <c r="AJ529"/>
  <c r="AN529"/>
  <c r="AO529"/>
  <c r="AQ529"/>
  <c r="I530"/>
  <c r="P530"/>
  <c r="Q530"/>
  <c r="R530"/>
  <c r="U530"/>
  <c r="V530"/>
  <c r="W530"/>
  <c r="AI530"/>
  <c r="AJ530"/>
  <c r="AN530"/>
  <c r="AO530"/>
  <c r="AQ530"/>
  <c r="I531"/>
  <c r="P531"/>
  <c r="R531"/>
  <c r="U531"/>
  <c r="V531"/>
  <c r="W531"/>
  <c r="AI531"/>
  <c r="AJ531"/>
  <c r="AN531"/>
  <c r="AO531"/>
  <c r="AQ531"/>
  <c r="I532"/>
  <c r="P532"/>
  <c r="Q532"/>
  <c r="R532"/>
  <c r="U532"/>
  <c r="V532"/>
  <c r="W532"/>
  <c r="AI532"/>
  <c r="AJ532"/>
  <c r="AN532"/>
  <c r="AO532"/>
  <c r="AQ532"/>
  <c r="I533"/>
  <c r="P533"/>
  <c r="R533"/>
  <c r="U533"/>
  <c r="V533"/>
  <c r="W533"/>
  <c r="AI533"/>
  <c r="AJ533"/>
  <c r="AN533"/>
  <c r="AO533"/>
  <c r="AQ533"/>
  <c r="I534"/>
  <c r="P534"/>
  <c r="R534"/>
  <c r="U534"/>
  <c r="V534"/>
  <c r="W534"/>
  <c r="AI534"/>
  <c r="AJ534"/>
  <c r="AN534"/>
  <c r="AO534"/>
  <c r="AQ534"/>
  <c r="I535"/>
  <c r="P535"/>
  <c r="R535"/>
  <c r="U535"/>
  <c r="V535"/>
  <c r="W535"/>
  <c r="AI535"/>
  <c r="AJ535"/>
  <c r="AN535"/>
  <c r="AO535"/>
  <c r="AQ535"/>
  <c r="I536"/>
  <c r="P536"/>
  <c r="R536"/>
  <c r="U536"/>
  <c r="V536"/>
  <c r="W536"/>
  <c r="AI536"/>
  <c r="AJ536"/>
  <c r="AN536"/>
  <c r="AO536"/>
  <c r="AQ536"/>
  <c r="I537"/>
  <c r="P537"/>
  <c r="Q537"/>
  <c r="R537"/>
  <c r="U537"/>
  <c r="V537"/>
  <c r="W537"/>
  <c r="AI537"/>
  <c r="AJ537"/>
  <c r="AN537"/>
  <c r="AO537"/>
  <c r="AQ537"/>
  <c r="I538"/>
  <c r="P538"/>
  <c r="R538"/>
  <c r="U538"/>
  <c r="V538"/>
  <c r="W538"/>
  <c r="AI538"/>
  <c r="AJ538"/>
  <c r="AN538"/>
  <c r="AO538"/>
  <c r="AQ538"/>
  <c r="I539"/>
  <c r="P539"/>
  <c r="R539"/>
  <c r="U539"/>
  <c r="V539"/>
  <c r="W539"/>
  <c r="AI539"/>
  <c r="AJ539"/>
  <c r="AN539"/>
  <c r="AO539"/>
  <c r="AQ539"/>
  <c r="I540"/>
  <c r="P540"/>
  <c r="R540"/>
  <c r="U540"/>
  <c r="V540"/>
  <c r="W540"/>
  <c r="AI540"/>
  <c r="AJ540"/>
  <c r="AN540"/>
  <c r="AO540"/>
  <c r="AQ540"/>
  <c r="I541"/>
  <c r="P541"/>
  <c r="Q541"/>
  <c r="R541"/>
  <c r="U541"/>
  <c r="V541"/>
  <c r="W541"/>
  <c r="AI541"/>
  <c r="AJ541"/>
  <c r="AN541"/>
  <c r="AO541"/>
  <c r="AQ541"/>
  <c r="I542"/>
  <c r="P542"/>
  <c r="R542"/>
  <c r="U542"/>
  <c r="V542"/>
  <c r="W542"/>
  <c r="AI542"/>
  <c r="AJ542"/>
  <c r="AN542"/>
  <c r="AO542"/>
  <c r="AQ542"/>
  <c r="I543"/>
  <c r="P543"/>
  <c r="R543"/>
  <c r="U543"/>
  <c r="V543"/>
  <c r="W543"/>
  <c r="AJ543"/>
  <c r="AN543"/>
  <c r="AO543"/>
  <c r="AQ543"/>
  <c r="I544"/>
  <c r="P544"/>
  <c r="R544"/>
  <c r="U544"/>
  <c r="V544"/>
  <c r="W544"/>
  <c r="AI544"/>
  <c r="AJ544"/>
  <c r="AN544"/>
  <c r="AO544"/>
  <c r="AQ544"/>
  <c r="I545"/>
  <c r="P545"/>
  <c r="R545"/>
  <c r="U545"/>
  <c r="V545"/>
  <c r="W545"/>
  <c r="AI545"/>
  <c r="AJ545"/>
  <c r="AN545"/>
  <c r="AO545"/>
  <c r="AQ545"/>
  <c r="I546"/>
  <c r="P546"/>
  <c r="R546"/>
  <c r="U546"/>
  <c r="V546"/>
  <c r="W546"/>
  <c r="AI546"/>
  <c r="AJ546"/>
  <c r="AN546"/>
  <c r="AO546"/>
  <c r="AQ546"/>
  <c r="I547"/>
  <c r="P547"/>
  <c r="Q547"/>
  <c r="R547"/>
  <c r="U547"/>
  <c r="V547"/>
  <c r="W547"/>
  <c r="AI547"/>
  <c r="AJ547"/>
  <c r="AN547"/>
  <c r="AO547"/>
  <c r="AQ547"/>
  <c r="I548"/>
  <c r="P548"/>
  <c r="R548"/>
  <c r="U548"/>
  <c r="V548"/>
  <c r="W548"/>
  <c r="AI548"/>
  <c r="AJ548"/>
  <c r="AN548"/>
  <c r="AO548"/>
  <c r="AQ548"/>
  <c r="I549"/>
  <c r="P549"/>
  <c r="R549"/>
  <c r="U549"/>
  <c r="V549"/>
  <c r="W549"/>
  <c r="AI549"/>
  <c r="AJ549"/>
  <c r="AN549"/>
  <c r="AO549"/>
  <c r="AQ549"/>
  <c r="I550"/>
  <c r="P550"/>
  <c r="R550"/>
  <c r="U550"/>
  <c r="V550"/>
  <c r="W550"/>
  <c r="AI550"/>
  <c r="AJ550"/>
  <c r="AN550"/>
  <c r="AO550"/>
  <c r="AQ550"/>
  <c r="I551"/>
  <c r="P551"/>
  <c r="R551"/>
  <c r="U551"/>
  <c r="V551"/>
  <c r="W551"/>
  <c r="AI551"/>
  <c r="AJ551"/>
  <c r="AN551"/>
  <c r="AO551"/>
  <c r="AQ551"/>
  <c r="I552"/>
  <c r="P552"/>
  <c r="R552"/>
  <c r="U552"/>
  <c r="V552"/>
  <c r="W552"/>
  <c r="AI552"/>
  <c r="AJ552"/>
  <c r="AN552"/>
  <c r="AO552"/>
  <c r="AQ552"/>
  <c r="I553"/>
  <c r="P553"/>
  <c r="R553"/>
  <c r="U553"/>
  <c r="V553"/>
  <c r="W553"/>
  <c r="AI553"/>
  <c r="AJ553"/>
  <c r="AN553"/>
  <c r="AO553"/>
  <c r="AQ553"/>
  <c r="I554"/>
  <c r="P554"/>
  <c r="R554"/>
  <c r="U554"/>
  <c r="V554"/>
  <c r="W554"/>
  <c r="AI554"/>
  <c r="AJ554"/>
  <c r="AN554"/>
  <c r="AO554"/>
  <c r="AQ554"/>
  <c r="I555"/>
  <c r="P555"/>
  <c r="R555"/>
  <c r="U555"/>
  <c r="V555"/>
  <c r="W555"/>
  <c r="AI555"/>
  <c r="AJ555"/>
  <c r="AN555"/>
  <c r="AO555"/>
  <c r="AQ555"/>
  <c r="I556"/>
  <c r="Q556"/>
  <c r="R556"/>
  <c r="V556"/>
  <c r="W556"/>
  <c r="AI556"/>
  <c r="AJ556"/>
  <c r="AN556"/>
  <c r="AO556"/>
  <c r="AQ556"/>
  <c r="I557"/>
  <c r="P557"/>
  <c r="R557"/>
  <c r="U557"/>
  <c r="V557"/>
  <c r="W557"/>
  <c r="AI557"/>
  <c r="AJ557"/>
  <c r="AN557"/>
  <c r="AO557"/>
  <c r="AQ557"/>
  <c r="I558"/>
  <c r="P558"/>
  <c r="R558"/>
  <c r="U558"/>
  <c r="V558"/>
  <c r="W558"/>
  <c r="AJ558"/>
  <c r="AN558"/>
  <c r="AO558"/>
  <c r="AQ558"/>
  <c r="I559"/>
  <c r="P559"/>
  <c r="Q559"/>
  <c r="R559"/>
  <c r="U559"/>
  <c r="V559"/>
  <c r="W559"/>
  <c r="AI559"/>
  <c r="AJ559"/>
  <c r="AN559"/>
  <c r="AO559"/>
  <c r="AQ559"/>
  <c r="I560"/>
  <c r="P560"/>
  <c r="Q560"/>
  <c r="R560"/>
  <c r="U560"/>
  <c r="V560"/>
  <c r="W560"/>
  <c r="AI560"/>
  <c r="AJ560"/>
  <c r="AN560"/>
  <c r="AO560"/>
  <c r="AQ560"/>
  <c r="I561"/>
  <c r="P561"/>
  <c r="R561"/>
  <c r="U561"/>
  <c r="V561"/>
  <c r="W561"/>
  <c r="AJ561"/>
  <c r="AN561"/>
  <c r="AO561"/>
  <c r="AQ561"/>
  <c r="I562"/>
  <c r="P562"/>
  <c r="R562"/>
  <c r="U562"/>
  <c r="V562"/>
  <c r="W562"/>
  <c r="AI562"/>
  <c r="AJ562"/>
  <c r="AN562"/>
  <c r="AO562"/>
  <c r="AQ562"/>
  <c r="I563"/>
  <c r="P563"/>
  <c r="R563"/>
  <c r="U563"/>
  <c r="V563"/>
  <c r="W563"/>
  <c r="AI563"/>
  <c r="AJ563"/>
  <c r="AN563"/>
  <c r="AO563"/>
  <c r="AQ563"/>
  <c r="I564"/>
  <c r="P564"/>
  <c r="R564"/>
  <c r="U564"/>
  <c r="V564"/>
  <c r="W564"/>
  <c r="AI564"/>
  <c r="AJ564"/>
  <c r="AN564"/>
  <c r="AO564"/>
  <c r="AQ564"/>
  <c r="I565"/>
  <c r="P565"/>
  <c r="R565"/>
  <c r="U565"/>
  <c r="V565"/>
  <c r="W565"/>
  <c r="AI565"/>
  <c r="AJ565"/>
  <c r="AN565"/>
  <c r="AO565"/>
  <c r="AQ565"/>
  <c r="I566"/>
  <c r="P566"/>
  <c r="Q566"/>
  <c r="R566"/>
  <c r="U566"/>
  <c r="V566"/>
  <c r="W566"/>
  <c r="AI566"/>
  <c r="AJ566"/>
  <c r="AN566"/>
  <c r="AO566"/>
  <c r="AQ566"/>
  <c r="I567"/>
  <c r="R567"/>
  <c r="V567"/>
  <c r="W567"/>
  <c r="AI567"/>
  <c r="AJ567"/>
  <c r="AN567"/>
  <c r="AO567"/>
  <c r="AQ567"/>
  <c r="I568"/>
  <c r="P568"/>
  <c r="R568"/>
  <c r="U568"/>
  <c r="V568"/>
  <c r="W568"/>
  <c r="AI568"/>
  <c r="AJ568"/>
  <c r="AN568"/>
  <c r="AO568"/>
  <c r="AQ568"/>
  <c r="I569"/>
  <c r="P569"/>
  <c r="R569"/>
  <c r="U569"/>
  <c r="V569"/>
  <c r="W569"/>
  <c r="AI569"/>
  <c r="AJ569"/>
  <c r="AN569"/>
  <c r="AO569"/>
  <c r="AQ569"/>
  <c r="I570"/>
  <c r="R570"/>
  <c r="V570"/>
  <c r="W570"/>
  <c r="AI570"/>
  <c r="AJ570"/>
  <c r="AN570"/>
  <c r="AO570"/>
  <c r="AQ570"/>
  <c r="I571"/>
  <c r="P571"/>
  <c r="R571"/>
  <c r="U571"/>
  <c r="V571"/>
  <c r="W571"/>
  <c r="AI571"/>
  <c r="AJ571"/>
  <c r="AN571"/>
  <c r="AO571"/>
  <c r="AQ571"/>
  <c r="I572"/>
  <c r="P572"/>
  <c r="R572"/>
  <c r="U572"/>
  <c r="V572"/>
  <c r="W572"/>
  <c r="AI572"/>
  <c r="AJ572"/>
  <c r="AN572"/>
  <c r="AO572"/>
  <c r="AQ572"/>
  <c r="I573"/>
  <c r="P573"/>
  <c r="R573"/>
  <c r="U573"/>
  <c r="V573"/>
  <c r="W573"/>
  <c r="AI573"/>
  <c r="AJ573"/>
  <c r="AN573"/>
  <c r="AO573"/>
  <c r="AQ573"/>
  <c r="I574"/>
  <c r="P574"/>
  <c r="R574"/>
  <c r="U574"/>
  <c r="V574"/>
  <c r="W574"/>
  <c r="AI574"/>
  <c r="AJ574"/>
  <c r="AN574"/>
  <c r="AO574"/>
  <c r="AQ574"/>
  <c r="I575"/>
  <c r="P575"/>
  <c r="R575"/>
  <c r="U575"/>
  <c r="V575"/>
  <c r="W575"/>
  <c r="AI575"/>
  <c r="AJ575"/>
  <c r="AN575"/>
  <c r="AO575"/>
  <c r="AQ575"/>
  <c r="I576"/>
  <c r="P576"/>
  <c r="Q576"/>
  <c r="R576"/>
  <c r="U576"/>
  <c r="V576"/>
  <c r="W576"/>
  <c r="AI576"/>
  <c r="AJ576"/>
  <c r="AN576"/>
  <c r="AO576"/>
  <c r="AQ576"/>
  <c r="I577"/>
  <c r="P577"/>
  <c r="Q577"/>
  <c r="R577"/>
  <c r="U577"/>
  <c r="V577"/>
  <c r="W577"/>
  <c r="AI577"/>
  <c r="AJ577"/>
  <c r="AN577"/>
  <c r="AO577"/>
  <c r="AQ577"/>
  <c r="I578"/>
  <c r="P578"/>
  <c r="Q578"/>
  <c r="R578"/>
  <c r="U578"/>
  <c r="V578"/>
  <c r="W578"/>
  <c r="AI578"/>
  <c r="AJ578"/>
  <c r="AN578"/>
  <c r="AO578"/>
  <c r="AQ578"/>
  <c r="I579"/>
  <c r="P579"/>
  <c r="R579"/>
  <c r="U579"/>
  <c r="V579"/>
  <c r="W579"/>
  <c r="AI579"/>
  <c r="AJ579"/>
  <c r="AN579"/>
  <c r="AO579"/>
  <c r="AQ579"/>
  <c r="I580"/>
  <c r="P580"/>
  <c r="R580"/>
  <c r="U580"/>
  <c r="V580"/>
  <c r="W580"/>
  <c r="AI580"/>
  <c r="AJ580"/>
  <c r="AN580"/>
  <c r="AO580"/>
  <c r="AQ580"/>
  <c r="I581"/>
  <c r="P581"/>
  <c r="R581"/>
  <c r="U581"/>
  <c r="V581"/>
  <c r="W581"/>
  <c r="AI581"/>
  <c r="AJ581"/>
  <c r="AN581"/>
  <c r="AO581"/>
  <c r="AQ581"/>
  <c r="I582"/>
  <c r="P582"/>
  <c r="Q582"/>
  <c r="R582"/>
  <c r="U582"/>
  <c r="V582"/>
  <c r="W582"/>
  <c r="AI582"/>
  <c r="AJ582"/>
  <c r="AN582"/>
  <c r="AO582"/>
  <c r="AQ582"/>
  <c r="I583"/>
  <c r="P583"/>
  <c r="R583"/>
  <c r="U583"/>
  <c r="V583"/>
  <c r="W583"/>
  <c r="AI583"/>
  <c r="AJ583"/>
  <c r="AN583"/>
  <c r="AO583"/>
  <c r="AQ583"/>
  <c r="I584"/>
  <c r="P584"/>
  <c r="Q584"/>
  <c r="R584"/>
  <c r="U584"/>
  <c r="V584"/>
  <c r="W584"/>
  <c r="AI584"/>
  <c r="AJ584"/>
  <c r="AN584"/>
  <c r="AO584"/>
  <c r="AQ584"/>
  <c r="I585"/>
  <c r="P585"/>
  <c r="Q585"/>
  <c r="R585"/>
  <c r="U585"/>
  <c r="V585"/>
  <c r="W585"/>
  <c r="AI585"/>
  <c r="AJ585"/>
  <c r="AN585"/>
  <c r="AO585"/>
  <c r="AQ585"/>
  <c r="I586"/>
  <c r="P586"/>
  <c r="R586"/>
  <c r="U586"/>
  <c r="V586"/>
  <c r="W586"/>
  <c r="AI586"/>
  <c r="AJ586"/>
  <c r="AN586"/>
  <c r="AO586"/>
  <c r="AQ586"/>
  <c r="I587"/>
  <c r="P587"/>
  <c r="R587"/>
  <c r="U587"/>
  <c r="V587"/>
  <c r="W587"/>
  <c r="AI587"/>
  <c r="AJ587"/>
  <c r="AN587"/>
  <c r="AO587"/>
  <c r="AQ587"/>
  <c r="I588"/>
  <c r="P588"/>
  <c r="R588"/>
  <c r="U588"/>
  <c r="V588"/>
  <c r="W588"/>
  <c r="AI588"/>
  <c r="AJ588"/>
  <c r="AN588"/>
  <c r="AO588"/>
  <c r="AQ588"/>
  <c r="I589"/>
  <c r="P589"/>
  <c r="R589"/>
  <c r="U589"/>
  <c r="V589"/>
  <c r="W589"/>
  <c r="AI589"/>
  <c r="AJ589"/>
  <c r="AN589"/>
  <c r="AO589"/>
  <c r="AQ589"/>
  <c r="I590"/>
  <c r="P590"/>
  <c r="R590"/>
  <c r="U590"/>
  <c r="V590"/>
  <c r="W590"/>
  <c r="AI590"/>
  <c r="AJ590"/>
  <c r="AN590"/>
  <c r="AO590"/>
  <c r="AQ590"/>
  <c r="I591"/>
  <c r="P591"/>
  <c r="R591"/>
  <c r="U591"/>
  <c r="V591"/>
  <c r="W591"/>
  <c r="AI591"/>
  <c r="AJ591"/>
  <c r="AN591"/>
  <c r="AO591"/>
  <c r="AQ591"/>
  <c r="I592"/>
  <c r="P592"/>
  <c r="R592"/>
  <c r="U592"/>
  <c r="V592"/>
  <c r="W592"/>
  <c r="AI592"/>
  <c r="AJ592"/>
  <c r="AN592"/>
  <c r="AO592"/>
  <c r="AQ592"/>
  <c r="I593"/>
  <c r="P593"/>
  <c r="R593"/>
  <c r="U593"/>
  <c r="V593"/>
  <c r="W593"/>
  <c r="AI593"/>
  <c r="AJ593"/>
  <c r="AN593"/>
  <c r="AO593"/>
  <c r="AQ593"/>
  <c r="I594"/>
  <c r="P594"/>
  <c r="Q594"/>
  <c r="R594"/>
  <c r="U594"/>
  <c r="V594"/>
  <c r="W594"/>
  <c r="AI594"/>
  <c r="AJ594"/>
  <c r="AN594"/>
  <c r="AO594"/>
  <c r="AQ594"/>
  <c r="I595"/>
  <c r="P595"/>
  <c r="R595"/>
  <c r="U595"/>
  <c r="V595"/>
  <c r="W595"/>
  <c r="AI595"/>
  <c r="AJ595"/>
  <c r="AN595"/>
  <c r="AO595"/>
  <c r="AQ595"/>
  <c r="I596"/>
  <c r="P596"/>
  <c r="R596"/>
  <c r="U596"/>
  <c r="V596"/>
  <c r="W596"/>
  <c r="AI596"/>
  <c r="AJ596"/>
  <c r="AN596"/>
  <c r="AO596"/>
  <c r="AQ596"/>
  <c r="I597"/>
  <c r="P597"/>
  <c r="R597"/>
  <c r="U597"/>
  <c r="V597"/>
  <c r="W597"/>
  <c r="AI597"/>
  <c r="AJ597"/>
  <c r="AN597"/>
  <c r="AO597"/>
  <c r="AQ597"/>
  <c r="I598"/>
  <c r="P598"/>
  <c r="Q598"/>
  <c r="R598"/>
  <c r="U598"/>
  <c r="V598"/>
  <c r="W598"/>
  <c r="AI598"/>
  <c r="AJ598"/>
  <c r="AN598"/>
  <c r="AO598"/>
  <c r="AQ598"/>
  <c r="I599"/>
  <c r="P599"/>
  <c r="R599"/>
  <c r="U599"/>
  <c r="V599"/>
  <c r="W599"/>
  <c r="AI599"/>
  <c r="AJ599"/>
  <c r="AN599"/>
  <c r="AO599"/>
  <c r="AQ599"/>
  <c r="I600"/>
  <c r="P600"/>
  <c r="R600"/>
  <c r="U600"/>
  <c r="V600"/>
  <c r="W600"/>
  <c r="AI600"/>
  <c r="AJ600"/>
  <c r="AN600"/>
  <c r="AO600"/>
  <c r="AQ600"/>
  <c r="I601"/>
  <c r="P601"/>
  <c r="R601"/>
  <c r="U601"/>
  <c r="V601"/>
  <c r="W601"/>
  <c r="AI601"/>
  <c r="AJ601"/>
  <c r="AN601"/>
  <c r="AO601"/>
  <c r="AQ601"/>
  <c r="I602"/>
  <c r="P602"/>
  <c r="R602"/>
  <c r="U602"/>
  <c r="V602"/>
  <c r="W602"/>
  <c r="AI602"/>
  <c r="AJ602"/>
  <c r="AN602"/>
  <c r="AO602"/>
  <c r="AQ602"/>
  <c r="I603"/>
  <c r="P603"/>
  <c r="R603"/>
  <c r="U603"/>
  <c r="V603"/>
  <c r="W603"/>
  <c r="AI603"/>
  <c r="AJ603"/>
  <c r="AN603"/>
  <c r="AO603"/>
  <c r="AQ603"/>
  <c r="I604"/>
  <c r="P604"/>
  <c r="R604"/>
  <c r="U604"/>
  <c r="V604"/>
  <c r="W604"/>
  <c r="AI604"/>
  <c r="AJ604"/>
  <c r="AN604"/>
  <c r="AO604"/>
  <c r="AQ604"/>
  <c r="I605"/>
  <c r="P605"/>
  <c r="R605"/>
  <c r="U605"/>
  <c r="V605"/>
  <c r="W605"/>
  <c r="AI605"/>
  <c r="AJ605"/>
  <c r="AN605"/>
  <c r="AO605"/>
  <c r="AQ605"/>
  <c r="I606"/>
  <c r="P606"/>
  <c r="Q606"/>
  <c r="R606"/>
  <c r="U606"/>
  <c r="V606"/>
  <c r="W606"/>
  <c r="AI606"/>
  <c r="AJ606"/>
  <c r="AN606"/>
  <c r="AO606"/>
  <c r="AQ606"/>
  <c r="I607"/>
  <c r="P607"/>
  <c r="R607"/>
  <c r="U607"/>
  <c r="V607"/>
  <c r="W607"/>
  <c r="AI607"/>
  <c r="AJ607"/>
  <c r="AN607"/>
  <c r="AO607"/>
  <c r="AQ607"/>
  <c r="I608"/>
  <c r="P608"/>
  <c r="R608"/>
  <c r="U608"/>
  <c r="V608"/>
  <c r="W608"/>
  <c r="AI608"/>
  <c r="AJ608"/>
  <c r="AN608"/>
  <c r="AO608"/>
  <c r="AQ608"/>
  <c r="I609"/>
  <c r="P609"/>
  <c r="Q609"/>
  <c r="R609"/>
  <c r="U609"/>
  <c r="V609"/>
  <c r="W609"/>
  <c r="AI609"/>
  <c r="AJ609"/>
  <c r="AN609"/>
  <c r="AO609"/>
  <c r="AQ609"/>
  <c r="I610"/>
  <c r="P610"/>
  <c r="Q610"/>
  <c r="R610"/>
  <c r="U610"/>
  <c r="V610"/>
  <c r="W610"/>
  <c r="AI610"/>
  <c r="AJ610"/>
  <c r="AN610"/>
  <c r="AO610"/>
  <c r="AQ610"/>
  <c r="I611"/>
  <c r="P611"/>
  <c r="Q611"/>
  <c r="R611"/>
  <c r="U611"/>
  <c r="V611"/>
  <c r="W611"/>
  <c r="AI611"/>
  <c r="AJ611"/>
  <c r="AN611"/>
  <c r="AO611"/>
  <c r="AQ611"/>
  <c r="I612"/>
  <c r="P612"/>
  <c r="Q612"/>
  <c r="R612"/>
  <c r="U612"/>
  <c r="V612"/>
  <c r="W612"/>
  <c r="AI612"/>
  <c r="AJ612"/>
  <c r="AN612"/>
  <c r="AO612"/>
  <c r="AQ612"/>
  <c r="I613"/>
  <c r="P613"/>
  <c r="R613"/>
  <c r="U613"/>
  <c r="V613"/>
  <c r="W613"/>
  <c r="AI613"/>
  <c r="AJ613"/>
  <c r="AN613"/>
  <c r="AO613"/>
  <c r="AQ613"/>
  <c r="I614"/>
  <c r="P614"/>
  <c r="Q614"/>
  <c r="R614"/>
  <c r="U614"/>
  <c r="V614"/>
  <c r="W614"/>
  <c r="AI614"/>
  <c r="AJ614"/>
  <c r="AN614"/>
  <c r="AO614"/>
  <c r="AQ614"/>
  <c r="I615"/>
  <c r="P615"/>
  <c r="R615"/>
  <c r="U615"/>
  <c r="V615"/>
  <c r="W615"/>
  <c r="AI615"/>
  <c r="AJ615"/>
  <c r="AN615"/>
  <c r="AO615"/>
  <c r="AQ615"/>
  <c r="I616"/>
  <c r="P616"/>
  <c r="R616"/>
  <c r="U616"/>
  <c r="V616"/>
  <c r="W616"/>
  <c r="AI616"/>
  <c r="AJ616"/>
  <c r="AN616"/>
  <c r="AO616"/>
  <c r="AQ616"/>
  <c r="I617"/>
  <c r="P617"/>
  <c r="Q617"/>
  <c r="R617"/>
  <c r="U617"/>
  <c r="V617"/>
  <c r="W617"/>
  <c r="AI617"/>
  <c r="AJ617"/>
  <c r="AN617"/>
  <c r="AO617"/>
  <c r="AQ617"/>
  <c r="I618"/>
  <c r="P618"/>
  <c r="Q618"/>
  <c r="R618"/>
  <c r="U618"/>
  <c r="V618"/>
  <c r="W618"/>
  <c r="AI618"/>
  <c r="AJ618"/>
  <c r="AN618"/>
  <c r="AO618"/>
  <c r="AQ618"/>
  <c r="I619"/>
  <c r="P619"/>
  <c r="R619"/>
  <c r="U619"/>
  <c r="V619"/>
  <c r="W619"/>
  <c r="AI619"/>
  <c r="AJ619"/>
  <c r="AN619"/>
  <c r="AO619"/>
  <c r="AQ619"/>
  <c r="I620"/>
  <c r="P620"/>
  <c r="R620"/>
  <c r="U620"/>
  <c r="V620"/>
  <c r="W620"/>
  <c r="AI620"/>
  <c r="AJ620"/>
  <c r="AN620"/>
  <c r="AO620"/>
  <c r="AQ620"/>
  <c r="I621"/>
  <c r="P621"/>
  <c r="R621"/>
  <c r="U621"/>
  <c r="V621"/>
  <c r="W621"/>
  <c r="AI621"/>
  <c r="AJ621"/>
  <c r="AN621"/>
  <c r="AO621"/>
  <c r="AQ621"/>
  <c r="I622"/>
  <c r="P622"/>
  <c r="R622"/>
  <c r="U622"/>
  <c r="V622"/>
  <c r="W622"/>
  <c r="AI622"/>
  <c r="AJ622"/>
  <c r="AN622"/>
  <c r="AO622"/>
  <c r="AQ622"/>
  <c r="I623"/>
  <c r="P623"/>
  <c r="R623"/>
  <c r="U623"/>
  <c r="V623"/>
  <c r="W623"/>
  <c r="AI623"/>
  <c r="AJ623"/>
  <c r="AN623"/>
  <c r="AO623"/>
  <c r="AQ623"/>
  <c r="I624"/>
  <c r="P624"/>
  <c r="R624"/>
  <c r="U624"/>
  <c r="V624"/>
  <c r="W624"/>
  <c r="AI624"/>
  <c r="AJ624"/>
  <c r="AN624"/>
  <c r="AO624"/>
  <c r="AQ624"/>
  <c r="I625"/>
  <c r="P625"/>
  <c r="R625"/>
  <c r="U625"/>
  <c r="V625"/>
  <c r="W625"/>
  <c r="AI625"/>
  <c r="AJ625"/>
  <c r="AN625"/>
  <c r="AO625"/>
  <c r="AQ625"/>
  <c r="I626"/>
  <c r="P626"/>
  <c r="R626"/>
  <c r="U626"/>
  <c r="V626"/>
  <c r="W626"/>
  <c r="AI626"/>
  <c r="AJ626"/>
  <c r="AN626"/>
  <c r="AO626"/>
  <c r="AQ626"/>
  <c r="I627"/>
  <c r="R627"/>
  <c r="V627"/>
  <c r="W627"/>
  <c r="AI627"/>
  <c r="AJ627"/>
  <c r="AN627"/>
  <c r="AO627"/>
  <c r="AQ627"/>
  <c r="I628"/>
  <c r="P628"/>
  <c r="R628"/>
  <c r="U628"/>
  <c r="V628"/>
  <c r="W628"/>
  <c r="AI628"/>
  <c r="AJ628"/>
  <c r="AN628"/>
  <c r="AO628"/>
  <c r="AQ628"/>
  <c r="I629"/>
  <c r="P629"/>
  <c r="R629"/>
  <c r="U629"/>
  <c r="V629"/>
  <c r="W629"/>
  <c r="AI629"/>
  <c r="AJ629"/>
  <c r="AN629"/>
  <c r="AO629"/>
  <c r="AQ629"/>
  <c r="I630"/>
  <c r="P630"/>
  <c r="R630"/>
  <c r="U630"/>
  <c r="V630"/>
  <c r="W630"/>
  <c r="AI630"/>
  <c r="AJ630"/>
  <c r="AN630"/>
  <c r="AO630"/>
  <c r="AQ630"/>
  <c r="I631"/>
  <c r="P631"/>
  <c r="R631"/>
  <c r="U631"/>
  <c r="V631"/>
  <c r="W631"/>
  <c r="AI631"/>
  <c r="AJ631"/>
  <c r="AN631"/>
  <c r="AO631"/>
  <c r="AQ631"/>
  <c r="I632"/>
  <c r="P632"/>
  <c r="R632"/>
  <c r="U632"/>
  <c r="V632"/>
  <c r="W632"/>
  <c r="AI632"/>
  <c r="AJ632"/>
  <c r="AN632"/>
  <c r="AO632"/>
  <c r="AQ632"/>
  <c r="I633"/>
  <c r="P633"/>
  <c r="Q633"/>
  <c r="R633"/>
  <c r="U633"/>
  <c r="V633"/>
  <c r="W633"/>
  <c r="AI633"/>
  <c r="AJ633"/>
  <c r="AN633"/>
  <c r="AO633"/>
  <c r="AQ633"/>
  <c r="I634"/>
  <c r="P634"/>
  <c r="R634"/>
  <c r="U634"/>
  <c r="V634"/>
  <c r="W634"/>
  <c r="AI634"/>
  <c r="AJ634"/>
  <c r="AN634"/>
  <c r="AO634"/>
  <c r="AQ634"/>
  <c r="I635"/>
  <c r="R635"/>
  <c r="V635"/>
  <c r="W635"/>
  <c r="AI635"/>
  <c r="AJ635"/>
  <c r="AN635"/>
  <c r="AO635"/>
  <c r="AQ635"/>
  <c r="I636"/>
  <c r="P636"/>
  <c r="Q636"/>
  <c r="R636"/>
  <c r="U636"/>
  <c r="V636"/>
  <c r="W636"/>
  <c r="AI636"/>
  <c r="AJ636"/>
  <c r="AN636"/>
  <c r="AO636"/>
  <c r="AQ636"/>
  <c r="I637"/>
  <c r="P637"/>
  <c r="Q637"/>
  <c r="R637"/>
  <c r="U637"/>
  <c r="V637"/>
  <c r="W637"/>
  <c r="AI637"/>
  <c r="AJ637"/>
  <c r="AN637"/>
  <c r="AO637"/>
  <c r="AQ637"/>
  <c r="I638"/>
  <c r="Q638"/>
  <c r="R638"/>
  <c r="V638"/>
  <c r="W638"/>
  <c r="AI638"/>
  <c r="AJ638"/>
  <c r="AN638"/>
  <c r="AO638"/>
  <c r="AQ638"/>
  <c r="I639"/>
  <c r="P639"/>
  <c r="Q639"/>
  <c r="R639"/>
  <c r="U639"/>
  <c r="V639"/>
  <c r="W639"/>
  <c r="AJ639"/>
  <c r="AN639"/>
  <c r="AO639"/>
  <c r="AQ639"/>
  <c r="I640"/>
  <c r="P640"/>
  <c r="R640"/>
  <c r="U640"/>
  <c r="V640"/>
  <c r="W640"/>
  <c r="AJ640"/>
  <c r="AN640"/>
  <c r="AO640"/>
  <c r="AQ640"/>
  <c r="I641"/>
  <c r="P641"/>
  <c r="R641"/>
  <c r="U641"/>
  <c r="V641"/>
  <c r="W641"/>
  <c r="AI641"/>
  <c r="AJ641"/>
  <c r="AN641"/>
  <c r="AO641"/>
  <c r="AQ641"/>
  <c r="I642"/>
  <c r="P642"/>
  <c r="R642"/>
  <c r="U642"/>
  <c r="V642"/>
  <c r="W642"/>
  <c r="AI642"/>
  <c r="AJ642"/>
  <c r="AN642"/>
  <c r="AO642"/>
  <c r="AQ642"/>
  <c r="I643"/>
  <c r="P643"/>
  <c r="Q643"/>
  <c r="R643"/>
  <c r="U643"/>
  <c r="V643"/>
  <c r="W643"/>
  <c r="AI643"/>
  <c r="AJ643"/>
  <c r="AN643"/>
  <c r="AO643"/>
  <c r="AQ643"/>
  <c r="I644"/>
  <c r="P644"/>
  <c r="R644"/>
  <c r="U644"/>
  <c r="V644"/>
  <c r="W644"/>
  <c r="AI644"/>
  <c r="AJ644"/>
  <c r="AN644"/>
  <c r="AO644"/>
  <c r="AQ644"/>
  <c r="I645"/>
  <c r="Q645"/>
  <c r="R645"/>
  <c r="V645"/>
  <c r="W645"/>
  <c r="AI645"/>
  <c r="AJ645"/>
  <c r="AN645"/>
  <c r="AO645"/>
  <c r="AQ645"/>
  <c r="I646"/>
  <c r="P646"/>
  <c r="Q646"/>
  <c r="R646"/>
  <c r="U646"/>
  <c r="V646"/>
  <c r="W646"/>
  <c r="AJ646"/>
  <c r="AN646"/>
  <c r="AO646"/>
  <c r="AQ646"/>
  <c r="I647"/>
  <c r="P647"/>
  <c r="R647"/>
  <c r="U647"/>
  <c r="V647"/>
  <c r="W647"/>
  <c r="AI647"/>
  <c r="AJ647"/>
  <c r="AN647"/>
  <c r="AO647"/>
  <c r="AQ647"/>
  <c r="I648"/>
  <c r="P648"/>
  <c r="Q648"/>
  <c r="R648"/>
  <c r="U648"/>
  <c r="V648"/>
  <c r="W648"/>
  <c r="AI648"/>
  <c r="AJ648"/>
  <c r="AN648"/>
  <c r="AO648"/>
  <c r="AQ648"/>
  <c r="I649"/>
  <c r="P649"/>
  <c r="R649"/>
  <c r="U649"/>
  <c r="V649"/>
  <c r="W649"/>
  <c r="AI649"/>
  <c r="AJ649"/>
  <c r="AN649"/>
  <c r="AO649"/>
  <c r="AQ649"/>
  <c r="I650"/>
  <c r="P650"/>
  <c r="R650"/>
  <c r="U650"/>
  <c r="V650"/>
  <c r="W650"/>
  <c r="AI650"/>
  <c r="AJ650"/>
  <c r="AN650"/>
  <c r="AO650"/>
  <c r="AQ650"/>
  <c r="I651"/>
  <c r="P651"/>
  <c r="R651"/>
  <c r="U651"/>
  <c r="V651"/>
  <c r="W651"/>
  <c r="AI651"/>
  <c r="AJ651"/>
  <c r="AN651"/>
  <c r="AO651"/>
  <c r="AQ651"/>
  <c r="I652"/>
  <c r="P652"/>
  <c r="R652"/>
  <c r="U652"/>
  <c r="V652"/>
  <c r="W652"/>
  <c r="AI652"/>
  <c r="AJ652"/>
  <c r="AN652"/>
  <c r="AO652"/>
  <c r="AQ652"/>
  <c r="I653"/>
  <c r="P653"/>
  <c r="R653"/>
  <c r="U653"/>
  <c r="V653"/>
  <c r="W653"/>
  <c r="AI653"/>
  <c r="AJ653"/>
  <c r="AN653"/>
  <c r="AO653"/>
  <c r="AQ653"/>
  <c r="I654"/>
  <c r="P654"/>
  <c r="Q654"/>
  <c r="R654"/>
  <c r="U654"/>
  <c r="V654"/>
  <c r="W654"/>
  <c r="AI654"/>
  <c r="AJ654"/>
  <c r="AN654"/>
  <c r="AO654"/>
  <c r="AQ654"/>
  <c r="I655"/>
  <c r="P655"/>
  <c r="Q655"/>
  <c r="R655"/>
  <c r="U655"/>
  <c r="V655"/>
  <c r="W655"/>
  <c r="AI655"/>
  <c r="AJ655"/>
  <c r="AN655"/>
  <c r="AO655"/>
  <c r="AQ655"/>
  <c r="I656"/>
  <c r="P656"/>
  <c r="R656"/>
  <c r="U656"/>
  <c r="V656"/>
  <c r="W656"/>
  <c r="AI656"/>
  <c r="AJ656"/>
  <c r="AN656"/>
  <c r="AO656"/>
  <c r="AQ656"/>
  <c r="I657"/>
  <c r="P657"/>
  <c r="R657"/>
  <c r="U657"/>
  <c r="V657"/>
  <c r="W657"/>
  <c r="AI657"/>
  <c r="AJ657"/>
  <c r="AN657"/>
  <c r="AO657"/>
  <c r="AQ657"/>
  <c r="I658"/>
  <c r="P658"/>
  <c r="Q658"/>
  <c r="R658"/>
  <c r="U658"/>
  <c r="V658"/>
  <c r="W658"/>
  <c r="AI658"/>
  <c r="AJ658"/>
  <c r="AN658"/>
  <c r="AO658"/>
  <c r="AQ658"/>
  <c r="I659"/>
  <c r="P659"/>
  <c r="Q659"/>
  <c r="R659"/>
  <c r="U659"/>
  <c r="V659"/>
  <c r="W659"/>
  <c r="AI659"/>
  <c r="AJ659"/>
  <c r="AN659"/>
  <c r="AO659"/>
  <c r="AQ659"/>
  <c r="I660"/>
  <c r="P660"/>
  <c r="R660"/>
  <c r="U660"/>
  <c r="V660"/>
  <c r="W660"/>
  <c r="AI660"/>
  <c r="AJ660"/>
  <c r="AN660"/>
  <c r="AO660"/>
  <c r="AQ660"/>
  <c r="I661"/>
  <c r="P661"/>
  <c r="R661"/>
  <c r="U661"/>
  <c r="V661"/>
  <c r="W661"/>
  <c r="AI661"/>
  <c r="AJ661"/>
  <c r="AN661"/>
  <c r="AO661"/>
  <c r="AQ661"/>
  <c r="I662"/>
  <c r="P662"/>
  <c r="R662"/>
  <c r="U662"/>
  <c r="V662"/>
  <c r="W662"/>
  <c r="AI662"/>
  <c r="AJ662"/>
  <c r="AN662"/>
  <c r="AO662"/>
  <c r="AQ662"/>
  <c r="I663"/>
  <c r="P663"/>
  <c r="R663"/>
  <c r="U663"/>
  <c r="V663"/>
  <c r="W663"/>
  <c r="AI663"/>
  <c r="AJ663"/>
  <c r="AN663"/>
  <c r="AO663"/>
  <c r="AQ663"/>
  <c r="I664"/>
  <c r="P664"/>
  <c r="Q664"/>
  <c r="R664"/>
  <c r="U664"/>
  <c r="V664"/>
  <c r="W664"/>
  <c r="AI664"/>
  <c r="AJ664"/>
  <c r="AN664"/>
  <c r="AO664"/>
  <c r="AQ664"/>
  <c r="I665"/>
  <c r="P665"/>
  <c r="Q665"/>
  <c r="R665"/>
  <c r="U665"/>
  <c r="V665"/>
  <c r="W665"/>
  <c r="AI665"/>
  <c r="AJ665"/>
  <c r="AN665"/>
  <c r="AO665"/>
  <c r="AQ665"/>
  <c r="I666"/>
  <c r="P666"/>
  <c r="Q666"/>
  <c r="R666"/>
  <c r="U666"/>
  <c r="V666"/>
  <c r="W666"/>
  <c r="AI666"/>
  <c r="AJ666"/>
  <c r="AN666"/>
  <c r="AO666"/>
  <c r="AQ666"/>
  <c r="I667"/>
  <c r="P667"/>
  <c r="Q667"/>
  <c r="R667"/>
  <c r="U667"/>
  <c r="V667"/>
  <c r="W667"/>
  <c r="AI667"/>
  <c r="AJ667"/>
  <c r="AN667"/>
  <c r="AO667"/>
  <c r="AQ667"/>
  <c r="I668"/>
  <c r="P668"/>
  <c r="Q668"/>
  <c r="R668"/>
  <c r="U668"/>
  <c r="V668"/>
  <c r="W668"/>
  <c r="AI668"/>
  <c r="AJ668"/>
  <c r="AN668"/>
  <c r="AO668"/>
  <c r="AQ668"/>
  <c r="I669"/>
  <c r="P669"/>
  <c r="Q669"/>
  <c r="R669"/>
  <c r="U669"/>
  <c r="V669"/>
  <c r="W669"/>
  <c r="AI669"/>
  <c r="AJ669"/>
  <c r="AN669"/>
  <c r="AO669"/>
  <c r="AQ669"/>
  <c r="I670"/>
  <c r="P670"/>
  <c r="Q670"/>
  <c r="R670"/>
  <c r="U670"/>
  <c r="V670"/>
  <c r="W670"/>
  <c r="AI670"/>
  <c r="AJ670"/>
  <c r="AN670"/>
  <c r="AO670"/>
  <c r="AQ670"/>
  <c r="I671"/>
  <c r="P671"/>
  <c r="R671"/>
  <c r="U671"/>
  <c r="V671"/>
  <c r="W671"/>
  <c r="AI671"/>
  <c r="AJ671"/>
  <c r="AN671"/>
  <c r="AO671"/>
  <c r="AQ671"/>
  <c r="I672"/>
  <c r="P672"/>
  <c r="Q672"/>
  <c r="R672"/>
  <c r="U672"/>
  <c r="V672"/>
  <c r="W672"/>
  <c r="AI672"/>
  <c r="AJ672"/>
  <c r="AN672"/>
  <c r="AO672"/>
  <c r="AQ672"/>
  <c r="I673"/>
  <c r="P673"/>
  <c r="Q673"/>
  <c r="R673"/>
  <c r="U673"/>
  <c r="V673"/>
  <c r="W673"/>
  <c r="AI673"/>
  <c r="AJ673"/>
  <c r="AN673"/>
  <c r="AO673"/>
  <c r="AQ673"/>
  <c r="I674"/>
  <c r="P674"/>
  <c r="Q674"/>
  <c r="R674"/>
  <c r="U674"/>
  <c r="V674"/>
  <c r="W674"/>
  <c r="AI674"/>
  <c r="AJ674"/>
  <c r="AN674"/>
  <c r="AO674"/>
  <c r="AQ674"/>
  <c r="I675"/>
  <c r="P675"/>
  <c r="Q675"/>
  <c r="R675"/>
  <c r="U675"/>
  <c r="V675"/>
  <c r="W675"/>
  <c r="AI675"/>
  <c r="AJ675"/>
  <c r="AN675"/>
  <c r="AO675"/>
  <c r="AQ675"/>
  <c r="I676"/>
  <c r="P676"/>
  <c r="Q676"/>
  <c r="R676"/>
  <c r="U676"/>
  <c r="V676"/>
  <c r="W676"/>
  <c r="AI676"/>
  <c r="AJ676"/>
  <c r="AN676"/>
  <c r="AO676"/>
  <c r="AQ676"/>
  <c r="I677"/>
  <c r="P677"/>
  <c r="R677"/>
  <c r="U677"/>
  <c r="V677"/>
  <c r="W677"/>
  <c r="AI677"/>
  <c r="AJ677"/>
  <c r="AN677"/>
  <c r="AO677"/>
  <c r="AQ677"/>
  <c r="I678"/>
  <c r="P678"/>
  <c r="R678"/>
  <c r="U678"/>
  <c r="V678"/>
  <c r="W678"/>
  <c r="AI678"/>
  <c r="AJ678"/>
  <c r="AN678"/>
  <c r="AO678"/>
  <c r="AQ678"/>
  <c r="I679"/>
  <c r="P679"/>
  <c r="Q679"/>
  <c r="R679"/>
  <c r="U679"/>
  <c r="V679"/>
  <c r="W679"/>
  <c r="AI679"/>
  <c r="AJ679"/>
  <c r="AN679"/>
  <c r="AO679"/>
  <c r="AQ679"/>
  <c r="I680"/>
  <c r="P680"/>
  <c r="R680"/>
  <c r="U680"/>
  <c r="V680"/>
  <c r="W680"/>
  <c r="AI680"/>
  <c r="AJ680"/>
  <c r="AN680"/>
  <c r="AO680"/>
  <c r="AQ680"/>
  <c r="I681"/>
  <c r="P681"/>
  <c r="Q681"/>
  <c r="R681"/>
  <c r="U681"/>
  <c r="V681"/>
  <c r="W681"/>
  <c r="AI681"/>
  <c r="AJ681"/>
  <c r="AN681"/>
  <c r="AO681"/>
  <c r="AQ681"/>
  <c r="I682"/>
  <c r="P682"/>
  <c r="Q682"/>
  <c r="R682"/>
  <c r="U682"/>
  <c r="V682"/>
  <c r="W682"/>
  <c r="AI682"/>
  <c r="AJ682"/>
  <c r="AN682"/>
  <c r="AO682"/>
  <c r="AQ682"/>
  <c r="I683"/>
  <c r="P683"/>
  <c r="R683"/>
  <c r="U683"/>
  <c r="V683"/>
  <c r="W683"/>
  <c r="AI683"/>
  <c r="AJ683"/>
  <c r="AN683"/>
  <c r="AO683"/>
  <c r="AQ683"/>
  <c r="I684"/>
  <c r="P684"/>
  <c r="Q684"/>
  <c r="R684"/>
  <c r="U684"/>
  <c r="V684"/>
  <c r="W684"/>
  <c r="AI684"/>
  <c r="AJ684"/>
  <c r="AN684"/>
  <c r="AO684"/>
  <c r="AQ684"/>
  <c r="I685"/>
  <c r="P685"/>
  <c r="Q685"/>
  <c r="R685"/>
  <c r="U685"/>
  <c r="V685"/>
  <c r="W685"/>
  <c r="AI685"/>
  <c r="AJ685"/>
  <c r="AN685"/>
  <c r="AO685"/>
  <c r="AQ685"/>
  <c r="I686"/>
  <c r="P686"/>
  <c r="Q686"/>
  <c r="R686"/>
  <c r="U686"/>
  <c r="V686"/>
  <c r="W686"/>
  <c r="AI686"/>
  <c r="AJ686"/>
  <c r="AN686"/>
  <c r="AO686"/>
  <c r="AQ686"/>
  <c r="I687"/>
  <c r="P687"/>
  <c r="R687"/>
  <c r="U687"/>
  <c r="V687"/>
  <c r="W687"/>
  <c r="AI687"/>
  <c r="AJ687"/>
  <c r="AN687"/>
  <c r="AO687"/>
  <c r="AQ687"/>
  <c r="I688"/>
  <c r="P688"/>
  <c r="R688"/>
  <c r="U688"/>
  <c r="V688"/>
  <c r="W688"/>
  <c r="AI688"/>
  <c r="AJ688"/>
  <c r="AN688"/>
  <c r="AO688"/>
  <c r="AQ688"/>
  <c r="I689"/>
  <c r="P689"/>
  <c r="Q689"/>
  <c r="R689"/>
  <c r="U689"/>
  <c r="V689"/>
  <c r="W689"/>
  <c r="AI689"/>
  <c r="AJ689"/>
  <c r="AN689"/>
  <c r="AO689"/>
  <c r="AQ689"/>
  <c r="I690"/>
  <c r="P690"/>
  <c r="R690"/>
  <c r="U690"/>
  <c r="V690"/>
  <c r="W690"/>
  <c r="AI690"/>
  <c r="AJ690"/>
  <c r="AN690"/>
  <c r="AO690"/>
  <c r="AQ690"/>
  <c r="I691"/>
  <c r="P691"/>
  <c r="R691"/>
  <c r="U691"/>
  <c r="V691"/>
  <c r="W691"/>
  <c r="AI691"/>
  <c r="AJ691"/>
  <c r="AN691"/>
  <c r="AO691"/>
  <c r="AQ691"/>
  <c r="I692"/>
  <c r="P692"/>
  <c r="R692"/>
  <c r="U692"/>
  <c r="V692"/>
  <c r="W692"/>
  <c r="AI692"/>
  <c r="AJ692"/>
  <c r="AN692"/>
  <c r="AO692"/>
  <c r="AQ692"/>
  <c r="I693"/>
  <c r="P693"/>
  <c r="R693"/>
  <c r="U693"/>
  <c r="V693"/>
  <c r="W693"/>
  <c r="AI693"/>
  <c r="AJ693"/>
  <c r="AN693"/>
  <c r="AO693"/>
  <c r="AQ693"/>
  <c r="I694"/>
  <c r="P694"/>
  <c r="R694"/>
  <c r="U694"/>
  <c r="V694"/>
  <c r="W694"/>
  <c r="AI694"/>
  <c r="AJ694"/>
  <c r="AN694"/>
  <c r="AO694"/>
  <c r="AQ694"/>
  <c r="I695"/>
  <c r="P695"/>
  <c r="R695"/>
  <c r="U695"/>
  <c r="V695"/>
  <c r="W695"/>
  <c r="AI695"/>
  <c r="AJ695"/>
  <c r="AN695"/>
  <c r="AO695"/>
  <c r="AQ695"/>
  <c r="I696"/>
  <c r="P696"/>
  <c r="R696"/>
  <c r="U696"/>
  <c r="V696"/>
  <c r="W696"/>
  <c r="AI696"/>
  <c r="AJ696"/>
  <c r="AN696"/>
  <c r="AO696"/>
  <c r="AQ696"/>
  <c r="I697"/>
  <c r="P697"/>
  <c r="R697"/>
  <c r="U697"/>
  <c r="V697"/>
  <c r="W697"/>
  <c r="AI697"/>
  <c r="AJ697"/>
  <c r="AN697"/>
  <c r="AO697"/>
  <c r="AQ697"/>
  <c r="I698"/>
  <c r="P698"/>
  <c r="R698"/>
  <c r="U698"/>
  <c r="V698"/>
  <c r="W698"/>
  <c r="AI698"/>
  <c r="AJ698"/>
  <c r="AN698"/>
  <c r="AO698"/>
  <c r="AQ698"/>
  <c r="I699"/>
  <c r="R699"/>
  <c r="V699"/>
  <c r="W699"/>
  <c r="AI699"/>
  <c r="AJ699"/>
  <c r="AN699"/>
  <c r="AO699"/>
  <c r="AQ699"/>
  <c r="I700"/>
  <c r="P700"/>
  <c r="R700"/>
  <c r="U700"/>
  <c r="V700"/>
  <c r="W700"/>
  <c r="AI700"/>
  <c r="AJ700"/>
  <c r="AN700"/>
  <c r="AO700"/>
  <c r="AQ700"/>
  <c r="I701"/>
  <c r="P701"/>
  <c r="Q701"/>
  <c r="R701"/>
  <c r="U701"/>
  <c r="V701"/>
  <c r="W701"/>
  <c r="AI701"/>
  <c r="AJ701"/>
  <c r="AN701"/>
  <c r="AO701"/>
  <c r="AQ701"/>
  <c r="I702"/>
  <c r="P702"/>
  <c r="R702"/>
  <c r="U702"/>
  <c r="V702"/>
  <c r="W702"/>
  <c r="AJ702"/>
  <c r="AN702"/>
  <c r="AO702"/>
  <c r="AQ702"/>
  <c r="I703"/>
  <c r="P703"/>
  <c r="R703"/>
  <c r="U703"/>
  <c r="V703"/>
  <c r="W703"/>
  <c r="AI703"/>
  <c r="AJ703"/>
  <c r="AN703"/>
  <c r="AO703"/>
  <c r="AQ703"/>
  <c r="I704"/>
  <c r="P704"/>
  <c r="Q704"/>
  <c r="R704"/>
  <c r="U704"/>
  <c r="V704"/>
  <c r="W704"/>
  <c r="AI704"/>
  <c r="AJ704"/>
  <c r="AN704"/>
  <c r="AO704"/>
  <c r="AQ704"/>
  <c r="I705"/>
  <c r="Q705"/>
  <c r="R705"/>
  <c r="V705"/>
  <c r="W705"/>
  <c r="AI705"/>
  <c r="AJ705"/>
  <c r="AN705"/>
  <c r="AO705"/>
  <c r="AQ705"/>
  <c r="I706"/>
  <c r="R706"/>
  <c r="V706"/>
  <c r="W706"/>
  <c r="AI706"/>
  <c r="AJ706"/>
  <c r="AN706"/>
  <c r="AO706"/>
  <c r="AQ706"/>
  <c r="I707"/>
  <c r="Q707"/>
  <c r="R707"/>
  <c r="V707"/>
  <c r="W707"/>
  <c r="AI707"/>
  <c r="AJ707"/>
  <c r="AN707"/>
  <c r="AO707"/>
  <c r="AQ707"/>
  <c r="I708"/>
  <c r="Q708"/>
  <c r="R708"/>
  <c r="V708"/>
  <c r="W708"/>
  <c r="AI708"/>
  <c r="AJ708"/>
  <c r="AN708"/>
  <c r="AO708"/>
  <c r="AQ708"/>
  <c r="I709"/>
  <c r="R709"/>
  <c r="V709"/>
  <c r="W709"/>
  <c r="AI709"/>
  <c r="AJ709"/>
  <c r="AN709"/>
  <c r="AO709"/>
  <c r="AQ709"/>
  <c r="I710"/>
  <c r="R710"/>
  <c r="V710"/>
  <c r="W710"/>
  <c r="AI710"/>
  <c r="AJ710"/>
  <c r="AN710"/>
  <c r="AO710"/>
  <c r="AQ710"/>
  <c r="I711"/>
  <c r="R711"/>
  <c r="V711"/>
  <c r="W711"/>
  <c r="AI711"/>
  <c r="AJ711"/>
  <c r="AN711"/>
  <c r="AO711"/>
  <c r="AQ711"/>
  <c r="I712"/>
  <c r="Q712"/>
  <c r="R712"/>
  <c r="V712"/>
  <c r="W712"/>
  <c r="AI712"/>
  <c r="AJ712"/>
  <c r="AN712"/>
  <c r="AO712"/>
  <c r="AQ712"/>
  <c r="I713"/>
  <c r="R713"/>
  <c r="V713"/>
  <c r="W713"/>
  <c r="AI713"/>
  <c r="AJ713"/>
  <c r="AN713"/>
  <c r="AO713"/>
  <c r="AQ713"/>
  <c r="I714"/>
  <c r="R714"/>
  <c r="V714"/>
  <c r="W714"/>
  <c r="AI714"/>
  <c r="AJ714"/>
  <c r="AN714"/>
  <c r="AO714"/>
  <c r="AQ714"/>
  <c r="I715"/>
  <c r="Q715"/>
  <c r="R715"/>
  <c r="V715"/>
  <c r="W715"/>
  <c r="AI715"/>
  <c r="AJ715"/>
  <c r="AN715"/>
  <c r="AO715"/>
  <c r="AQ715"/>
  <c r="I716"/>
  <c r="P716"/>
  <c r="Q716"/>
  <c r="R716"/>
  <c r="U716"/>
  <c r="V716"/>
  <c r="W716"/>
  <c r="AJ716"/>
  <c r="AN716"/>
  <c r="AO716"/>
  <c r="AQ716"/>
  <c r="I717"/>
  <c r="Q717"/>
  <c r="R717"/>
  <c r="V717"/>
  <c r="W717"/>
  <c r="AI717"/>
  <c r="AJ717"/>
  <c r="AN717"/>
  <c r="AO717"/>
  <c r="AQ717"/>
  <c r="I718"/>
  <c r="P718"/>
  <c r="R718"/>
  <c r="U718"/>
  <c r="V718"/>
  <c r="W718"/>
  <c r="AJ718"/>
  <c r="AN718"/>
  <c r="AO718"/>
  <c r="AQ718"/>
</calcChain>
</file>

<file path=xl/sharedStrings.xml><?xml version="1.0" encoding="utf-8"?>
<sst xmlns="http://schemas.openxmlformats.org/spreadsheetml/2006/main" count="19529" uniqueCount="1176">
  <si>
    <t>REPORTING LABEL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</si>
  <si>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</si>
  <si>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</si>
  <si>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</si>
  <si>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ATTRIBUTES</t>
  </si>
  <si>
    <t>( Reporting Company Code; Reporting Company; Reporting Unit Code; Reporting Unit; Operating Company Code; Operating Company; Operating Unit Code; Operating Unit; Company Code; Super Label Code; Super Label; Sub Label Code; Sub Label; Artist; Title; Product Number; Catalog Number; UPC; Latest Release Date; Original Release Date; Title ID; Music Line; Sales Type; Status; Product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</si>
  <si>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DATES</t>
  </si>
  <si>
    <t>UMG P6 14 (Jun 14) to UMG P6 14 (Jun 14) grouped by ( MTD)</t>
  </si>
  <si>
    <t>Reporting Units</t>
  </si>
  <si>
    <t>( FONTANA VARESE GOSPEL = FRG; VARESE SARABANDE = VAR)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</si>
  <si>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</si>
  <si>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</si>
  <si>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</si>
  <si>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</si>
  <si>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</si>
  <si>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</si>
  <si>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</si>
  <si>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</si>
  <si>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</si>
  <si>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</si>
  <si>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</si>
  <si>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Company Code</t>
  </si>
  <si>
    <t>Super Label Code</t>
  </si>
  <si>
    <t>Super Label</t>
  </si>
  <si>
    <t>Sub Label Code</t>
  </si>
  <si>
    <t>Sub Label</t>
  </si>
  <si>
    <t>Artist</t>
  </si>
  <si>
    <t>Title</t>
  </si>
  <si>
    <t>Product Number</t>
  </si>
  <si>
    <t>Catalog Number</t>
  </si>
  <si>
    <t>UPC</t>
  </si>
  <si>
    <t>Latest Release Date</t>
  </si>
  <si>
    <t>Original Release Date</t>
  </si>
  <si>
    <t>Title ID</t>
  </si>
  <si>
    <t>Music Line</t>
  </si>
  <si>
    <t>Sales Type</t>
  </si>
  <si>
    <t>Status</t>
  </si>
  <si>
    <t>Product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</si>
  <si>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</si>
  <si>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</si>
  <si>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</si>
  <si>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</si>
  <si>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</si>
  <si>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</si>
  <si>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</si>
  <si>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</si>
  <si>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</si>
  <si>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</si>
  <si>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</si>
  <si>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</si>
  <si>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</si>
  <si>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</si>
  <si>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</si>
  <si>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</si>
  <si>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</si>
  <si>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</si>
  <si>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P6 14 (Jun 14)</t>
  </si>
  <si>
    <t>Returned Units UMG P6 14 (Jun 14)</t>
  </si>
  <si>
    <t>Return Dollars UMG P6 14 (Jun 14)</t>
  </si>
  <si>
    <t>NET Units UMG P6 14 (Jun 14)</t>
  </si>
  <si>
    <t>Discount Amount UMG P6 14 (Jun 14)</t>
  </si>
  <si>
    <t>Gross Before Discount UMG P6 14 (Jun 14)</t>
  </si>
  <si>
    <t>Financial Net Sales UMG P6 14 (Jun 14)</t>
  </si>
  <si>
    <t>Financial Gross Sales Net of Discounts UMG P6 14 (Jun 14)</t>
  </si>
  <si>
    <t>Defective Gap Credit UMG P6 14 (Jun 14)</t>
  </si>
  <si>
    <t>ASC</t>
  </si>
  <si>
    <t>ASSOCIATED LABELS</t>
  </si>
  <si>
    <t>VAR</t>
  </si>
  <si>
    <t>VARESE SARABANDE</t>
  </si>
  <si>
    <t>U6</t>
  </si>
  <si>
    <t>VARESE</t>
  </si>
  <si>
    <t>F3</t>
  </si>
  <si>
    <t>05A</t>
  </si>
  <si>
    <t>ADAMS,JOHNNY</t>
  </si>
  <si>
    <t>SOUL OF NEW ORLEANS</t>
  </si>
  <si>
    <t>A</t>
  </si>
  <si>
    <t>LMC Catalog</t>
  </si>
  <si>
    <t>BL</t>
  </si>
  <si>
    <t>BLUES</t>
  </si>
  <si>
    <t>Y</t>
  </si>
  <si>
    <t>N</t>
  </si>
  <si>
    <t>DD</t>
  </si>
  <si>
    <t>Distribution Deals</t>
  </si>
  <si>
    <t>CD</t>
  </si>
  <si>
    <t>COMPACT DISC</t>
  </si>
  <si>
    <t>NLC</t>
  </si>
  <si>
    <t>ML</t>
  </si>
  <si>
    <t>M</t>
  </si>
  <si>
    <t>C11</t>
  </si>
  <si>
    <t>APPICE,CARMINE</t>
  </si>
  <si>
    <t>CARMINE APPICE'S GUI</t>
  </si>
  <si>
    <t>RK</t>
  </si>
  <si>
    <t>ROCK</t>
  </si>
  <si>
    <t>GCA</t>
  </si>
  <si>
    <t>FC</t>
  </si>
  <si>
    <t>F</t>
  </si>
  <si>
    <t>C17</t>
  </si>
  <si>
    <t>CLASSICS</t>
  </si>
  <si>
    <t>WCC</t>
  </si>
  <si>
    <t>C12</t>
  </si>
  <si>
    <t>ROCKERS &amp; V8</t>
  </si>
  <si>
    <t>ACC</t>
  </si>
  <si>
    <t>C13</t>
  </si>
  <si>
    <t>ARCHIES</t>
  </si>
  <si>
    <t>ABSOLUTELY THE BEST</t>
  </si>
  <si>
    <t>PR</t>
  </si>
  <si>
    <t>POP</t>
  </si>
  <si>
    <t>GBA</t>
  </si>
  <si>
    <t>C16</t>
  </si>
  <si>
    <t>ARCHIES CHRISTMAS PA</t>
  </si>
  <si>
    <t>XM</t>
  </si>
  <si>
    <t>CHRISTMAS</t>
  </si>
  <si>
    <t>AT HIS BEST (EXPANDE</t>
  </si>
  <si>
    <t>DAVIS, SPENCER</t>
  </si>
  <si>
    <t>WCA</t>
  </si>
  <si>
    <t>C10</t>
  </si>
  <si>
    <t>ATLANTA RHYTHM SECTI</t>
  </si>
  <si>
    <t>ONE FROM THE VAULTS</t>
  </si>
  <si>
    <t>BAF</t>
  </si>
  <si>
    <t>C15</t>
  </si>
  <si>
    <t>WITH ALL DUE RESPECT</t>
  </si>
  <si>
    <t>RB</t>
  </si>
  <si>
    <t>RHYTHM &amp; BLUES</t>
  </si>
  <si>
    <t>AUTRY,GENE</t>
  </si>
  <si>
    <t>COMP. COLUMBIA XMAS</t>
  </si>
  <si>
    <t>COMPLETE TV RECORDIN</t>
  </si>
  <si>
    <t>CW</t>
  </si>
  <si>
    <t>COUNTRY</t>
  </si>
  <si>
    <t>ACI</t>
  </si>
  <si>
    <t>C32</t>
  </si>
  <si>
    <t>RUDOLPH THE RED NOSE</t>
  </si>
  <si>
    <t>BERLIN FEAT TERRI NU</t>
  </si>
  <si>
    <t>ALL THE WAY IN</t>
  </si>
  <si>
    <t>DX</t>
  </si>
  <si>
    <t>MIXED CD/DVD</t>
  </si>
  <si>
    <t>GDA</t>
  </si>
  <si>
    <t>C18</t>
  </si>
  <si>
    <t>BLACKLIST ROYALS</t>
  </si>
  <si>
    <t>DIE YOUNG WITH (EX)</t>
  </si>
  <si>
    <t>New Release</t>
  </si>
  <si>
    <t>LP</t>
  </si>
  <si>
    <t>ALBUM</t>
  </si>
  <si>
    <t>AWN</t>
  </si>
  <si>
    <t>FL</t>
  </si>
  <si>
    <t>L19</t>
  </si>
  <si>
    <t>DIE YOUNG WITH M(EX)</t>
  </si>
  <si>
    <t>BROONZY,BIG BILL</t>
  </si>
  <si>
    <t>AN INTRODUCTION TO</t>
  </si>
  <si>
    <t>BROWN,BUSTER</t>
  </si>
  <si>
    <t>BEST OF</t>
  </si>
  <si>
    <t>BROWN,CHARLES</t>
  </si>
  <si>
    <t>MERRY CHRISTMAS BABY</t>
  </si>
  <si>
    <t>BRUCE,ED</t>
  </si>
  <si>
    <t>12 CLASSICS</t>
  </si>
  <si>
    <t>FGF</t>
  </si>
  <si>
    <t>SS</t>
  </si>
  <si>
    <t>GF</t>
  </si>
  <si>
    <t>BUCKINGHAMS</t>
  </si>
  <si>
    <t>STANDING ROOM ONLY</t>
  </si>
  <si>
    <t>BUCKINGHAMS,THE</t>
  </si>
  <si>
    <t>FLASHBACK</t>
  </si>
  <si>
    <t>BURDON,ERIC</t>
  </si>
  <si>
    <t>BD</t>
  </si>
  <si>
    <t>BUTLER,GEORGE WILD</t>
  </si>
  <si>
    <t>GREATEST HITS</t>
  </si>
  <si>
    <t>CACTUS</t>
  </si>
  <si>
    <t>CACTUS V</t>
  </si>
  <si>
    <t>CALLOWAY,CAB</t>
  </si>
  <si>
    <t>WE CATS CAN HEP YOU</t>
  </si>
  <si>
    <t>JZ</t>
  </si>
  <si>
    <t>JAZZ</t>
  </si>
  <si>
    <t>CAMPBELTOWN PIPE BAN</t>
  </si>
  <si>
    <t>MULL OF KINTYRE</t>
  </si>
  <si>
    <t>Carryover</t>
  </si>
  <si>
    <t>CANNED HEAT</t>
  </si>
  <si>
    <t>HUMAN CONDITION</t>
  </si>
  <si>
    <t>CAPSULA</t>
  </si>
  <si>
    <t>SOLAR SECRETS</t>
  </si>
  <si>
    <t>CAST RECORDING</t>
  </si>
  <si>
    <t>SHOWBOAT (1959 CAST)</t>
  </si>
  <si>
    <t>ST</t>
  </si>
  <si>
    <t>SOUNDTRACK</t>
  </si>
  <si>
    <t>CHIC</t>
  </si>
  <si>
    <t>DANCE DANCE DANCE LI</t>
  </si>
  <si>
    <t>CHORDETTES,THE</t>
  </si>
  <si>
    <t>25 ALL-TIME GREATEST</t>
  </si>
  <si>
    <t>CHRISTIAN,CHARLIE</t>
  </si>
  <si>
    <t>ON THE AIR</t>
  </si>
  <si>
    <t>CLARK,GENE &amp; OLSON,</t>
  </si>
  <si>
    <t>SO REBELLIOUS A LOVE</t>
  </si>
  <si>
    <t>CLARK,JO JO</t>
  </si>
  <si>
    <t>NEW HOUND IN TOWN</t>
  </si>
  <si>
    <t>CLIMAX</t>
  </si>
  <si>
    <t>BEST OF CLIMAX</t>
  </si>
  <si>
    <t>GAA</t>
  </si>
  <si>
    <t>C14</t>
  </si>
  <si>
    <t>CLOONEY. ROSEMARY</t>
  </si>
  <si>
    <t>HAVE YOURSELF A MERR</t>
  </si>
  <si>
    <t>FNX</t>
  </si>
  <si>
    <t>C06</t>
  </si>
  <si>
    <t>COFFEY,DENNIS</t>
  </si>
  <si>
    <t>COMMANDER CODY</t>
  </si>
  <si>
    <t>VISIT TO A SMALL PLA</t>
  </si>
  <si>
    <t>CONLEE,JOHN</t>
  </si>
  <si>
    <t>COUNTRY HEART</t>
  </si>
  <si>
    <t>CRUDUP,ARTHUR BIG B</t>
  </si>
  <si>
    <t>THE BLUES</t>
  </si>
  <si>
    <t>WCP</t>
  </si>
  <si>
    <t>B</t>
  </si>
  <si>
    <t>C09</t>
  </si>
  <si>
    <t>CULTURE CLUB</t>
  </si>
  <si>
    <t>MISS ME BLIND GH LIV</t>
  </si>
  <si>
    <t>DANTE,RON</t>
  </si>
  <si>
    <t>FAVORITES</t>
  </si>
  <si>
    <t>DERRINGER BOGERT APP</t>
  </si>
  <si>
    <t>SKY IS FALLING</t>
  </si>
  <si>
    <t>DIDDLEY,BO</t>
  </si>
  <si>
    <t>DINIZIO,PAT</t>
  </si>
  <si>
    <t>THIS IS...</t>
  </si>
  <si>
    <t>DONOVAN</t>
  </si>
  <si>
    <t>LADY OF THE STARS</t>
  </si>
  <si>
    <t>DOYLE,PATRICK</t>
  </si>
  <si>
    <t>IMPRESSIONS OF AMERI</t>
  </si>
  <si>
    <t>ELLINGTON / BASIE</t>
  </si>
  <si>
    <t>SOUVENIRS</t>
  </si>
  <si>
    <t>EMERSON/HUGHES/BONIL</t>
  </si>
  <si>
    <t>BOYS FROM CALIFORNIA</t>
  </si>
  <si>
    <t>ESQUIRES,THE</t>
  </si>
  <si>
    <t>BEST OF ESQUIRES</t>
  </si>
  <si>
    <t>EVERLY BROTHERS</t>
  </si>
  <si>
    <t>SONGS OUR DADDY</t>
  </si>
  <si>
    <t>FAIRPORT CONVENTION</t>
  </si>
  <si>
    <t>DIRTY LINEN - LIVE</t>
  </si>
  <si>
    <t>FENDER,FREDDY</t>
  </si>
  <si>
    <t>AN INTRODUCTION TO..</t>
  </si>
  <si>
    <t>MI CORAZON ESPANOL</t>
  </si>
  <si>
    <t>LATIN POP</t>
  </si>
  <si>
    <t>ROCK &amp; ROLL</t>
  </si>
  <si>
    <t>FIFTH ESTATE,THE</t>
  </si>
  <si>
    <t>ANTHOLOGY VOL. 1</t>
  </si>
  <si>
    <t>GKA</t>
  </si>
  <si>
    <t>C19</t>
  </si>
  <si>
    <t>FIRST CLASS</t>
  </si>
  <si>
    <t>BEACH BABY: BEST OF</t>
  </si>
  <si>
    <t>FITZGERALD,ELLA</t>
  </si>
  <si>
    <t>PERFORMANCE</t>
  </si>
  <si>
    <t>FIVE BLIND BOYS</t>
  </si>
  <si>
    <t>GP</t>
  </si>
  <si>
    <t>GOSPEL</t>
  </si>
  <si>
    <t>FLEETWOOD MAC</t>
  </si>
  <si>
    <t>PERFECT IN EVERYWAY</t>
  </si>
  <si>
    <t>FOXX,REDD</t>
  </si>
  <si>
    <t>NASTY</t>
  </si>
  <si>
    <t>FRANKLIN,C.L.</t>
  </si>
  <si>
    <t>QC</t>
  </si>
  <si>
    <t>CHRISTIAN</t>
  </si>
  <si>
    <t>GALLERY</t>
  </si>
  <si>
    <t>GARDNER,RON &amp; DEE D</t>
  </si>
  <si>
    <t>GERACI,SONNY</t>
  </si>
  <si>
    <t>PRECIOUS &amp; FEW</t>
  </si>
  <si>
    <t>GERRY &amp; PACEMAKERS</t>
  </si>
  <si>
    <t>GREATEST HITS REVIST</t>
  </si>
  <si>
    <t>GOLDSMITH,JERRY</t>
  </si>
  <si>
    <t>RUDY</t>
  </si>
  <si>
    <t>VSD5446</t>
  </si>
  <si>
    <t>GORDON,ROBERT &amp; LIN</t>
  </si>
  <si>
    <t>LIVE FAST &amp; LOVE HAR</t>
  </si>
  <si>
    <t>GRAY,DOBIE</t>
  </si>
  <si>
    <t>DRIFT AWAY AND OTHER</t>
  </si>
  <si>
    <t>GREENBAUM,NORMAN</t>
  </si>
  <si>
    <t>SPIRIT IN THE (RSD)</t>
  </si>
  <si>
    <t>HARMONIZING FOUR</t>
  </si>
  <si>
    <t>I'LL FLY AWAY</t>
  </si>
  <si>
    <t>HAWKINS,SCREAMIN JA</t>
  </si>
  <si>
    <t>PORTRAIT OF A MAN AN</t>
  </si>
  <si>
    <t>HENRY,CLARENCE FROG</t>
  </si>
  <si>
    <t>HINOJOSA,TISH</t>
  </si>
  <si>
    <t>AFTER THE FAIR</t>
  </si>
  <si>
    <t>HOPKINS,LIGHTNIN</t>
  </si>
  <si>
    <t>BLUES FROM DOWLING S</t>
  </si>
  <si>
    <t>VERY BEST OF (EXPAND</t>
  </si>
  <si>
    <t>HORNE,LENA</t>
  </si>
  <si>
    <t>EZ</t>
  </si>
  <si>
    <t>EASY LISTENING</t>
  </si>
  <si>
    <t>HOUSE,SON</t>
  </si>
  <si>
    <t>KING OF THE DELTA BL</t>
  </si>
  <si>
    <t>HUMAN BEINZ</t>
  </si>
  <si>
    <t>GARAGE DAYS</t>
  </si>
  <si>
    <t>HUMPERDINCK,ENGLEBE</t>
  </si>
  <si>
    <t>SONGS YOU KNOW BY HE</t>
  </si>
  <si>
    <t>INGRAM,LUTHER</t>
  </si>
  <si>
    <t>UR</t>
  </si>
  <si>
    <t>URBAN</t>
  </si>
  <si>
    <t>INTERNATIONAL BELLYD</t>
  </si>
  <si>
    <t>SENSUAL DELIGHTS</t>
  </si>
  <si>
    <t>IRISH ROVERS</t>
  </si>
  <si>
    <t>AN IRISH CHRISTMAS</t>
  </si>
  <si>
    <t>JAMES,ELMORE</t>
  </si>
  <si>
    <t>HITS &amp; RARITIES</t>
  </si>
  <si>
    <t>JAMES,SKIP</t>
  </si>
  <si>
    <t>VERY BEST OF</t>
  </si>
  <si>
    <t>JAN &amp; DEAN</t>
  </si>
  <si>
    <t>SURF'S UP</t>
  </si>
  <si>
    <t>JEFFERSON STARSHIP</t>
  </si>
  <si>
    <t>AIR PLAY</t>
  </si>
  <si>
    <t>JEFFERSON'S TREE OF</t>
  </si>
  <si>
    <t>JOLSON,AL</t>
  </si>
  <si>
    <t>PERFORMANCE 1932-49</t>
  </si>
  <si>
    <t>JONES,SPIKE</t>
  </si>
  <si>
    <t>CLASSIC SONGS</t>
  </si>
  <si>
    <t>JOPLIN,JANIS / BIG</t>
  </si>
  <si>
    <t>LOST TAPES</t>
  </si>
  <si>
    <t>KIM FOWLEY PRESENTS</t>
  </si>
  <si>
    <t>FRANKENSTEIN AND THE</t>
  </si>
  <si>
    <t>KING,FREDDIE</t>
  </si>
  <si>
    <t>BLUES LIVE (EXPANDED</t>
  </si>
  <si>
    <t>LANDRETH,SONNY</t>
  </si>
  <si>
    <t>MISSISSIPPI BLUES</t>
  </si>
  <si>
    <t>LEADBELLY</t>
  </si>
  <si>
    <t>ALL TIME GREATEST RE</t>
  </si>
  <si>
    <t>LENOIR,J.B.</t>
  </si>
  <si>
    <t>THE BLUES (EXPANDED)</t>
  </si>
  <si>
    <t>LOBO</t>
  </si>
  <si>
    <t>ALL TIME GREATEST PE</t>
  </si>
  <si>
    <t>LOCKWOOD JR,ROBERT</t>
  </si>
  <si>
    <t>SWEET HOME CHICAGO</t>
  </si>
  <si>
    <t>DOT</t>
  </si>
  <si>
    <t>C08</t>
  </si>
  <si>
    <t>LONDON,JULIE</t>
  </si>
  <si>
    <t>SILK AND SATIN:THE</t>
  </si>
  <si>
    <t>MABLEY,MOMS</t>
  </si>
  <si>
    <t>COMEDY AIN'T PRETTY</t>
  </si>
  <si>
    <t>M I L F</t>
  </si>
  <si>
    <t>MAGIC SAM</t>
  </si>
  <si>
    <t>ALL YOUR LOVE</t>
  </si>
  <si>
    <t>MAKEM,TOMMY</t>
  </si>
  <si>
    <t>SONGS OF TOMMY MAKEM</t>
  </si>
  <si>
    <t>MANDEL,HARVEY</t>
  </si>
  <si>
    <t>MARCHAN,BOBBY</t>
  </si>
  <si>
    <t>MARKHAM,PIGMEAT</t>
  </si>
  <si>
    <t>CRAP SHOOTIN' REV</t>
  </si>
  <si>
    <t>MARTIN,GEORGE &amp; HIS</t>
  </si>
  <si>
    <t>BEATLES TO BOND TO B</t>
  </si>
  <si>
    <t>MEDLEY,BILL</t>
  </si>
  <si>
    <t>YOUR HEART TO MINE</t>
  </si>
  <si>
    <t>US</t>
  </si>
  <si>
    <t>USA VIDEO</t>
  </si>
  <si>
    <t>MILSAP,RONNIE</t>
  </si>
  <si>
    <t>MOORE,RUDY RAY</t>
  </si>
  <si>
    <t>DOLEMITE SINGS</t>
  </si>
  <si>
    <t>MOUTH &amp; MACNEAL</t>
  </si>
  <si>
    <t>NELSON,RICK</t>
  </si>
  <si>
    <t>ROCKIN AT THE UNIVER</t>
  </si>
  <si>
    <t>NELSON,WILLIE</t>
  </si>
  <si>
    <t>NEVILLE,AARON</t>
  </si>
  <si>
    <t>TOUSSAINT SESSIONS</t>
  </si>
  <si>
    <t>NEWTON,JUICE</t>
  </si>
  <si>
    <t>DUETS: FRIENDS &amp; MEM</t>
  </si>
  <si>
    <t>ULTIMATE HITS 1980-1</t>
  </si>
  <si>
    <t>NILSSON,HARRY</t>
  </si>
  <si>
    <t>FLASH HARRY</t>
  </si>
  <si>
    <t>FLASH HARRY (LP)</t>
  </si>
  <si>
    <t>NOLAN,KENNY</t>
  </si>
  <si>
    <t>O'DAY,ALAN</t>
  </si>
  <si>
    <t>APPETIZERS</t>
  </si>
  <si>
    <t>ODETTA</t>
  </si>
  <si>
    <t>OLSON,CARLA/MICK</t>
  </si>
  <si>
    <t>TOO HOT FOR SNAKES</t>
  </si>
  <si>
    <t>ORIGINAL CASTE</t>
  </si>
  <si>
    <t>ONE TIN SOLDIER</t>
  </si>
  <si>
    <t>ORIGINAL FILM SCORE</t>
  </si>
  <si>
    <t>BODY HEAT</t>
  </si>
  <si>
    <t>VSD5951</t>
  </si>
  <si>
    <t>ORIGINAL SCORE</t>
  </si>
  <si>
    <t>PATTON-TORA! TORA! T</t>
  </si>
  <si>
    <t>VSD5796</t>
  </si>
  <si>
    <t>C</t>
  </si>
  <si>
    <t>PSYCHO</t>
  </si>
  <si>
    <t>VSD5765</t>
  </si>
  <si>
    <t>SOMEWHERE IN TIME</t>
  </si>
  <si>
    <t>VSD5911</t>
  </si>
  <si>
    <t>TO KILL A MOCKINGBIR</t>
  </si>
  <si>
    <t>VSD5754</t>
  </si>
  <si>
    <t>ORLEANS</t>
  </si>
  <si>
    <t>75 LIVE - HARVARD SQ</t>
  </si>
  <si>
    <t>NO MORE THAN YOU CAN</t>
  </si>
  <si>
    <t>OS MUTANTES</t>
  </si>
  <si>
    <t>FOOL METAL JACK</t>
  </si>
  <si>
    <t>OST</t>
  </si>
  <si>
    <t>TRUE BLOOD (SCORE)</t>
  </si>
  <si>
    <t>PAGE,PATTI</t>
  </si>
  <si>
    <t>TATUM, ART</t>
  </si>
  <si>
    <t>PERKINS,CARL</t>
  </si>
  <si>
    <t>SWEETER THAN CANDY</t>
  </si>
  <si>
    <t>PIAF,EDITH</t>
  </si>
  <si>
    <t>BEST OF VOL. 2</t>
  </si>
  <si>
    <t>PASSION OF THE LITTL</t>
  </si>
  <si>
    <t>PORTER,COLE</t>
  </si>
  <si>
    <t>A GREAT AMERICAN SON</t>
  </si>
  <si>
    <t>POWELL,BOBBY</t>
  </si>
  <si>
    <t>PRELUDE</t>
  </si>
  <si>
    <t>AFTER THE GOLDRUSH</t>
  </si>
  <si>
    <t>PRESIDENTS,THE</t>
  </si>
  <si>
    <t>5-10-15-20-25-30 YEA</t>
  </si>
  <si>
    <t>PRIMA,LOUIS</t>
  </si>
  <si>
    <t>RECORDS,THE</t>
  </si>
  <si>
    <t>ROTATE (FEAT JOHN WI</t>
  </si>
  <si>
    <t>REED,JIMMY</t>
  </si>
  <si>
    <t>REINHARDT,DJANGO</t>
  </si>
  <si>
    <t>BEST OF RADIO SESSIO</t>
  </si>
  <si>
    <t>ONLY THE BEST</t>
  </si>
  <si>
    <t>RITTER,TEX</t>
  </si>
  <si>
    <t>HIS BEST</t>
  </si>
  <si>
    <t>ROZSA,MIKLOS</t>
  </si>
  <si>
    <t>A CENTENARY CELEBRAT</t>
  </si>
  <si>
    <t>TSD</t>
  </si>
  <si>
    <t>C24</t>
  </si>
  <si>
    <t>RUSH,OTIS</t>
  </si>
  <si>
    <t>ESSENTIAL COLLECTION</t>
  </si>
  <si>
    <t>RUSH,OTIS &amp; HEROES</t>
  </si>
  <si>
    <t>STAND THE TEST OF TI</t>
  </si>
  <si>
    <t>SAHM,DOUG</t>
  </si>
  <si>
    <t>HELL OF A SPELL</t>
  </si>
  <si>
    <t>SCORE</t>
  </si>
  <si>
    <t>CROW, THE</t>
  </si>
  <si>
    <t>VSD5499</t>
  </si>
  <si>
    <t>FAST AND FURIOUS TOK</t>
  </si>
  <si>
    <t>LORAX, THE</t>
  </si>
  <si>
    <t>SEYMOUR,PHIL</t>
  </si>
  <si>
    <t>ARCHIVE SERIES V.2</t>
  </si>
  <si>
    <t>ARCHIVES VOL. 1</t>
  </si>
  <si>
    <t>SIR DOUGLAS QUARTET</t>
  </si>
  <si>
    <t>NUEVO WAVE LIVE</t>
  </si>
  <si>
    <t>SIR DOUGLAS QUINTET</t>
  </si>
  <si>
    <t>BORDER WAVE</t>
  </si>
  <si>
    <t>SONS OF THE PIONEERS</t>
  </si>
  <si>
    <t>CLASSIC COWBOY SONGS</t>
  </si>
  <si>
    <t>13TH WARRIOR, THE</t>
  </si>
  <si>
    <t>VSD6038</t>
  </si>
  <si>
    <t>24 SEASON 4 &amp; 5</t>
  </si>
  <si>
    <t>47 RONIN</t>
  </si>
  <si>
    <t>ADORE</t>
  </si>
  <si>
    <t>AFTER THE DARK</t>
  </si>
  <si>
    <t>AIR FORCE ONE</t>
  </si>
  <si>
    <t>VSD5825</t>
  </si>
  <si>
    <t>ALBERT NOBBS</t>
  </si>
  <si>
    <t>ALIENS DELUXE EDITIO</t>
  </si>
  <si>
    <t>ANOTHER YEAR</t>
  </si>
  <si>
    <t>ANY WHICH WAY YOU CA</t>
  </si>
  <si>
    <t>APPARITION, THE</t>
  </si>
  <si>
    <t>ARRESTED DEVELOPMENT</t>
  </si>
  <si>
    <t>A-TEAM, THE</t>
  </si>
  <si>
    <t>BACK TO FUTURE TRILO</t>
  </si>
  <si>
    <t>BACK TO THE FUTURE 3</t>
  </si>
  <si>
    <t>VSD5272</t>
  </si>
  <si>
    <t>BARAKA: DELUXE EDITI</t>
  </si>
  <si>
    <t>BATTLE: LOS ANGELES</t>
  </si>
  <si>
    <t>BATTLESHIP</t>
  </si>
  <si>
    <t>BEL AMI</t>
  </si>
  <si>
    <t>BELLE</t>
  </si>
  <si>
    <t>BIG MIRACLE</t>
  </si>
  <si>
    <t>BLACK GOLD</t>
  </si>
  <si>
    <t>BLOOD DIAMOND</t>
  </si>
  <si>
    <t>BLUE VELVET</t>
  </si>
  <si>
    <t>VSD47277</t>
  </si>
  <si>
    <t>BORGIAS, THE</t>
  </si>
  <si>
    <t>BOURNE IDENTITY, THE</t>
  </si>
  <si>
    <t>BOURNE LEGACY</t>
  </si>
  <si>
    <t>BOURNE SUPREMACY</t>
  </si>
  <si>
    <t>BRAKE</t>
  </si>
  <si>
    <t>BUCKET LIST, THE</t>
  </si>
  <si>
    <t>BULLET TO THE HEAD</t>
  </si>
  <si>
    <t>CABIN IN THE WOODS</t>
  </si>
  <si>
    <t>CALVARY</t>
  </si>
  <si>
    <t>CAMELOT</t>
  </si>
  <si>
    <t>CAPTAIN PHILLIPS</t>
  </si>
  <si>
    <t>CHANGELING</t>
  </si>
  <si>
    <t>CHARLIE ST CLOUD</t>
  </si>
  <si>
    <t>CHRISTINE</t>
  </si>
  <si>
    <t>VSD5240</t>
  </si>
  <si>
    <t>CLEOPATRA</t>
  </si>
  <si>
    <t>COPPERHEAD</t>
  </si>
  <si>
    <t>COWBOYS &amp; ALIENS</t>
  </si>
  <si>
    <t>DAN CURTIS' DRACULA</t>
  </si>
  <si>
    <t>DAY THE EARTH STOOD</t>
  </si>
  <si>
    <t>DEAD MAN DOWN</t>
  </si>
  <si>
    <t>DOLPHIN TALE</t>
  </si>
  <si>
    <t>DREAM HOUSE</t>
  </si>
  <si>
    <t>DUPLICITY</t>
  </si>
  <si>
    <t>ELYSIUM</t>
  </si>
  <si>
    <t>ENDER'S GAME</t>
  </si>
  <si>
    <t>FAST FIVE</t>
  </si>
  <si>
    <t>FATHER OF THE BRIDE</t>
  </si>
  <si>
    <t>VSD5348</t>
  </si>
  <si>
    <t>FINAL DESTINATION 5</t>
  </si>
  <si>
    <t>FIREFLY</t>
  </si>
  <si>
    <t>FIRST GRADER</t>
  </si>
  <si>
    <t>FOR GREATER GLORY</t>
  </si>
  <si>
    <t>FRIGHT NIGHT</t>
  </si>
  <si>
    <t>FRINGE</t>
  </si>
  <si>
    <t>FRINGE SEASON 5</t>
  </si>
  <si>
    <t>FRINGE: SEASON 4</t>
  </si>
  <si>
    <t>G.I. JOE</t>
  </si>
  <si>
    <t>G.I.JOE:RETALIATIO</t>
  </si>
  <si>
    <t>GAME OF THRONES</t>
  </si>
  <si>
    <t>GAME OF THRONES SEA2</t>
  </si>
  <si>
    <t>GANGSTER SQUAD</t>
  </si>
  <si>
    <t>GET LOW</t>
  </si>
  <si>
    <t>GHOST RIDER, THE</t>
  </si>
  <si>
    <t>GREAT MOVIE LOVE THE</t>
  </si>
  <si>
    <t>GREEN ZONE, THE</t>
  </si>
  <si>
    <t>GREY GARDENS</t>
  </si>
  <si>
    <t>HACHI: A DOG'S TALE</t>
  </si>
  <si>
    <t>HANCOCK</t>
  </si>
  <si>
    <t>HELP, THE</t>
  </si>
  <si>
    <t>HEMINGWAY &amp; GELLHORN</t>
  </si>
  <si>
    <t>HEMLOCK GROVE</t>
  </si>
  <si>
    <t>HIDDEN MOON</t>
  </si>
  <si>
    <t>HIMALAYA</t>
  </si>
  <si>
    <t>HOLIDAY, THE</t>
  </si>
  <si>
    <t>HONKYTONK MAN</t>
  </si>
  <si>
    <t>HOP</t>
  </si>
  <si>
    <t>HOURS</t>
  </si>
  <si>
    <t>HOUSE OF CARDS</t>
  </si>
  <si>
    <t>HOUSE OF CARDS 2</t>
  </si>
  <si>
    <t>HOW TO TRAIN YOUR DR</t>
  </si>
  <si>
    <t>HUNGER,THE</t>
  </si>
  <si>
    <t>VSD47261</t>
  </si>
  <si>
    <t>I AM LEGEND</t>
  </si>
  <si>
    <t>I AM NUMBER FOUR</t>
  </si>
  <si>
    <t>I LOVE YOU, YOU'RE P</t>
  </si>
  <si>
    <t>VSD5771</t>
  </si>
  <si>
    <t>ICE AGE CONTINENTAL</t>
  </si>
  <si>
    <t>IDES OF MARCH, THE</t>
  </si>
  <si>
    <t>IN LIKE FLINT/OUR MA</t>
  </si>
  <si>
    <t>VSD5935</t>
  </si>
  <si>
    <t>IN THE LAND OF BLOOD</t>
  </si>
  <si>
    <t>ITALIAN JOB, THE</t>
  </si>
  <si>
    <t>JACK RYAN</t>
  </si>
  <si>
    <t>JOHNNY ENGLISH REBOR</t>
  </si>
  <si>
    <t>KNIGHT AND DAY</t>
  </si>
  <si>
    <t>KUNG FU PANDA 2</t>
  </si>
  <si>
    <t>LAST LEGION, THE</t>
  </si>
  <si>
    <t>LAST OF THE MOHICANS</t>
  </si>
  <si>
    <t>LAST STATION, THE</t>
  </si>
  <si>
    <t>LAST VEGAS</t>
  </si>
  <si>
    <t>LET ME IN</t>
  </si>
  <si>
    <t>LIFE AS A HOUSE</t>
  </si>
  <si>
    <t>LIVES OF OTHERS, THE</t>
  </si>
  <si>
    <t>LOST</t>
  </si>
  <si>
    <t>LOST SEASON 2</t>
  </si>
  <si>
    <t>LOST SEASON 3</t>
  </si>
  <si>
    <t>LOST: FINAL SEASON</t>
  </si>
  <si>
    <t>LOST: SEASON 4</t>
  </si>
  <si>
    <t>LOST: SEASON 5</t>
  </si>
  <si>
    <t>MAN FROM SNOWY RIVER</t>
  </si>
  <si>
    <t>VSD47217</t>
  </si>
  <si>
    <t>MAN ON FIRE</t>
  </si>
  <si>
    <t>MICROCOSMOS</t>
  </si>
  <si>
    <t>MILDRED PIERCE</t>
  </si>
  <si>
    <t>MISS PETTIGREW LIVES</t>
  </si>
  <si>
    <t>MISSION:IMPOSS GHOST</t>
  </si>
  <si>
    <t>MISTS OF AVALON</t>
  </si>
  <si>
    <t>MONK</t>
  </si>
  <si>
    <t>MONTE CARLO</t>
  </si>
  <si>
    <t>MOTHER AND CHILD</t>
  </si>
  <si>
    <t>MR MAGORIUM'S WONDER</t>
  </si>
  <si>
    <t>MR POPPER'S PENGUINS</t>
  </si>
  <si>
    <t>NANNY MCPHEE</t>
  </si>
  <si>
    <t>NEED FOR SPEED</t>
  </si>
  <si>
    <t>NICHOLAS NICKLEBY</t>
  </si>
  <si>
    <t>NON-STOP</t>
  </si>
  <si>
    <t>OCULUS</t>
  </si>
  <si>
    <t>OLDBOY</t>
  </si>
  <si>
    <t>ONE TRACK HEART</t>
  </si>
  <si>
    <t>OUT OF AFRICA</t>
  </si>
  <si>
    <t>VSD5816</t>
  </si>
  <si>
    <t>PAIN &amp; GAIN</t>
  </si>
  <si>
    <t>PARKER</t>
  </si>
  <si>
    <t>PAY IT FORWARD</t>
  </si>
  <si>
    <t>PEEWEE'S BIG ADVENTU</t>
  </si>
  <si>
    <t>VSD47281</t>
  </si>
  <si>
    <t>PERSON OF INTEREST</t>
  </si>
  <si>
    <t>PERSON OF INTEREST 2</t>
  </si>
  <si>
    <t>PETER PAN</t>
  </si>
  <si>
    <t>PILLARS OF THE EARTH</t>
  </si>
  <si>
    <t>PLANET OF THE APES</t>
  </si>
  <si>
    <t>VSD5848</t>
  </si>
  <si>
    <t>PORKY'S REVENGE</t>
  </si>
  <si>
    <t>PREDATOR 2</t>
  </si>
  <si>
    <t>VSD5302</t>
  </si>
  <si>
    <t>PRIME</t>
  </si>
  <si>
    <t>PRINCESS OF MONTPENS</t>
  </si>
  <si>
    <t>PRISON BREAK SEAS. 3</t>
  </si>
  <si>
    <t>PUSHING DAISIES</t>
  </si>
  <si>
    <t>PUSHING DAISIES SEA2</t>
  </si>
  <si>
    <t>RAILWAY MAN</t>
  </si>
  <si>
    <t>REAL STEEL</t>
  </si>
  <si>
    <t>RETURN TO SNOWY RIVE</t>
  </si>
  <si>
    <t>VSD70451</t>
  </si>
  <si>
    <t>RIDE ALONG</t>
  </si>
  <si>
    <t>RIGHT KIND OF WRONG</t>
  </si>
  <si>
    <t>RIGHT STUFF/NORTH &amp;</t>
  </si>
  <si>
    <t>VSD47250</t>
  </si>
  <si>
    <t>RIO</t>
  </si>
  <si>
    <t>RISE OF THE GUARDIAN</t>
  </si>
  <si>
    <t>RISE OF THE PLANET O</t>
  </si>
  <si>
    <t>ROBIN HOOD</t>
  </si>
  <si>
    <t>SAFE HOUSE</t>
  </si>
  <si>
    <t>SAMSARA</t>
  </si>
  <si>
    <t>SANCTUM</t>
  </si>
  <si>
    <t>SAVAGES</t>
  </si>
  <si>
    <t>SCREAM 4</t>
  </si>
  <si>
    <t>SECRET GARDEN,THE</t>
  </si>
  <si>
    <t>VSD5443</t>
  </si>
  <si>
    <t>SERENITY</t>
  </si>
  <si>
    <t>SEVEN POUNDS</t>
  </si>
  <si>
    <t>SHAMELESS</t>
  </si>
  <si>
    <t>SHARKY'S MACHINE</t>
  </si>
  <si>
    <t>SHREK FOREVER AFTER</t>
  </si>
  <si>
    <t>SIDE EFFECTS</t>
  </si>
  <si>
    <t>SIGNAL,THE</t>
  </si>
  <si>
    <t>SINISTER</t>
  </si>
  <si>
    <t>SKYLINE</t>
  </si>
  <si>
    <t>SPARTACUS VENGEANCE</t>
  </si>
  <si>
    <t>SPARTACUS: BLOOD AND</t>
  </si>
  <si>
    <t>SPARTACUS:WAR OF THE</t>
  </si>
  <si>
    <t>STANDING UP</t>
  </si>
  <si>
    <t>STAR TREK (2009)</t>
  </si>
  <si>
    <t>STAR TREK INTO DARKN</t>
  </si>
  <si>
    <t>NNC</t>
  </si>
  <si>
    <t>L24</t>
  </si>
  <si>
    <t>STAR TREK: NEMESIS</t>
  </si>
  <si>
    <t>STAR WARS TRILOGY</t>
  </si>
  <si>
    <t>VSD47201</t>
  </si>
  <si>
    <t>STARGATE DELUXE EDIT</t>
  </si>
  <si>
    <t>STARWARS: SHADOWS OF</t>
  </si>
  <si>
    <t>VSDE5700</t>
  </si>
  <si>
    <t>STRIKE BACK</t>
  </si>
  <si>
    <t>STUCK IN LOVE</t>
  </si>
  <si>
    <t>SUPER 8</t>
  </si>
  <si>
    <t>TEARS OF THE SUN</t>
  </si>
  <si>
    <t>THAT AWKWARD MOMENT</t>
  </si>
  <si>
    <t>THE CHORUS</t>
  </si>
  <si>
    <t>THE HANGOVER TRILOGY</t>
  </si>
  <si>
    <t>THE IDOLMAKER</t>
  </si>
  <si>
    <t>THE SMURFS 2</t>
  </si>
  <si>
    <t>THE TUDORS: SEASON 4</t>
  </si>
  <si>
    <t>THING, THE</t>
  </si>
  <si>
    <t>THORN BIRDS, THE</t>
  </si>
  <si>
    <t>TIME MACHINE, THE</t>
  </si>
  <si>
    <t>TOTAL RECALL -DELUXE</t>
  </si>
  <si>
    <t>TOURIST, THE</t>
  </si>
  <si>
    <t>TOWER HEIST</t>
  </si>
  <si>
    <t>TRISTAN &amp; ISOLDE</t>
  </si>
  <si>
    <t>TROUBLE WITH THE CUR</t>
  </si>
  <si>
    <t>TRUE BLOOD: SEASON 2</t>
  </si>
  <si>
    <t>TRUE GRIT</t>
  </si>
  <si>
    <t>TUDORS SEASON 2</t>
  </si>
  <si>
    <t>TUDORS, THE</t>
  </si>
  <si>
    <t>TUDORS: SEASON 3</t>
  </si>
  <si>
    <t>UNFAITHFUL</t>
  </si>
  <si>
    <t>VALKYRIE</t>
  </si>
  <si>
    <t>VERTIGO</t>
  </si>
  <si>
    <t>VSD5600</t>
  </si>
  <si>
    <t>VSD5759</t>
  </si>
  <si>
    <t>VERY HAROLD &amp; KUMAR</t>
  </si>
  <si>
    <t>WARD, THE</t>
  </si>
  <si>
    <t>WATER</t>
  </si>
  <si>
    <t>WHITE HOUSE DOWN</t>
  </si>
  <si>
    <t>WINGED MIGRATION</t>
  </si>
  <si>
    <t>WOLVERINE (X-MEN ORI</t>
  </si>
  <si>
    <t>YOUR HIGHNESS</t>
  </si>
  <si>
    <t>YOU'VE GOT MAIL</t>
  </si>
  <si>
    <t>VSD6015</t>
  </si>
  <si>
    <t>SOUNDTRACK,POLEDOUR</t>
  </si>
  <si>
    <t>FOR LOVE OF THE GAME</t>
  </si>
  <si>
    <t>SOUNDTRACKS</t>
  </si>
  <si>
    <t>ULTIMATE STAR TREK</t>
  </si>
  <si>
    <t>SOUTHSIDE JOHNNY &amp; T</t>
  </si>
  <si>
    <t>1978 LIVE IN BOSTON</t>
  </si>
  <si>
    <t>STAFFORD,JO</t>
  </si>
  <si>
    <t>STEWART,WYNN &amp; JAN</t>
  </si>
  <si>
    <t>TAVARES,CHUBBY</t>
  </si>
  <si>
    <t>JEALOUSY</t>
  </si>
  <si>
    <t>TAYLOR,TED</t>
  </si>
  <si>
    <t>MAKE UP FOR LOST TIM</t>
  </si>
  <si>
    <t>TEMPTATIONS,THE</t>
  </si>
  <si>
    <t>GREATEST HITS IN CON</t>
  </si>
  <si>
    <t>TILLOTSON,JOHNNY</t>
  </si>
  <si>
    <t>TOIA,BROOKE</t>
  </si>
  <si>
    <t>HOW TO LOVE</t>
  </si>
  <si>
    <t>TORME,MEL</t>
  </si>
  <si>
    <t>TURNER,IKE &amp; TINA</t>
  </si>
  <si>
    <t>UNIQUES,THE</t>
  </si>
  <si>
    <t>VALENTE,CATERINA</t>
  </si>
  <si>
    <t>VALENTE COLLECTION</t>
  </si>
  <si>
    <t>VSD5823</t>
  </si>
  <si>
    <t>VANELLI,GINO</t>
  </si>
  <si>
    <t>A NIGHT TO REMEMBER</t>
  </si>
  <si>
    <t>VANILLA FUDGE</t>
  </si>
  <si>
    <t>THEN AND NOW EXPANDE</t>
  </si>
  <si>
    <t>VARIOUS</t>
  </si>
  <si>
    <t>25 BEACH MUSIC CLASS</t>
  </si>
  <si>
    <t>ABSOL BEST CAJUN V.3</t>
  </si>
  <si>
    <t>ACE RECORDS R&amp;R STOR</t>
  </si>
  <si>
    <t>ACE RECORDS STORY</t>
  </si>
  <si>
    <t>AMER COMEDY HOUR LIV</t>
  </si>
  <si>
    <t>BEACH MUSIC SOUND</t>
  </si>
  <si>
    <t>BEST OF BELLYDANCE</t>
  </si>
  <si>
    <t>BEST OF BURLESQUE &amp;</t>
  </si>
  <si>
    <t>BEST OF PARIS</t>
  </si>
  <si>
    <t>BEST OF PARIS V.2</t>
  </si>
  <si>
    <t>BEST OF THE ALL-GIRL</t>
  </si>
  <si>
    <t>BIG BAND LEGENDS HO</t>
  </si>
  <si>
    <t>CAJUN SWAMP ROCK PAR</t>
  </si>
  <si>
    <t>CHIEF &amp; AGE BLUES ST</t>
  </si>
  <si>
    <t>COUNTRY GOSPEL LEGEN</t>
  </si>
  <si>
    <t>ENJOY RECORDS STORY</t>
  </si>
  <si>
    <t>FIRE &amp; FURY R&amp;B STOR</t>
  </si>
  <si>
    <t>GREETINGS FROM THE B</t>
  </si>
  <si>
    <t>I HEART PARIS</t>
  </si>
  <si>
    <t>INTRODUCTION TO BLUE</t>
  </si>
  <si>
    <t>J.O.B. RECORDS STORY</t>
  </si>
  <si>
    <t>JEWEL PAULA SOUL STO</t>
  </si>
  <si>
    <t>JEWEL RECORDS GOSPEL</t>
  </si>
  <si>
    <t>JEWEL/PAULA-RONN BL</t>
  </si>
  <si>
    <t>MARIJUANA MADNESS</t>
  </si>
  <si>
    <t>MARIJUANA MADNESS 2</t>
  </si>
  <si>
    <t>MYRTLE BEACH DAYS</t>
  </si>
  <si>
    <t>NEO TANGO</t>
  </si>
  <si>
    <t>DS</t>
  </si>
  <si>
    <t>DANCE/DISCO</t>
  </si>
  <si>
    <t>OPERA BABY</t>
  </si>
  <si>
    <t>CL</t>
  </si>
  <si>
    <t>CLASSICAL</t>
  </si>
  <si>
    <t>PROFILE RECORDS BLUE</t>
  </si>
  <si>
    <t>RED ROBIN R&amp;B STORY</t>
  </si>
  <si>
    <t>SEXCAPADES SONGS OF</t>
  </si>
  <si>
    <t>SOUND STAGE 7 SOULS</t>
  </si>
  <si>
    <t>UNCONQUERED SPIRIT</t>
  </si>
  <si>
    <t>USA SOUL STORY</t>
  </si>
  <si>
    <t>WHEN RADIO KING VOCA</t>
  </si>
  <si>
    <t>WHEN RADIO WAS KING</t>
  </si>
  <si>
    <t>WOODY ALLEN: SONGS</t>
  </si>
  <si>
    <t>WORLDS GREATEST BLUE</t>
  </si>
  <si>
    <t>VARIOUS ARTISTS</t>
  </si>
  <si>
    <t>ABS. BEST CAJUN 1&amp;2</t>
  </si>
  <si>
    <t>GEA</t>
  </si>
  <si>
    <t>JJ</t>
  </si>
  <si>
    <t>VS:35TH ANNIV CELEB</t>
  </si>
  <si>
    <t>VENTURES</t>
  </si>
  <si>
    <t>CHRISTMAS JOY</t>
  </si>
  <si>
    <t>WALLER,FATS</t>
  </si>
  <si>
    <t>WELCH,BOB</t>
  </si>
  <si>
    <t>HIS FLEETWOOD MAC YE</t>
  </si>
  <si>
    <t>WELLS,MARY</t>
  </si>
  <si>
    <t>BEST OF MARY WELLS</t>
  </si>
  <si>
    <t>WILSON,AL</t>
  </si>
  <si>
    <t>SHOW &amp; TELL: BEST OF</t>
  </si>
  <si>
    <t>WILSON,JUSTIN</t>
  </si>
  <si>
    <t>CAJUN KING OF COMEDY</t>
  </si>
  <si>
    <t>HOW Y'ALL ARE?</t>
  </si>
  <si>
    <t>WILSON,MERI</t>
  </si>
  <si>
    <t>TELEPHONE MAN</t>
  </si>
  <si>
    <t>WINSTONS</t>
  </si>
  <si>
    <t>COLOR ME FATHER</t>
  </si>
  <si>
    <t>WITH GLASSES VERY BE</t>
  </si>
  <si>
    <t>FRED, JOHN &amp; THE PLA</t>
  </si>
  <si>
    <t>YOUNG,FARON</t>
  </si>
  <si>
    <t>GREATEST COUNTRY HIT</t>
  </si>
  <si>
    <t>ZOMBIES</t>
  </si>
  <si>
    <t>FLD1039</t>
  </si>
  <si>
    <t>I LOVE YOU (RSD)</t>
  </si>
  <si>
    <t>ODESSEY AND ORACLE</t>
  </si>
  <si>
    <t>R.I.P.</t>
  </si>
  <si>
    <t>DAVIS,JIMMIE</t>
  </si>
  <si>
    <t>THE VERY BEST</t>
  </si>
  <si>
    <t>LOVE SONGS</t>
  </si>
  <si>
    <t>GILLEY &amp; NELSON</t>
  </si>
  <si>
    <t>TEXAS TROUBADOURS</t>
  </si>
  <si>
    <t>BLACKWOOD BROTHERS</t>
  </si>
  <si>
    <t>ALL THEIR BEST</t>
  </si>
  <si>
    <t>ULTIMATE LIFE,THE</t>
  </si>
  <si>
    <t>JESUS IS THE ANSWER</t>
  </si>
  <si>
    <t>SAY AMEN</t>
  </si>
  <si>
    <t>STAND UP FOR JESUS</t>
  </si>
  <si>
    <t>FLD1034</t>
  </si>
  <si>
    <t>SHOEMAKER,CRAIG</t>
  </si>
  <si>
    <t>MEETS THE LOVEMASTER</t>
  </si>
  <si>
    <t>WLD9202</t>
  </si>
  <si>
    <t>FORBIDDEN ZONE</t>
  </si>
  <si>
    <t>VSD5268</t>
  </si>
  <si>
    <t>ROAD WARRIOR</t>
  </si>
  <si>
    <t>VSD47262</t>
  </si>
  <si>
    <t>FLD1025</t>
  </si>
  <si>
    <t>BENTON,BUSTER</t>
  </si>
  <si>
    <t>BLOOMFIELD,MICHAEL</t>
  </si>
  <si>
    <t>BETWEEN HARD PLACE</t>
  </si>
  <si>
    <t>BLUE,LITTLE JOE</t>
  </si>
  <si>
    <t>COTTON,JAMES</t>
  </si>
  <si>
    <t>CHICAGO HARP</t>
  </si>
  <si>
    <t>FROST,FRANK</t>
  </si>
  <si>
    <t>GUY,BUDDY</t>
  </si>
  <si>
    <t>THIS IS BEGINNING</t>
  </si>
  <si>
    <t>RARITIES &amp; GEMS</t>
  </si>
  <si>
    <t>KING,ALBERT,EARL</t>
  </si>
  <si>
    <t>WE THREE KINGS</t>
  </si>
  <si>
    <t>MABON,WILLIE</t>
  </si>
  <si>
    <t>I'M THE FIXER</t>
  </si>
  <si>
    <t>PRYOR,SNOOKY</t>
  </si>
  <si>
    <t>REAL FINE BOOGIE</t>
  </si>
  <si>
    <t>ROBINSON,ROSCOE</t>
  </si>
  <si>
    <t>LET ME BE MYSELF: BE</t>
  </si>
  <si>
    <t>TURNER,IKE</t>
  </si>
  <si>
    <t>COBRA SESSIONS</t>
  </si>
  <si>
    <t>BIG BOSS MEN:CHICAGO</t>
  </si>
  <si>
    <t>BLUES HARP BOSSES</t>
  </si>
  <si>
    <t>CHICAGO BLUES RARIT</t>
  </si>
  <si>
    <t>COBRA RECORDS STORY</t>
  </si>
  <si>
    <t>FIRE &amp; FURY RECORDS</t>
  </si>
  <si>
    <t>PIANO BLUES 20TH CEN</t>
  </si>
  <si>
    <t>RONN RECORDS STORY</t>
  </si>
  <si>
    <t>WILBERT,HARRISON</t>
  </si>
  <si>
    <t>GR. HITS &amp; RARITIES</t>
  </si>
  <si>
    <t>SHANKAR,RAVI</t>
  </si>
  <si>
    <t>TRANSMIGRATION MACAB</t>
  </si>
  <si>
    <t>GADDITUDE</t>
  </si>
  <si>
    <t>RARITIES COLLECTION</t>
  </si>
  <si>
    <t>SUTTON,TIERNEY</t>
  </si>
  <si>
    <t>AFTER BLUE</t>
  </si>
  <si>
    <t>TATUM,ART</t>
  </si>
  <si>
    <t>MASTERWORKS</t>
  </si>
  <si>
    <t>FON</t>
  </si>
  <si>
    <t>FONTANA</t>
  </si>
  <si>
    <t>FRG</t>
  </si>
  <si>
    <t>FONTANA VARESE GOSPEL</t>
  </si>
  <si>
    <t>GL</t>
  </si>
  <si>
    <t>VARESE GOSPEL</t>
  </si>
  <si>
    <t>7G</t>
  </si>
  <si>
    <t>7GV</t>
  </si>
  <si>
    <t>ACUFF,ROY</t>
  </si>
  <si>
    <t>HAND CLAPPING GOSPEL</t>
  </si>
  <si>
    <t>ARGENT</t>
  </si>
  <si>
    <t>GREATEST</t>
  </si>
  <si>
    <t>COWBOY HYMNS &amp; INSPI</t>
  </si>
  <si>
    <t>I SAW NEW HEAVEN I S</t>
  </si>
  <si>
    <t>FRANKLIN,REV. C.L.</t>
  </si>
  <si>
    <t>SATAN GOES TO A PRAY</t>
  </si>
  <si>
    <t>HIGHWAYMEN</t>
  </si>
  <si>
    <t>THE WATER OF LIFE</t>
  </si>
  <si>
    <t>PEASALL SISTERS</t>
  </si>
  <si>
    <t>FIRST OFFERING</t>
  </si>
  <si>
    <t>WESTERN HYMNS &amp; SPIR</t>
  </si>
  <si>
    <t>AMAZING GRACE: COUNT</t>
  </si>
  <si>
    <t>VARESE FONTANA</t>
  </si>
  <si>
    <t>VRF</t>
  </si>
  <si>
    <t>10CC</t>
  </si>
  <si>
    <t>COMPLETE UK RECORDIN</t>
  </si>
  <si>
    <t>FIQ</t>
  </si>
  <si>
    <t>C22</t>
  </si>
  <si>
    <t>3 BRAVE SOULS</t>
  </si>
  <si>
    <t>GREAT TRAIN SONGS</t>
  </si>
  <si>
    <t>AMAZING RHYTHM ACES</t>
  </si>
  <si>
    <t>THEIR VERY BEST</t>
  </si>
  <si>
    <t>ANDERSON,BILL</t>
  </si>
  <si>
    <t>40 YEARS OF HITS</t>
  </si>
  <si>
    <t>DM</t>
  </si>
  <si>
    <t>DVD MUSIC VIDEO</t>
  </si>
  <si>
    <t>NME</t>
  </si>
  <si>
    <t>MV</t>
  </si>
  <si>
    <t>D14</t>
  </si>
  <si>
    <t>25 COWBOY CLASSICS</t>
  </si>
  <si>
    <t>COWBOY IS A PATRIOT</t>
  </si>
  <si>
    <t>SOUTH OF THE BORDER</t>
  </si>
  <si>
    <t>AVALON,FRANKIE</t>
  </si>
  <si>
    <t>BEAUSOLEIL</t>
  </si>
  <si>
    <t>MAKE THE VEILLER</t>
  </si>
  <si>
    <t>GOSPEL HERITAGE SERI</t>
  </si>
  <si>
    <t>BLAUDZUN</t>
  </si>
  <si>
    <t>HEAVY FLOWERS</t>
  </si>
  <si>
    <t>BOUCHELLE,LISA</t>
  </si>
  <si>
    <t>BLEU ROOM WITH A RED</t>
  </si>
  <si>
    <t>BROWN,MAXINE</t>
  </si>
  <si>
    <t>25 ALL TIME GREATEST</t>
  </si>
  <si>
    <t>IN JESUS'S EYES</t>
  </si>
  <si>
    <t>BUFFETT,JIMMY</t>
  </si>
  <si>
    <t>DOWN TO EARTH + HIGH</t>
  </si>
  <si>
    <t>CASH,JOHNNY</t>
  </si>
  <si>
    <t>ALL ABOARD THE BLUE</t>
  </si>
  <si>
    <t>CHAD AND JEREMY</t>
  </si>
  <si>
    <t>CLARK,PETULA</t>
  </si>
  <si>
    <t>PETULA</t>
  </si>
  <si>
    <t>MUSIC VIDEO</t>
  </si>
  <si>
    <t>CLARK,ROY</t>
  </si>
  <si>
    <t>LAST WORD IN JESUS I</t>
  </si>
  <si>
    <t>TIMELESS CLASSIC PER</t>
  </si>
  <si>
    <t>CLINE,PATSY</t>
  </si>
  <si>
    <t>COBHAM,BILLY</t>
  </si>
  <si>
    <t>PALINDROME</t>
  </si>
  <si>
    <t>PICTURE THIS</t>
  </si>
  <si>
    <t>POWERPLAY</t>
  </si>
  <si>
    <t>WARNING</t>
  </si>
  <si>
    <t>CONTE,LUIS</t>
  </si>
  <si>
    <t>EN CASA DE LUIS</t>
  </si>
  <si>
    <t>CONTE,STEVE</t>
  </si>
  <si>
    <t>STEVE CONTE AND THE</t>
  </si>
  <si>
    <t>COOPER,WILMA LEE &amp;</t>
  </si>
  <si>
    <t>SONGS OF INSPIRATION</t>
  </si>
  <si>
    <t>CREWE,BOB GENERATIO</t>
  </si>
  <si>
    <t>MUSIC TO WATCH GIRLS</t>
  </si>
  <si>
    <t>DARIN,BOBBY</t>
  </si>
  <si>
    <t>THE VERY BEST OF</t>
  </si>
  <si>
    <t>VSD6007</t>
  </si>
  <si>
    <t>DERAILERS,THE</t>
  </si>
  <si>
    <t>LIVE FROM TEXAS</t>
  </si>
  <si>
    <t>DILLARDS</t>
  </si>
  <si>
    <t>A NIGHT AT THE OZARK</t>
  </si>
  <si>
    <t>DIXIE CUPS</t>
  </si>
  <si>
    <t>COMPLETE RED BIRD RE</t>
  </si>
  <si>
    <t>DUPREES</t>
  </si>
  <si>
    <t>ALL-TIME GREATEST HI</t>
  </si>
  <si>
    <t>EMERSON,KEITH BAND</t>
  </si>
  <si>
    <t>MOSCOW</t>
  </si>
  <si>
    <t>THREE FATES PROJECT</t>
  </si>
  <si>
    <t>ETTES,THE</t>
  </si>
  <si>
    <t>WICKED WILL</t>
  </si>
  <si>
    <t>EVANS,DALE</t>
  </si>
  <si>
    <t>REFLECTIONS OF LIFE</t>
  </si>
  <si>
    <t>EVERLY BROTHERS,THE</t>
  </si>
  <si>
    <t>COMPLETE CADENCE REC</t>
  </si>
  <si>
    <t>ACF</t>
  </si>
  <si>
    <t>C26</t>
  </si>
  <si>
    <t>FERRANTE &amp; TEICHER</t>
  </si>
  <si>
    <t>THE FERRANTE &amp; TEICH</t>
  </si>
  <si>
    <t>VSD5919</t>
  </si>
  <si>
    <t>FLACK,ROBERTA</t>
  </si>
  <si>
    <t>CHRISTMAS SONGS</t>
  </si>
  <si>
    <t>FOGHAT</t>
  </si>
  <si>
    <t>FAMILY JOULES</t>
  </si>
  <si>
    <t>FREE DESIGN</t>
  </si>
  <si>
    <t>BEST OF FREE DESIGN</t>
  </si>
  <si>
    <t>VSD5954</t>
  </si>
  <si>
    <t>FRIZZELL &amp; WEST</t>
  </si>
  <si>
    <t>FRIZZELL,DAVID</t>
  </si>
  <si>
    <t>GADD,STEVE AND FRIE</t>
  </si>
  <si>
    <t>LIVE AT VOCE</t>
  </si>
  <si>
    <t>GOLDINGS,LARRY</t>
  </si>
  <si>
    <t>IN MY ROOM</t>
  </si>
  <si>
    <t>GOMEZ,EDDIE</t>
  </si>
  <si>
    <t>PER SEMPRE</t>
  </si>
  <si>
    <t>GRANT,GOGI</t>
  </si>
  <si>
    <t>HER VERY BEST</t>
  </si>
  <si>
    <t>SPIRIT IN THE SKY</t>
  </si>
  <si>
    <t>HALEY,BILL &amp; HIS CO</t>
  </si>
  <si>
    <t>BEST OF 1951-1954</t>
  </si>
  <si>
    <t>HIGHWAYMEN,THE</t>
  </si>
  <si>
    <t>FOLK HITS COLLECTION</t>
  </si>
  <si>
    <t>OUR LITTLE PLANET</t>
  </si>
  <si>
    <t>RETROSPECTIVE</t>
  </si>
  <si>
    <t>HUMPERDINCK,ENGELBE</t>
  </si>
  <si>
    <t>YOU BELONG TO MY HEA</t>
  </si>
  <si>
    <t>INGRAM,JAMES</t>
  </si>
  <si>
    <t>IT'S YOUR NIGHT</t>
  </si>
  <si>
    <t>BOYS OF BELFAST</t>
  </si>
  <si>
    <t>COLLECTION</t>
  </si>
  <si>
    <t>IRISH ROVERS,THE</t>
  </si>
  <si>
    <t>STILL ROVIN' AFTER A</t>
  </si>
  <si>
    <t>JACKSON,WANDA</t>
  </si>
  <si>
    <t>LET'S HAVE A PARTY</t>
  </si>
  <si>
    <t>JAMES,ETTA</t>
  </si>
  <si>
    <t>JAZZ SOUL SEVEN</t>
  </si>
  <si>
    <t>IMPRESSIONS OF CURTI</t>
  </si>
  <si>
    <t>JONES,QUINCY - SAMM</t>
  </si>
  <si>
    <t>BASIE &amp; BEYOND</t>
  </si>
  <si>
    <t>JONES,QUINCY &amp; RAY</t>
  </si>
  <si>
    <t>MUSIC FROM THE ADVEN</t>
  </si>
  <si>
    <t>JORDANAIRES</t>
  </si>
  <si>
    <t>KC &amp; THE SUNSHINE BA</t>
  </si>
  <si>
    <t>GREATEST HITS LIVE</t>
  </si>
  <si>
    <t>KEITH EMERSON BAND</t>
  </si>
  <si>
    <t>KLUGH,EARL</t>
  </si>
  <si>
    <t>KNIGHT,GLADYS</t>
  </si>
  <si>
    <t>GREATEST HITS 73-85</t>
  </si>
  <si>
    <t>KRISTOFFERSON,KRIS</t>
  </si>
  <si>
    <t>LADY SAW</t>
  </si>
  <si>
    <t>MY WAY</t>
  </si>
  <si>
    <t>RG</t>
  </si>
  <si>
    <t>REGGAE</t>
  </si>
  <si>
    <t>LAROSA,JULIUS</t>
  </si>
  <si>
    <t>LAVETTE,BETTYE</t>
  </si>
  <si>
    <t>TAKE ANOTHER LITTLE</t>
  </si>
  <si>
    <t>LEE,BRENDA</t>
  </si>
  <si>
    <t>LEE,DICKEY</t>
  </si>
  <si>
    <t>LEGG,ADRIAN</t>
  </si>
  <si>
    <t>LEWIS,JERRY LEE</t>
  </si>
  <si>
    <t>25 GREATEST SUN HITS</t>
  </si>
  <si>
    <t>ESSENTIAL SUN COUNTR</t>
  </si>
  <si>
    <t>LISTER,HOVIE &amp; STAT</t>
  </si>
  <si>
    <t>LITTLE MILTON</t>
  </si>
  <si>
    <t>ANTHOLOGY 1953-1980</t>
  </si>
  <si>
    <t>LONGET,CLAUDINE</t>
  </si>
  <si>
    <t>VERY BEST OF, THE</t>
  </si>
  <si>
    <t>LYMAN,ARTHUR</t>
  </si>
  <si>
    <t>MAESTRO,JOHNNY &amp; THE</t>
  </si>
  <si>
    <t>20 ALL-TIME GREATEST</t>
  </si>
  <si>
    <t>MCCARTNEY,PAUL</t>
  </si>
  <si>
    <t>FAMILY WAY, THE</t>
  </si>
  <si>
    <t>MCDOWELL,RONNIE</t>
  </si>
  <si>
    <t>A TRIBUTE TO THE KIN</t>
  </si>
  <si>
    <t>MILLIGAN,MALFORD</t>
  </si>
  <si>
    <t>RIDES AGAIN</t>
  </si>
  <si>
    <t>MITCHELL,CHAD TRIO</t>
  </si>
  <si>
    <t>MOORE,DOROTHY</t>
  </si>
  <si>
    <t>MOTTOLA,TONY</t>
  </si>
  <si>
    <t>HEART &amp; SOUL GUITAR</t>
  </si>
  <si>
    <t>OWENS,BUCK</t>
  </si>
  <si>
    <t>OWENS,BUCK &amp; SUSAN</t>
  </si>
  <si>
    <t>VERY BEST</t>
  </si>
  <si>
    <t>PARIS SISTERS</t>
  </si>
  <si>
    <t>COMPLETE PHIL SPECTO</t>
  </si>
  <si>
    <t>PASQUA,ALAN</t>
  </si>
  <si>
    <t>TWIN BILL TWO PIANO</t>
  </si>
  <si>
    <t>PAUL,LES &amp; HIS TRIO</t>
  </si>
  <si>
    <t>CRAZY RHYTHM</t>
  </si>
  <si>
    <t>PHILLIPS,JOHN</t>
  </si>
  <si>
    <t>MANY MAMAS MANY PAPA</t>
  </si>
  <si>
    <t>PUSSYCAT</t>
  </si>
  <si>
    <t>PITNEY,GENE</t>
  </si>
  <si>
    <t>VSD6002</t>
  </si>
  <si>
    <t>PRICE,RAY</t>
  </si>
  <si>
    <t>RABIN,TREVOR</t>
  </si>
  <si>
    <t>JACARANDA</t>
  </si>
  <si>
    <t>RAHMAN,A.R.</t>
  </si>
  <si>
    <t>VANDE MATARAM</t>
  </si>
  <si>
    <t>RIPERTON,MINNIE</t>
  </si>
  <si>
    <t>COME TO MY GARDEN</t>
  </si>
  <si>
    <t>SEALS,DAN</t>
  </si>
  <si>
    <t>SEDAKA,NEIL</t>
  </si>
  <si>
    <t>LAUGHTER IN THE RAIN</t>
  </si>
  <si>
    <t>VSD5539</t>
  </si>
  <si>
    <t>SHANNON,DEL</t>
  </si>
  <si>
    <t>SHERMAN,BOBBY</t>
  </si>
  <si>
    <t>SHIRELLES</t>
  </si>
  <si>
    <t>VSD6029</t>
  </si>
  <si>
    <t>SINATRA,NANCY</t>
  </si>
  <si>
    <t>YOU GO-GO GIRL</t>
  </si>
  <si>
    <t>SMALL FACES</t>
  </si>
  <si>
    <t>THERE ARE BUT FOUR..</t>
  </si>
  <si>
    <t>SMITH,STEVE &amp; VITAL</t>
  </si>
  <si>
    <t>LIVE ONE GREAT NIGHT</t>
  </si>
  <si>
    <t>CENTENNIAL COLLECTIO</t>
  </si>
  <si>
    <t>ESSENTIAL</t>
  </si>
  <si>
    <t>GKB</t>
  </si>
  <si>
    <t>REPUBLIC YEARS</t>
  </si>
  <si>
    <t>DARK SHADOWS</t>
  </si>
  <si>
    <t>VSD5702</t>
  </si>
  <si>
    <t>DARK SHADOWS DELUXE</t>
  </si>
  <si>
    <t>GIRL FROM UNCLE</t>
  </si>
  <si>
    <t>BEST TV QUIZ GAME</t>
  </si>
  <si>
    <t>SOVINE,RED</t>
  </si>
  <si>
    <t>ST PHILIPS BOYS CHOI</t>
  </si>
  <si>
    <t>BEST OF ANGEL VOICES</t>
  </si>
  <si>
    <t>STANLEY BROTHERS</t>
  </si>
  <si>
    <t>ESSENTIAL GOSPEL MAS</t>
  </si>
  <si>
    <t>ESSENTIAL MASTERS</t>
  </si>
  <si>
    <t>5P0266092</t>
  </si>
  <si>
    <t>STANLEY,RALPH</t>
  </si>
  <si>
    <t>STEVENS,RAY</t>
  </si>
  <si>
    <t>CM</t>
  </si>
  <si>
    <t>COMEDY (VID)</t>
  </si>
  <si>
    <t>STEWART,WYNN</t>
  </si>
  <si>
    <t>VERY BEST OF '58-'62</t>
  </si>
  <si>
    <t>STRANGE FAMILIAR</t>
  </si>
  <si>
    <t>CHASING SHADOWS</t>
  </si>
  <si>
    <t>AMERICAN ROAD</t>
  </si>
  <si>
    <t>TEX,JOE</t>
  </si>
  <si>
    <t>THOMPSON,SUE</t>
  </si>
  <si>
    <t>TOUSSAINT,ALLEN</t>
  </si>
  <si>
    <t>TOUSSAINT</t>
  </si>
  <si>
    <t>TWILLEY,DWIGHT</t>
  </si>
  <si>
    <t>GREEN BLIMP</t>
  </si>
  <si>
    <t>UB40</t>
  </si>
  <si>
    <t>LABOUR OF LOVE IV</t>
  </si>
  <si>
    <t>20 DISCO CLASSICS</t>
  </si>
  <si>
    <t>25 ALL TIME NOVELTY</t>
  </si>
  <si>
    <t>25 ALL-TIME DOO WOP</t>
  </si>
  <si>
    <t>25 CLASSIC DOO WOP B</t>
  </si>
  <si>
    <t>25 HITS FROM BRITISH</t>
  </si>
  <si>
    <t>25 ROCKIN' INSTRUMEN</t>
  </si>
  <si>
    <t>GIRLS GIRLS GIRLS</t>
  </si>
  <si>
    <t>SUMMER BEACH PARTY</t>
  </si>
  <si>
    <t>THEN THE 80S AGAIN</t>
  </si>
  <si>
    <t>THEN V.3: TOTALLY OL</t>
  </si>
  <si>
    <t>THEN: THE 80S</t>
  </si>
  <si>
    <t>ULTIMATE SUN BLUES C</t>
  </si>
  <si>
    <t>ACG</t>
  </si>
  <si>
    <t>C29</t>
  </si>
  <si>
    <t>VARIOUS - EARLY 60S</t>
  </si>
  <si>
    <t>ROCK &amp; ROLL: 1ST 50</t>
  </si>
  <si>
    <t>VARIOUS - LATE 60S</t>
  </si>
  <si>
    <t>VARIOUS - MID 60S</t>
  </si>
  <si>
    <t>5P0266142</t>
  </si>
  <si>
    <t>VARIOUS - THE 50S</t>
  </si>
  <si>
    <t>VARIOUS / MCEUEN,JOH</t>
  </si>
  <si>
    <t>MUSIC OF THE WILD WE</t>
  </si>
  <si>
    <t>25 BUBBLEGUM HITS</t>
  </si>
  <si>
    <t>25 GREATEST SUMMER</t>
  </si>
  <si>
    <t>ALIVE FIVE-O</t>
  </si>
  <si>
    <t>PLAY INST. HITS V.2</t>
  </si>
  <si>
    <t>PLAY THE GREATEST IN</t>
  </si>
  <si>
    <t>PLAY THE GREATEST SU</t>
  </si>
  <si>
    <t>VENTURES,THE</t>
  </si>
  <si>
    <t>PLAY THEIR GREATEST</t>
  </si>
  <si>
    <t>VHS OR BETA</t>
  </si>
  <si>
    <t>DIAMONDS AND DEATH</t>
  </si>
  <si>
    <t>VINTON,BOBBY</t>
  </si>
  <si>
    <t>WALL OF VOODOO</t>
  </si>
  <si>
    <t>LOST WEEKEND BEST OF</t>
  </si>
  <si>
    <t>WALLACE,JERRY</t>
  </si>
  <si>
    <t>BEST OF COUNTRY YEAR</t>
  </si>
  <si>
    <t>WALSER,DON</t>
  </si>
  <si>
    <t>TEXAS LEGEND</t>
  </si>
  <si>
    <t>WATSON,JOHNNY GUITA</t>
  </si>
  <si>
    <t>SPACE GUITAR: ESSENT</t>
  </si>
  <si>
    <t>5P0266112</t>
  </si>
  <si>
    <t>WEST,SHELLY</t>
  </si>
  <si>
    <t>WILBURN BROTHERS</t>
  </si>
  <si>
    <t>WILBURN BROTHERS SHO</t>
  </si>
  <si>
    <t>WILLIAMS,ROGER</t>
  </si>
  <si>
    <t>GOLDEN INSPIRATIONAL</t>
  </si>
  <si>
    <t>THE ROGER WILLIAMS C</t>
  </si>
  <si>
    <t>VSD5908</t>
  </si>
  <si>
    <t>YOUNGMAN,HENNY</t>
  </si>
  <si>
    <t>TAKE MY ALBUM PLEASE</t>
  </si>
  <si>
    <t>ZOMBIES,THE</t>
  </si>
  <si>
    <t>THE ZOMBIES</t>
  </si>
  <si>
    <t>DEAD PREZ</t>
  </si>
  <si>
    <t>INFORMATION AGE (EX)</t>
  </si>
  <si>
    <t>RP</t>
  </si>
  <si>
    <t>RAP</t>
  </si>
  <si>
    <t>COMPLETE SUN SINGLES</t>
  </si>
  <si>
    <t>FIRST TIME LIVE</t>
  </si>
  <si>
    <t>RAYE,SUSAN</t>
  </si>
  <si>
    <t>16 GREATEST HITS, FE</t>
  </si>
  <si>
    <t>VSD6028</t>
  </si>
  <si>
    <t>BONDS,GARY U.S.</t>
  </si>
  <si>
    <t>THE VERY BEST OF GAR</t>
  </si>
  <si>
    <t>VSD5938</t>
  </si>
  <si>
    <t>DICK &amp; DEE DEE</t>
  </si>
  <si>
    <t>THE BEST OF DICK &amp; D</t>
  </si>
  <si>
    <t>VSD5576</t>
  </si>
  <si>
    <t>VSD5668</t>
  </si>
  <si>
    <t>KINGSMEN</t>
  </si>
  <si>
    <t>THE VERY BEST OF THE</t>
  </si>
  <si>
    <t>VSD5905</t>
  </si>
  <si>
    <t>STEPPIN' OUT</t>
  </si>
  <si>
    <t>VSD5952</t>
  </si>
  <si>
    <t>THE HUNGRY YEARS</t>
  </si>
  <si>
    <t>VSD5948</t>
  </si>
  <si>
    <t>SMITH,SAMMI</t>
  </si>
  <si>
    <t>THE BEST OF SAMMI SM</t>
  </si>
  <si>
    <t>VSD5574</t>
  </si>
  <si>
    <t>THOMAS,B.J.</t>
  </si>
  <si>
    <t>THE VERY BEST OF B.J</t>
  </si>
  <si>
    <t>VSD5813</t>
  </si>
  <si>
    <t>JACKSON,CHUCK</t>
  </si>
  <si>
    <t>VERY BEST, 1961-1967</t>
  </si>
  <si>
    <t>VSD5777</t>
  </si>
  <si>
    <t>VSD5608</t>
  </si>
  <si>
    <t>KENDALLS</t>
  </si>
  <si>
    <t>THOMPSON,HANK</t>
  </si>
  <si>
    <t>THE BEST OF HANK THO</t>
  </si>
  <si>
    <t>VSD5747</t>
  </si>
  <si>
    <t>WHITE,LENNY</t>
  </si>
  <si>
    <t>LENNY WHITE LIVE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</si>
</sst>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16" fillId="0" borderId="0" xfId="1" applyFont="1"/>
    <xf numFmtId="0" fontId="0" fillId="0" borderId="0" xfId="0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718"/>
  <sheetViews>
    <sheetView tabSelected="1" workbookViewId="0">
      <selection activeCell="A9" sqref="A9:XFD9"/>
    </sheetView>
  </sheetViews>
  <sheetFormatPr defaultRowHeight="15"/>
  <cols>
    <col min="51" max="51" width="11.5703125" bestFit="1" customWidth="1"/>
  </cols>
  <sheetData>
    <row r="1" spans="1:52">
      <c r="A1" t="s">
        <v>0</v>
      </c>
      <c r="B1" t="s">
        <v>1</v>
      </c>
    </row>
    <row r="2" spans="1:52">
      <c r="A2" t="s">
        <v>2</v>
      </c>
      <c r="B2" t="s">
        <v>3</v>
      </c>
    </row>
    <row r="3" spans="1:52">
      <c r="A3" t="s">
        <v>4</v>
      </c>
      <c r="B3" t="s">
        <v>5</v>
      </c>
    </row>
    <row r="4" spans="1:52">
      <c r="A4" t="s">
        <v>6</v>
      </c>
      <c r="B4" t="s">
        <v>7</v>
      </c>
    </row>
    <row r="5" spans="1:52">
      <c r="A5" t="s">
        <v>8</v>
      </c>
      <c r="B5" t="s">
        <v>9</v>
      </c>
    </row>
    <row r="6" spans="1:52">
      <c r="A6" t="s">
        <v>10</v>
      </c>
    </row>
    <row r="7" spans="1:52">
      <c r="A7" t="s">
        <v>11</v>
      </c>
      <c r="B7" t="s">
        <v>12</v>
      </c>
    </row>
    <row r="8" spans="1:52">
      <c r="AY8" s="2">
        <f>SUM(AY10:AY718)</f>
        <v>201906.9599999999</v>
      </c>
    </row>
    <row r="9" spans="1:52" s="3" customFormat="1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  <c r="M9" s="3" t="s">
        <v>25</v>
      </c>
      <c r="N9" s="3" t="s">
        <v>26</v>
      </c>
      <c r="O9" s="3" t="s">
        <v>27</v>
      </c>
      <c r="P9" s="3" t="s">
        <v>28</v>
      </c>
      <c r="Q9" s="3" t="s">
        <v>29</v>
      </c>
      <c r="R9" s="3" t="s">
        <v>30</v>
      </c>
      <c r="S9" s="3" t="s">
        <v>31</v>
      </c>
      <c r="T9" s="3" t="s">
        <v>32</v>
      </c>
      <c r="U9" s="3" t="s">
        <v>33</v>
      </c>
      <c r="V9" s="3" t="s">
        <v>34</v>
      </c>
      <c r="W9" s="3" t="s">
        <v>35</v>
      </c>
      <c r="X9" s="3" t="s">
        <v>36</v>
      </c>
      <c r="Y9" s="3" t="s">
        <v>37</v>
      </c>
      <c r="Z9" s="3" t="s">
        <v>38</v>
      </c>
      <c r="AA9" s="3" t="s">
        <v>39</v>
      </c>
      <c r="AB9" s="3" t="s">
        <v>40</v>
      </c>
      <c r="AC9" s="3" t="s">
        <v>41</v>
      </c>
      <c r="AD9" s="3" t="s">
        <v>42</v>
      </c>
      <c r="AE9" s="3" t="s">
        <v>43</v>
      </c>
      <c r="AF9" s="3" t="s">
        <v>44</v>
      </c>
      <c r="AG9" s="3" t="s">
        <v>45</v>
      </c>
      <c r="AH9" s="3" t="s">
        <v>46</v>
      </c>
      <c r="AI9" s="3" t="s">
        <v>47</v>
      </c>
      <c r="AJ9" s="3" t="s">
        <v>48</v>
      </c>
      <c r="AK9" s="3" t="s">
        <v>49</v>
      </c>
      <c r="AL9" s="3" t="s">
        <v>50</v>
      </c>
      <c r="AM9" s="3" t="s">
        <v>51</v>
      </c>
      <c r="AN9" s="3" t="s">
        <v>52</v>
      </c>
      <c r="AO9" s="3" t="s">
        <v>53</v>
      </c>
      <c r="AP9" s="3" t="s">
        <v>54</v>
      </c>
      <c r="AQ9" s="3" t="s">
        <v>55</v>
      </c>
      <c r="AR9" s="3" t="s">
        <v>56</v>
      </c>
      <c r="AS9" s="3" t="s">
        <v>57</v>
      </c>
      <c r="AT9" s="3" t="s">
        <v>59</v>
      </c>
      <c r="AU9" s="3" t="s">
        <v>61</v>
      </c>
      <c r="AV9" s="3" t="s">
        <v>60</v>
      </c>
      <c r="AW9" s="3" t="s">
        <v>63</v>
      </c>
      <c r="AX9" s="3" t="s">
        <v>58</v>
      </c>
      <c r="AY9" s="3" t="s">
        <v>62</v>
      </c>
      <c r="AZ9" s="3" t="s">
        <v>64</v>
      </c>
    </row>
    <row r="10" spans="1:52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70</v>
      </c>
      <c r="I10" t="str">
        <f t="shared" ref="I10:I73" si="0">"1010"</f>
        <v>1010</v>
      </c>
      <c r="J10" t="str">
        <f t="shared" ref="J10:J73" si="1">"05"</f>
        <v>05</v>
      </c>
      <c r="K10" t="s">
        <v>68</v>
      </c>
      <c r="L10" t="s">
        <v>72</v>
      </c>
      <c r="M10" t="s">
        <v>68</v>
      </c>
      <c r="N10" t="s">
        <v>73</v>
      </c>
      <c r="O10" t="s">
        <v>74</v>
      </c>
      <c r="P10" t="str">
        <f>"3020619922"</f>
        <v>3020619922</v>
      </c>
      <c r="R10" t="str">
        <f>"00030206199222"</f>
        <v>00030206199222</v>
      </c>
      <c r="S10" s="1">
        <v>40757</v>
      </c>
      <c r="T10" s="1">
        <v>40750</v>
      </c>
      <c r="U10" t="str">
        <f>"3020619922"</f>
        <v>3020619922</v>
      </c>
      <c r="V10" t="str">
        <f t="shared" ref="V10:V19" si="2">"1510"</f>
        <v>1510</v>
      </c>
      <c r="W10" t="str">
        <f t="shared" ref="W10:W73" si="3">"11"</f>
        <v>11</v>
      </c>
      <c r="X10" t="s">
        <v>75</v>
      </c>
      <c r="Y10" t="s">
        <v>76</v>
      </c>
      <c r="Z10" t="s">
        <v>77</v>
      </c>
      <c r="AA10" t="s">
        <v>78</v>
      </c>
      <c r="AB10" t="s">
        <v>79</v>
      </c>
      <c r="AD10" t="s">
        <v>80</v>
      </c>
      <c r="AE10" t="s">
        <v>81</v>
      </c>
      <c r="AF10" t="s">
        <v>82</v>
      </c>
      <c r="AG10" t="s">
        <v>83</v>
      </c>
      <c r="AH10" t="s">
        <v>84</v>
      </c>
      <c r="AI10" t="str">
        <f>"01"</f>
        <v>01</v>
      </c>
      <c r="AJ10" t="str">
        <f>"1"</f>
        <v>1</v>
      </c>
      <c r="AK10" t="s">
        <v>85</v>
      </c>
      <c r="AL10" t="s">
        <v>86</v>
      </c>
      <c r="AM10" t="s">
        <v>87</v>
      </c>
      <c r="AN10" t="str">
        <f t="shared" ref="AN10:AN22" si="4">".9700"</f>
        <v>.9700</v>
      </c>
      <c r="AO10" t="str">
        <f>"7.50"</f>
        <v>7.50</v>
      </c>
      <c r="AP10" t="s">
        <v>88</v>
      </c>
      <c r="AQ10" t="str">
        <f>"7.50"</f>
        <v>7.50</v>
      </c>
      <c r="AR10">
        <v>5</v>
      </c>
      <c r="AS10">
        <v>-3</v>
      </c>
      <c r="AT10">
        <v>2</v>
      </c>
      <c r="AU10">
        <v>37.5</v>
      </c>
      <c r="AV10">
        <v>3.15</v>
      </c>
      <c r="AW10">
        <v>34.35</v>
      </c>
      <c r="AX10">
        <v>-20.03</v>
      </c>
      <c r="AY10">
        <v>14.32</v>
      </c>
      <c r="AZ10">
        <v>0</v>
      </c>
    </row>
    <row r="11" spans="1:52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70</v>
      </c>
      <c r="I11" t="str">
        <f t="shared" si="0"/>
        <v>1010</v>
      </c>
      <c r="J11" t="str">
        <f t="shared" si="1"/>
        <v>05</v>
      </c>
      <c r="K11" t="s">
        <v>68</v>
      </c>
      <c r="L11" t="s">
        <v>72</v>
      </c>
      <c r="M11" t="s">
        <v>68</v>
      </c>
      <c r="N11" t="s">
        <v>89</v>
      </c>
      <c r="O11" t="s">
        <v>90</v>
      </c>
      <c r="P11" t="str">
        <f>"3020617832"</f>
        <v>3020617832</v>
      </c>
      <c r="R11" t="str">
        <f>"00030206178326"</f>
        <v>00030206178326</v>
      </c>
      <c r="S11" s="1">
        <v>40050</v>
      </c>
      <c r="T11" s="1">
        <v>40043</v>
      </c>
      <c r="U11" t="str">
        <f>"3020617832"</f>
        <v>3020617832</v>
      </c>
      <c r="V11" t="str">
        <f t="shared" si="2"/>
        <v>1510</v>
      </c>
      <c r="W11" t="str">
        <f t="shared" si="3"/>
        <v>11</v>
      </c>
      <c r="X11" t="s">
        <v>75</v>
      </c>
      <c r="Y11" t="s">
        <v>76</v>
      </c>
      <c r="Z11" t="s">
        <v>91</v>
      </c>
      <c r="AA11" t="s">
        <v>92</v>
      </c>
      <c r="AB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  <c r="AI11" t="str">
        <f>"02"</f>
        <v>02</v>
      </c>
      <c r="AJ11" t="str">
        <f>"2"</f>
        <v>2</v>
      </c>
      <c r="AK11" t="s">
        <v>93</v>
      </c>
      <c r="AL11" t="s">
        <v>94</v>
      </c>
      <c r="AM11" t="s">
        <v>95</v>
      </c>
      <c r="AN11" t="str">
        <f t="shared" si="4"/>
        <v>.9700</v>
      </c>
      <c r="AO11" t="str">
        <f>"11.41"</f>
        <v>11.41</v>
      </c>
      <c r="AP11" t="s">
        <v>96</v>
      </c>
      <c r="AQ11" t="str">
        <f>"11.41"</f>
        <v>11.41</v>
      </c>
      <c r="AR11">
        <v>5</v>
      </c>
      <c r="AS11">
        <v>-2</v>
      </c>
      <c r="AT11">
        <v>3</v>
      </c>
      <c r="AU11">
        <v>57.05</v>
      </c>
      <c r="AV11">
        <v>6.85</v>
      </c>
      <c r="AW11">
        <v>50.2</v>
      </c>
      <c r="AX11">
        <v>-20.149999999999999</v>
      </c>
      <c r="AY11">
        <v>30.05</v>
      </c>
      <c r="AZ11">
        <v>0</v>
      </c>
    </row>
    <row r="12" spans="1:52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70</v>
      </c>
      <c r="I12" t="str">
        <f t="shared" si="0"/>
        <v>1010</v>
      </c>
      <c r="J12" t="str">
        <f t="shared" si="1"/>
        <v>05</v>
      </c>
      <c r="K12" t="s">
        <v>68</v>
      </c>
      <c r="L12" t="s">
        <v>72</v>
      </c>
      <c r="M12" t="s">
        <v>68</v>
      </c>
      <c r="N12" t="s">
        <v>89</v>
      </c>
      <c r="O12" t="s">
        <v>97</v>
      </c>
      <c r="P12" t="str">
        <f>"3020619012"</f>
        <v>3020619012</v>
      </c>
      <c r="R12" t="str">
        <f>"00030206190120"</f>
        <v>00030206190120</v>
      </c>
      <c r="S12" s="1">
        <v>40883</v>
      </c>
      <c r="T12" s="1">
        <v>40883</v>
      </c>
      <c r="U12" t="str">
        <f>"3020619012"</f>
        <v>3020619012</v>
      </c>
      <c r="V12" t="str">
        <f t="shared" si="2"/>
        <v>1510</v>
      </c>
      <c r="W12" t="str">
        <f t="shared" si="3"/>
        <v>11</v>
      </c>
      <c r="X12" t="s">
        <v>75</v>
      </c>
      <c r="Y12" t="s">
        <v>76</v>
      </c>
      <c r="Z12" t="s">
        <v>91</v>
      </c>
      <c r="AA12" t="s">
        <v>92</v>
      </c>
      <c r="AB12" t="s">
        <v>79</v>
      </c>
      <c r="AD12" t="s">
        <v>80</v>
      </c>
      <c r="AE12" t="s">
        <v>81</v>
      </c>
      <c r="AF12" t="s">
        <v>82</v>
      </c>
      <c r="AG12" t="s">
        <v>83</v>
      </c>
      <c r="AH12" t="s">
        <v>84</v>
      </c>
      <c r="AI12" t="str">
        <f>"01"</f>
        <v>01</v>
      </c>
      <c r="AJ12" t="str">
        <f>"1"</f>
        <v>1</v>
      </c>
      <c r="AK12" t="s">
        <v>98</v>
      </c>
      <c r="AL12" t="s">
        <v>86</v>
      </c>
      <c r="AM12" t="s">
        <v>95</v>
      </c>
      <c r="AN12" t="str">
        <f t="shared" si="4"/>
        <v>.9700</v>
      </c>
      <c r="AO12" t="str">
        <f>"8.00"</f>
        <v>8.00</v>
      </c>
      <c r="AP12" t="s">
        <v>99</v>
      </c>
      <c r="AQ12" t="str">
        <f>"8.00"</f>
        <v>8.00</v>
      </c>
      <c r="AR12">
        <v>0</v>
      </c>
      <c r="AS12">
        <v>-3</v>
      </c>
      <c r="AT12">
        <v>-3</v>
      </c>
      <c r="AU12">
        <v>0</v>
      </c>
      <c r="AV12">
        <v>0</v>
      </c>
      <c r="AW12">
        <v>0</v>
      </c>
      <c r="AX12">
        <v>-20.55</v>
      </c>
      <c r="AY12">
        <v>-20.55</v>
      </c>
      <c r="AZ12">
        <v>0</v>
      </c>
    </row>
    <row r="13" spans="1:52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70</v>
      </c>
      <c r="I13" t="str">
        <f t="shared" si="0"/>
        <v>1010</v>
      </c>
      <c r="J13" t="str">
        <f t="shared" si="1"/>
        <v>05</v>
      </c>
      <c r="K13" t="s">
        <v>68</v>
      </c>
      <c r="L13" t="s">
        <v>72</v>
      </c>
      <c r="M13" t="s">
        <v>68</v>
      </c>
      <c r="N13" t="s">
        <v>89</v>
      </c>
      <c r="O13" t="s">
        <v>100</v>
      </c>
      <c r="P13" t="str">
        <f>"3020618892"</f>
        <v>3020618892</v>
      </c>
      <c r="R13" t="str">
        <f>"00030206188929"</f>
        <v>00030206188929</v>
      </c>
      <c r="S13" s="1">
        <v>40708</v>
      </c>
      <c r="T13" s="1">
        <v>40708</v>
      </c>
      <c r="U13" t="str">
        <f>"3020618892"</f>
        <v>3020618892</v>
      </c>
      <c r="V13" t="str">
        <f t="shared" si="2"/>
        <v>1510</v>
      </c>
      <c r="W13" t="str">
        <f t="shared" si="3"/>
        <v>11</v>
      </c>
      <c r="X13" t="s">
        <v>75</v>
      </c>
      <c r="Y13" t="s">
        <v>76</v>
      </c>
      <c r="Z13" t="s">
        <v>91</v>
      </c>
      <c r="AA13" t="s">
        <v>92</v>
      </c>
      <c r="AB13" t="s">
        <v>79</v>
      </c>
      <c r="AD13" t="s">
        <v>80</v>
      </c>
      <c r="AE13" t="s">
        <v>81</v>
      </c>
      <c r="AF13" t="s">
        <v>82</v>
      </c>
      <c r="AG13" t="s">
        <v>83</v>
      </c>
      <c r="AH13" t="s">
        <v>84</v>
      </c>
      <c r="AI13" t="str">
        <f>"01"</f>
        <v>01</v>
      </c>
      <c r="AJ13" t="str">
        <f>"1"</f>
        <v>1</v>
      </c>
      <c r="AK13" t="s">
        <v>101</v>
      </c>
      <c r="AL13" t="s">
        <v>94</v>
      </c>
      <c r="AM13" t="s">
        <v>95</v>
      </c>
      <c r="AN13" t="str">
        <f t="shared" si="4"/>
        <v>.9700</v>
      </c>
      <c r="AO13" t="str">
        <f>"9.07"</f>
        <v>9.07</v>
      </c>
      <c r="AP13" t="s">
        <v>102</v>
      </c>
      <c r="AQ13" t="str">
        <f>"9.07"</f>
        <v>9.07</v>
      </c>
      <c r="AR13">
        <v>12</v>
      </c>
      <c r="AS13">
        <v>-1</v>
      </c>
      <c r="AT13">
        <v>11</v>
      </c>
      <c r="AU13">
        <v>108.8</v>
      </c>
      <c r="AV13">
        <v>10.88</v>
      </c>
      <c r="AW13">
        <v>97.92</v>
      </c>
      <c r="AX13">
        <v>-7.87</v>
      </c>
      <c r="AY13">
        <v>90.05</v>
      </c>
      <c r="AZ13">
        <v>0</v>
      </c>
    </row>
    <row r="14" spans="1:52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 t="s">
        <v>71</v>
      </c>
      <c r="H14" t="s">
        <v>70</v>
      </c>
      <c r="I14" t="str">
        <f t="shared" si="0"/>
        <v>1010</v>
      </c>
      <c r="J14" t="str">
        <f t="shared" si="1"/>
        <v>05</v>
      </c>
      <c r="K14" t="s">
        <v>68</v>
      </c>
      <c r="L14" t="s">
        <v>72</v>
      </c>
      <c r="M14" t="s">
        <v>68</v>
      </c>
      <c r="N14" t="s">
        <v>103</v>
      </c>
      <c r="O14" t="s">
        <v>104</v>
      </c>
      <c r="P14" t="str">
        <f>"3020611202"</f>
        <v>3020611202</v>
      </c>
      <c r="R14" t="str">
        <f>"00030206112023"</f>
        <v>00030206112023</v>
      </c>
      <c r="S14" s="1">
        <v>37033</v>
      </c>
      <c r="T14" s="1">
        <v>37033</v>
      </c>
      <c r="U14" t="str">
        <f>"3020611202"</f>
        <v>3020611202</v>
      </c>
      <c r="V14" t="str">
        <f t="shared" si="2"/>
        <v>1510</v>
      </c>
      <c r="W14" t="str">
        <f t="shared" si="3"/>
        <v>11</v>
      </c>
      <c r="X14" t="s">
        <v>75</v>
      </c>
      <c r="Y14" t="s">
        <v>76</v>
      </c>
      <c r="Z14" t="s">
        <v>105</v>
      </c>
      <c r="AA14" t="s">
        <v>106</v>
      </c>
      <c r="AB14" t="s">
        <v>79</v>
      </c>
      <c r="AD14" t="s">
        <v>80</v>
      </c>
      <c r="AE14" t="s">
        <v>81</v>
      </c>
      <c r="AF14" t="s">
        <v>82</v>
      </c>
      <c r="AG14" t="s">
        <v>83</v>
      </c>
      <c r="AH14" t="s">
        <v>84</v>
      </c>
      <c r="AI14" t="str">
        <f>"01"</f>
        <v>01</v>
      </c>
      <c r="AJ14" t="str">
        <f>"1"</f>
        <v>1</v>
      </c>
      <c r="AK14" t="s">
        <v>107</v>
      </c>
      <c r="AL14" t="s">
        <v>94</v>
      </c>
      <c r="AM14" t="s">
        <v>95</v>
      </c>
      <c r="AN14" t="str">
        <f t="shared" si="4"/>
        <v>.9700</v>
      </c>
      <c r="AO14" t="str">
        <f>"10.78"</f>
        <v>10.78</v>
      </c>
      <c r="AP14" t="s">
        <v>108</v>
      </c>
      <c r="AQ14" t="str">
        <f>"10.78"</f>
        <v>10.78</v>
      </c>
      <c r="AR14">
        <v>27</v>
      </c>
      <c r="AS14">
        <v>0</v>
      </c>
      <c r="AT14">
        <v>27</v>
      </c>
      <c r="AU14">
        <v>291.02999999999997</v>
      </c>
      <c r="AV14">
        <v>17.25</v>
      </c>
      <c r="AW14">
        <v>273.77999999999997</v>
      </c>
      <c r="AX14">
        <v>0</v>
      </c>
      <c r="AY14">
        <v>273.77999999999997</v>
      </c>
      <c r="AZ14">
        <v>0</v>
      </c>
    </row>
    <row r="15" spans="1:52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  <c r="H15" t="s">
        <v>70</v>
      </c>
      <c r="I15" t="str">
        <f t="shared" si="0"/>
        <v>1010</v>
      </c>
      <c r="J15" t="str">
        <f t="shared" si="1"/>
        <v>05</v>
      </c>
      <c r="K15" t="s">
        <v>68</v>
      </c>
      <c r="L15" t="s">
        <v>72</v>
      </c>
      <c r="M15" t="s">
        <v>68</v>
      </c>
      <c r="N15" t="s">
        <v>103</v>
      </c>
      <c r="O15" t="s">
        <v>109</v>
      </c>
      <c r="P15" t="str">
        <f>"3020617392"</f>
        <v>3020617392</v>
      </c>
      <c r="R15" t="str">
        <f>"00030206173925"</f>
        <v>00030206173925</v>
      </c>
      <c r="S15" s="1">
        <v>39721</v>
      </c>
      <c r="T15" s="1">
        <v>39707</v>
      </c>
      <c r="U15" t="str">
        <f>"3020617392"</f>
        <v>3020617392</v>
      </c>
      <c r="V15" t="str">
        <f t="shared" si="2"/>
        <v>1510</v>
      </c>
      <c r="W15" t="str">
        <f t="shared" si="3"/>
        <v>11</v>
      </c>
      <c r="X15" t="s">
        <v>75</v>
      </c>
      <c r="Y15" t="s">
        <v>76</v>
      </c>
      <c r="Z15" t="s">
        <v>110</v>
      </c>
      <c r="AA15" t="s">
        <v>111</v>
      </c>
      <c r="AB15" t="s">
        <v>79</v>
      </c>
      <c r="AD15" t="s">
        <v>80</v>
      </c>
      <c r="AE15" t="s">
        <v>81</v>
      </c>
      <c r="AF15" t="s">
        <v>82</v>
      </c>
      <c r="AG15" t="s">
        <v>83</v>
      </c>
      <c r="AH15" t="s">
        <v>84</v>
      </c>
      <c r="AI15" t="str">
        <f>"01"</f>
        <v>01</v>
      </c>
      <c r="AJ15" t="str">
        <f>"1"</f>
        <v>1</v>
      </c>
      <c r="AK15" t="s">
        <v>85</v>
      </c>
      <c r="AL15" t="s">
        <v>94</v>
      </c>
      <c r="AM15" t="s">
        <v>87</v>
      </c>
      <c r="AN15" t="str">
        <f t="shared" si="4"/>
        <v>.9700</v>
      </c>
      <c r="AO15" t="str">
        <f>"7.50"</f>
        <v>7.50</v>
      </c>
      <c r="AP15" t="s">
        <v>88</v>
      </c>
      <c r="AQ15" t="str">
        <f>"7.50"</f>
        <v>7.50</v>
      </c>
      <c r="AR15">
        <v>2</v>
      </c>
      <c r="AS15">
        <v>0</v>
      </c>
      <c r="AT15">
        <v>2</v>
      </c>
      <c r="AU15">
        <v>15</v>
      </c>
      <c r="AV15">
        <v>0</v>
      </c>
      <c r="AW15">
        <v>15</v>
      </c>
      <c r="AX15">
        <v>0</v>
      </c>
      <c r="AY15">
        <v>15</v>
      </c>
      <c r="AZ15">
        <v>0</v>
      </c>
    </row>
    <row r="16" spans="1:52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71</v>
      </c>
      <c r="H16" t="s">
        <v>70</v>
      </c>
      <c r="I16" t="str">
        <f t="shared" si="0"/>
        <v>1010</v>
      </c>
      <c r="J16" t="str">
        <f t="shared" si="1"/>
        <v>05</v>
      </c>
      <c r="K16" t="s">
        <v>68</v>
      </c>
      <c r="L16" t="s">
        <v>72</v>
      </c>
      <c r="M16" t="s">
        <v>68</v>
      </c>
      <c r="N16" t="s">
        <v>112</v>
      </c>
      <c r="O16" t="s">
        <v>113</v>
      </c>
      <c r="P16" t="str">
        <f>"3020619072"</f>
        <v>3020619072</v>
      </c>
      <c r="R16" t="str">
        <f>"00030206190724"</f>
        <v>00030206190724</v>
      </c>
      <c r="S16" s="1">
        <v>40974</v>
      </c>
      <c r="T16" s="1">
        <v>40974</v>
      </c>
      <c r="U16" t="str">
        <f>"3020619072"</f>
        <v>3020619072</v>
      </c>
      <c r="V16" t="str">
        <f t="shared" si="2"/>
        <v>1510</v>
      </c>
      <c r="W16" t="str">
        <f t="shared" si="3"/>
        <v>11</v>
      </c>
      <c r="X16" t="s">
        <v>75</v>
      </c>
      <c r="Y16" t="s">
        <v>76</v>
      </c>
      <c r="Z16" t="s">
        <v>105</v>
      </c>
      <c r="AA16" t="s">
        <v>106</v>
      </c>
      <c r="AB16" t="s">
        <v>79</v>
      </c>
      <c r="AD16" t="s">
        <v>80</v>
      </c>
      <c r="AE16" t="s">
        <v>81</v>
      </c>
      <c r="AF16" t="s">
        <v>82</v>
      </c>
      <c r="AG16" t="s">
        <v>83</v>
      </c>
      <c r="AH16" t="s">
        <v>84</v>
      </c>
      <c r="AI16" t="str">
        <f>"01"</f>
        <v>01</v>
      </c>
      <c r="AJ16" t="str">
        <f>"1"</f>
        <v>1</v>
      </c>
      <c r="AK16" t="s">
        <v>114</v>
      </c>
      <c r="AL16" t="s">
        <v>86</v>
      </c>
      <c r="AM16" t="s">
        <v>87</v>
      </c>
      <c r="AN16" t="str">
        <f t="shared" si="4"/>
        <v>.9700</v>
      </c>
      <c r="AO16" t="str">
        <f>"7.00"</f>
        <v>7.00</v>
      </c>
      <c r="AP16" t="s">
        <v>115</v>
      </c>
      <c r="AQ16" t="str">
        <f>"7.00"</f>
        <v>7.00</v>
      </c>
      <c r="AR16">
        <v>8</v>
      </c>
      <c r="AS16">
        <v>-1</v>
      </c>
      <c r="AT16">
        <v>7</v>
      </c>
      <c r="AU16">
        <v>56</v>
      </c>
      <c r="AV16">
        <v>5.6</v>
      </c>
      <c r="AW16">
        <v>50.4</v>
      </c>
      <c r="AX16">
        <v>-5.99</v>
      </c>
      <c r="AY16">
        <v>44.41</v>
      </c>
      <c r="AZ16">
        <v>0</v>
      </c>
    </row>
    <row r="17" spans="1:52">
      <c r="A17" t="s">
        <v>65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70</v>
      </c>
      <c r="I17" t="str">
        <f t="shared" si="0"/>
        <v>1010</v>
      </c>
      <c r="J17" t="str">
        <f t="shared" si="1"/>
        <v>05</v>
      </c>
      <c r="K17" t="s">
        <v>68</v>
      </c>
      <c r="L17" t="s">
        <v>72</v>
      </c>
      <c r="M17" t="s">
        <v>68</v>
      </c>
      <c r="N17" t="s">
        <v>116</v>
      </c>
      <c r="O17" t="s">
        <v>117</v>
      </c>
      <c r="P17" t="str">
        <f>"3020619142"</f>
        <v>3020619142</v>
      </c>
      <c r="R17" t="str">
        <f>"00030206191424"</f>
        <v>00030206191424</v>
      </c>
      <c r="S17" s="1">
        <v>41058</v>
      </c>
      <c r="T17" s="1">
        <v>41044</v>
      </c>
      <c r="U17" t="str">
        <f>"3020619142"</f>
        <v>3020619142</v>
      </c>
      <c r="V17" t="str">
        <f t="shared" si="2"/>
        <v>1510</v>
      </c>
      <c r="W17" t="str">
        <f t="shared" si="3"/>
        <v>11</v>
      </c>
      <c r="X17" t="s">
        <v>75</v>
      </c>
      <c r="Y17" t="s">
        <v>76</v>
      </c>
      <c r="Z17" t="s">
        <v>105</v>
      </c>
      <c r="AA17" t="s">
        <v>106</v>
      </c>
      <c r="AB17" t="s">
        <v>79</v>
      </c>
      <c r="AD17" t="s">
        <v>80</v>
      </c>
      <c r="AE17" t="s">
        <v>81</v>
      </c>
      <c r="AF17" t="s">
        <v>82</v>
      </c>
      <c r="AG17" t="s">
        <v>83</v>
      </c>
      <c r="AH17" t="s">
        <v>84</v>
      </c>
      <c r="AI17" t="str">
        <f>"02"</f>
        <v>02</v>
      </c>
      <c r="AJ17" t="str">
        <f>"2"</f>
        <v>2</v>
      </c>
      <c r="AK17" t="s">
        <v>118</v>
      </c>
      <c r="AL17" t="s">
        <v>94</v>
      </c>
      <c r="AM17" t="s">
        <v>95</v>
      </c>
      <c r="AN17" t="str">
        <f t="shared" si="4"/>
        <v>.9700</v>
      </c>
      <c r="AO17" t="str">
        <f>"10.32"</f>
        <v>10.32</v>
      </c>
      <c r="AP17" t="s">
        <v>119</v>
      </c>
      <c r="AQ17" t="str">
        <f>"10.32"</f>
        <v>10.32</v>
      </c>
      <c r="AR17">
        <v>0</v>
      </c>
      <c r="AS17">
        <v>-2</v>
      </c>
      <c r="AT17">
        <v>-2</v>
      </c>
      <c r="AU17">
        <v>0</v>
      </c>
      <c r="AV17">
        <v>0</v>
      </c>
      <c r="AW17">
        <v>0</v>
      </c>
      <c r="AX17">
        <v>-18.66</v>
      </c>
      <c r="AY17">
        <v>-18.66</v>
      </c>
      <c r="AZ17">
        <v>0</v>
      </c>
    </row>
    <row r="18" spans="1:52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70</v>
      </c>
      <c r="I18" t="str">
        <f t="shared" si="0"/>
        <v>1010</v>
      </c>
      <c r="J18" t="str">
        <f t="shared" si="1"/>
        <v>05</v>
      </c>
      <c r="K18" t="s">
        <v>68</v>
      </c>
      <c r="L18" t="s">
        <v>72</v>
      </c>
      <c r="M18" t="s">
        <v>68</v>
      </c>
      <c r="N18" t="s">
        <v>116</v>
      </c>
      <c r="O18" t="s">
        <v>120</v>
      </c>
      <c r="P18" t="str">
        <f>"3020618812"</f>
        <v>3020618812</v>
      </c>
      <c r="R18" t="str">
        <f>"00030206188127"</f>
        <v>00030206188127</v>
      </c>
      <c r="S18" s="1">
        <v>40687</v>
      </c>
      <c r="T18" s="1">
        <v>40680</v>
      </c>
      <c r="U18" t="str">
        <f>"3020618812"</f>
        <v>3020618812</v>
      </c>
      <c r="V18" t="str">
        <f t="shared" si="2"/>
        <v>1510</v>
      </c>
      <c r="W18" t="str">
        <f t="shared" si="3"/>
        <v>11</v>
      </c>
      <c r="X18" t="s">
        <v>75</v>
      </c>
      <c r="Y18" t="s">
        <v>76</v>
      </c>
      <c r="Z18" t="s">
        <v>121</v>
      </c>
      <c r="AA18" t="s">
        <v>122</v>
      </c>
      <c r="AB18" t="s">
        <v>79</v>
      </c>
      <c r="AD18" t="s">
        <v>80</v>
      </c>
      <c r="AE18" t="s">
        <v>81</v>
      </c>
      <c r="AF18" t="s">
        <v>82</v>
      </c>
      <c r="AG18" t="s">
        <v>83</v>
      </c>
      <c r="AH18" t="s">
        <v>84</v>
      </c>
      <c r="AI18" t="str">
        <f>"01"</f>
        <v>01</v>
      </c>
      <c r="AJ18" t="str">
        <f>"1"</f>
        <v>1</v>
      </c>
      <c r="AK18" t="s">
        <v>85</v>
      </c>
      <c r="AL18" t="s">
        <v>86</v>
      </c>
      <c r="AM18" t="s">
        <v>87</v>
      </c>
      <c r="AN18" t="str">
        <f t="shared" si="4"/>
        <v>.9700</v>
      </c>
      <c r="AO18" t="str">
        <f>"7.50"</f>
        <v>7.50</v>
      </c>
      <c r="AP18" t="s">
        <v>88</v>
      </c>
      <c r="AQ18" t="str">
        <f>"7.50"</f>
        <v>7.50</v>
      </c>
      <c r="AR18">
        <v>10</v>
      </c>
      <c r="AS18">
        <v>-10</v>
      </c>
      <c r="AT18">
        <v>0</v>
      </c>
      <c r="AU18">
        <v>75</v>
      </c>
      <c r="AV18">
        <v>6</v>
      </c>
      <c r="AW18">
        <v>69</v>
      </c>
      <c r="AX18">
        <v>-65.03</v>
      </c>
      <c r="AY18">
        <v>3.97</v>
      </c>
      <c r="AZ18">
        <v>0</v>
      </c>
    </row>
    <row r="19" spans="1:52">
      <c r="A19" t="s">
        <v>65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70</v>
      </c>
      <c r="I19" t="str">
        <f t="shared" si="0"/>
        <v>1010</v>
      </c>
      <c r="J19" t="str">
        <f t="shared" si="1"/>
        <v>05</v>
      </c>
      <c r="K19" t="s">
        <v>68</v>
      </c>
      <c r="L19" t="s">
        <v>72</v>
      </c>
      <c r="M19" t="s">
        <v>68</v>
      </c>
      <c r="N19" t="s">
        <v>123</v>
      </c>
      <c r="O19" t="s">
        <v>124</v>
      </c>
      <c r="P19" t="str">
        <f>"3020665932"</f>
        <v>3020665932</v>
      </c>
      <c r="R19" t="str">
        <f>"00030206659320"</f>
        <v>00030206659320</v>
      </c>
      <c r="S19" s="1">
        <v>38251</v>
      </c>
      <c r="T19" s="1">
        <v>38251</v>
      </c>
      <c r="U19" t="str">
        <f>"3020665932"</f>
        <v>3020665932</v>
      </c>
      <c r="V19" t="str">
        <f t="shared" si="2"/>
        <v>1510</v>
      </c>
      <c r="W19" t="str">
        <f t="shared" si="3"/>
        <v>11</v>
      </c>
      <c r="X19" t="s">
        <v>75</v>
      </c>
      <c r="Y19" t="s">
        <v>76</v>
      </c>
      <c r="Z19" t="s">
        <v>110</v>
      </c>
      <c r="AA19" t="s">
        <v>111</v>
      </c>
      <c r="AB19" t="s">
        <v>79</v>
      </c>
      <c r="AD19" t="s">
        <v>80</v>
      </c>
      <c r="AE19" t="s">
        <v>81</v>
      </c>
      <c r="AF19" t="s">
        <v>82</v>
      </c>
      <c r="AG19" t="s">
        <v>83</v>
      </c>
      <c r="AH19" t="s">
        <v>84</v>
      </c>
      <c r="AI19" t="str">
        <f>"01"</f>
        <v>01</v>
      </c>
      <c r="AJ19" t="str">
        <f>"1"</f>
        <v>1</v>
      </c>
      <c r="AK19" t="s">
        <v>101</v>
      </c>
      <c r="AL19" t="s">
        <v>94</v>
      </c>
      <c r="AM19" t="s">
        <v>95</v>
      </c>
      <c r="AN19" t="str">
        <f t="shared" si="4"/>
        <v>.9700</v>
      </c>
      <c r="AO19" t="str">
        <f>"9.07"</f>
        <v>9.07</v>
      </c>
      <c r="AP19" t="s">
        <v>102</v>
      </c>
      <c r="AQ19" t="str">
        <f>"9.07"</f>
        <v>9.07</v>
      </c>
      <c r="AR19">
        <v>2</v>
      </c>
      <c r="AS19">
        <v>0</v>
      </c>
      <c r="AT19">
        <v>2</v>
      </c>
      <c r="AU19">
        <v>18.14</v>
      </c>
      <c r="AV19">
        <v>0</v>
      </c>
      <c r="AW19">
        <v>18.14</v>
      </c>
      <c r="AX19">
        <v>0</v>
      </c>
      <c r="AY19">
        <v>18.14</v>
      </c>
      <c r="AZ19">
        <v>0</v>
      </c>
    </row>
    <row r="20" spans="1:52">
      <c r="A20" t="s">
        <v>65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70</v>
      </c>
      <c r="I20" t="str">
        <f t="shared" si="0"/>
        <v>1010</v>
      </c>
      <c r="J20" t="str">
        <f t="shared" si="1"/>
        <v>05</v>
      </c>
      <c r="K20" t="s">
        <v>68</v>
      </c>
      <c r="L20" t="s">
        <v>72</v>
      </c>
      <c r="M20" t="s">
        <v>68</v>
      </c>
      <c r="N20" t="s">
        <v>123</v>
      </c>
      <c r="O20" t="s">
        <v>125</v>
      </c>
      <c r="P20" t="str">
        <f>"3020661902"</f>
        <v>3020661902</v>
      </c>
      <c r="R20" t="str">
        <f>"00030206619027"</f>
        <v>00030206619027</v>
      </c>
      <c r="S20" s="1">
        <v>36830</v>
      </c>
      <c r="T20" s="1">
        <v>36823</v>
      </c>
      <c r="U20" t="str">
        <f>"3020661902"</f>
        <v>3020661902</v>
      </c>
      <c r="V20" t="str">
        <f>"1010"</f>
        <v>1010</v>
      </c>
      <c r="W20" t="str">
        <f t="shared" si="3"/>
        <v>11</v>
      </c>
      <c r="X20" t="s">
        <v>75</v>
      </c>
      <c r="Y20" t="s">
        <v>76</v>
      </c>
      <c r="Z20" t="s">
        <v>126</v>
      </c>
      <c r="AA20" t="s">
        <v>127</v>
      </c>
      <c r="AB20" t="s">
        <v>79</v>
      </c>
      <c r="AD20" t="s">
        <v>80</v>
      </c>
      <c r="AE20" t="s">
        <v>81</v>
      </c>
      <c r="AF20" t="s">
        <v>82</v>
      </c>
      <c r="AG20" t="s">
        <v>83</v>
      </c>
      <c r="AH20" t="s">
        <v>84</v>
      </c>
      <c r="AI20" t="str">
        <f>"01"</f>
        <v>01</v>
      </c>
      <c r="AJ20" t="str">
        <f>"3"</f>
        <v>3</v>
      </c>
      <c r="AK20" t="s">
        <v>128</v>
      </c>
      <c r="AL20" t="s">
        <v>94</v>
      </c>
      <c r="AM20" t="s">
        <v>95</v>
      </c>
      <c r="AN20" t="str">
        <f t="shared" si="4"/>
        <v>.9700</v>
      </c>
      <c r="AO20" t="str">
        <f>"21.21"</f>
        <v>21.21</v>
      </c>
      <c r="AP20" t="s">
        <v>129</v>
      </c>
      <c r="AQ20" t="str">
        <f>"21.21"</f>
        <v>21.21</v>
      </c>
      <c r="AR20">
        <v>1</v>
      </c>
      <c r="AS20">
        <v>0</v>
      </c>
      <c r="AT20">
        <v>1</v>
      </c>
      <c r="AU20">
        <v>21.21</v>
      </c>
      <c r="AV20">
        <v>0</v>
      </c>
      <c r="AW20">
        <v>21.21</v>
      </c>
      <c r="AX20">
        <v>0</v>
      </c>
      <c r="AY20">
        <v>21.21</v>
      </c>
      <c r="AZ20">
        <v>0</v>
      </c>
    </row>
    <row r="21" spans="1:52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71</v>
      </c>
      <c r="H21" t="s">
        <v>70</v>
      </c>
      <c r="I21" t="str">
        <f t="shared" si="0"/>
        <v>1010</v>
      </c>
      <c r="J21" t="str">
        <f t="shared" si="1"/>
        <v>05</v>
      </c>
      <c r="K21" t="s">
        <v>68</v>
      </c>
      <c r="L21" t="s">
        <v>72</v>
      </c>
      <c r="M21" t="s">
        <v>68</v>
      </c>
      <c r="N21" t="s">
        <v>123</v>
      </c>
      <c r="O21" t="s">
        <v>130</v>
      </c>
      <c r="P21" t="str">
        <f>"3020667582"</f>
        <v>3020667582</v>
      </c>
      <c r="R21" t="str">
        <f>"00030206675825"</f>
        <v>00030206675825</v>
      </c>
      <c r="S21" s="1">
        <v>38986</v>
      </c>
      <c r="T21" s="1">
        <v>38986</v>
      </c>
      <c r="U21" t="str">
        <f>"3020667582"</f>
        <v>3020667582</v>
      </c>
      <c r="V21" t="str">
        <f>"1510"</f>
        <v>1510</v>
      </c>
      <c r="W21" t="str">
        <f t="shared" si="3"/>
        <v>11</v>
      </c>
      <c r="X21" t="s">
        <v>75</v>
      </c>
      <c r="Y21" t="s">
        <v>76</v>
      </c>
      <c r="Z21" t="s">
        <v>110</v>
      </c>
      <c r="AA21" t="s">
        <v>111</v>
      </c>
      <c r="AB21" t="s">
        <v>79</v>
      </c>
      <c r="AD21" t="s">
        <v>80</v>
      </c>
      <c r="AE21" t="s">
        <v>81</v>
      </c>
      <c r="AF21" t="s">
        <v>82</v>
      </c>
      <c r="AG21" t="s">
        <v>83</v>
      </c>
      <c r="AH21" t="s">
        <v>84</v>
      </c>
      <c r="AI21" t="str">
        <f>"01"</f>
        <v>01</v>
      </c>
      <c r="AJ21" t="str">
        <f>"1"</f>
        <v>1</v>
      </c>
      <c r="AK21" t="s">
        <v>114</v>
      </c>
      <c r="AL21" t="s">
        <v>86</v>
      </c>
      <c r="AM21" t="s">
        <v>87</v>
      </c>
      <c r="AN21" t="str">
        <f t="shared" si="4"/>
        <v>.9700</v>
      </c>
      <c r="AO21" t="str">
        <f>"7.00"</f>
        <v>7.00</v>
      </c>
      <c r="AP21" t="s">
        <v>115</v>
      </c>
      <c r="AQ21" t="str">
        <f>"7.00"</f>
        <v>7.00</v>
      </c>
      <c r="AR21">
        <v>4</v>
      </c>
      <c r="AS21">
        <v>-1</v>
      </c>
      <c r="AT21">
        <v>3</v>
      </c>
      <c r="AU21">
        <v>28</v>
      </c>
      <c r="AV21">
        <v>0</v>
      </c>
      <c r="AW21">
        <v>28</v>
      </c>
      <c r="AX21">
        <v>-5.82</v>
      </c>
      <c r="AY21">
        <v>22.18</v>
      </c>
      <c r="AZ21">
        <v>0</v>
      </c>
    </row>
    <row r="22" spans="1:52">
      <c r="A22" t="s">
        <v>65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t="s">
        <v>71</v>
      </c>
      <c r="H22" t="s">
        <v>70</v>
      </c>
      <c r="I22" t="str">
        <f t="shared" si="0"/>
        <v>1010</v>
      </c>
      <c r="J22" t="str">
        <f t="shared" si="1"/>
        <v>05</v>
      </c>
      <c r="K22" t="s">
        <v>68</v>
      </c>
      <c r="L22" t="s">
        <v>72</v>
      </c>
      <c r="M22" t="s">
        <v>68</v>
      </c>
      <c r="N22" t="s">
        <v>131</v>
      </c>
      <c r="O22" t="s">
        <v>132</v>
      </c>
      <c r="P22" t="str">
        <f>"3020617772"</f>
        <v>3020617772</v>
      </c>
      <c r="R22" t="str">
        <f>"00030206177725"</f>
        <v>00030206177725</v>
      </c>
      <c r="S22" s="1">
        <v>40001</v>
      </c>
      <c r="T22" s="1">
        <v>40001</v>
      </c>
      <c r="U22" t="str">
        <f>"3020617772"</f>
        <v>3020617772</v>
      </c>
      <c r="V22" t="str">
        <f>"1510"</f>
        <v>1510</v>
      </c>
      <c r="W22" t="str">
        <f t="shared" si="3"/>
        <v>11</v>
      </c>
      <c r="X22" t="s">
        <v>75</v>
      </c>
      <c r="Y22" t="s">
        <v>76</v>
      </c>
      <c r="Z22" t="s">
        <v>91</v>
      </c>
      <c r="AA22" t="s">
        <v>92</v>
      </c>
      <c r="AB22" t="s">
        <v>79</v>
      </c>
      <c r="AD22" t="s">
        <v>80</v>
      </c>
      <c r="AE22" t="s">
        <v>81</v>
      </c>
      <c r="AF22" t="s">
        <v>82</v>
      </c>
      <c r="AG22" t="s">
        <v>133</v>
      </c>
      <c r="AH22" t="s">
        <v>134</v>
      </c>
      <c r="AI22" t="str">
        <f>"02"</f>
        <v>02</v>
      </c>
      <c r="AJ22" t="str">
        <f>"2"</f>
        <v>2</v>
      </c>
      <c r="AK22" t="s">
        <v>135</v>
      </c>
      <c r="AL22" t="s">
        <v>94</v>
      </c>
      <c r="AM22" t="s">
        <v>95</v>
      </c>
      <c r="AN22" t="str">
        <f t="shared" si="4"/>
        <v>.9700</v>
      </c>
      <c r="AO22" t="str">
        <f>"12.02"</f>
        <v>12.02</v>
      </c>
      <c r="AP22" t="s">
        <v>136</v>
      </c>
      <c r="AQ22" t="str">
        <f>"12.02"</f>
        <v>12.02</v>
      </c>
      <c r="AR22">
        <v>47</v>
      </c>
      <c r="AS22">
        <v>-1</v>
      </c>
      <c r="AT22">
        <v>46</v>
      </c>
      <c r="AU22">
        <v>565.04</v>
      </c>
      <c r="AV22">
        <v>57.46</v>
      </c>
      <c r="AW22">
        <v>507.58</v>
      </c>
      <c r="AX22">
        <v>-10.01</v>
      </c>
      <c r="AY22">
        <v>497.57</v>
      </c>
      <c r="AZ22">
        <v>0</v>
      </c>
    </row>
    <row r="23" spans="1:52">
      <c r="A23" t="s">
        <v>65</v>
      </c>
      <c r="B23" t="s">
        <v>66</v>
      </c>
      <c r="C23" t="s">
        <v>67</v>
      </c>
      <c r="D23" t="s">
        <v>68</v>
      </c>
      <c r="E23" t="s">
        <v>69</v>
      </c>
      <c r="F23" t="s">
        <v>70</v>
      </c>
      <c r="G23" t="s">
        <v>71</v>
      </c>
      <c r="H23" t="s">
        <v>70</v>
      </c>
      <c r="I23" t="str">
        <f t="shared" si="0"/>
        <v>1010</v>
      </c>
      <c r="J23" t="str">
        <f t="shared" si="1"/>
        <v>05</v>
      </c>
      <c r="K23" t="s">
        <v>68</v>
      </c>
      <c r="L23" t="s">
        <v>72</v>
      </c>
      <c r="M23" t="s">
        <v>68</v>
      </c>
      <c r="N23" t="s">
        <v>137</v>
      </c>
      <c r="O23" t="s">
        <v>138</v>
      </c>
      <c r="P23" t="str">
        <f>"3020624261"</f>
        <v>3020624261</v>
      </c>
      <c r="R23" t="str">
        <f>"00030206242614"</f>
        <v>00030206242614</v>
      </c>
      <c r="S23" s="1">
        <v>41828</v>
      </c>
      <c r="T23" s="1">
        <v>41828</v>
      </c>
      <c r="U23" t="str">
        <f>"3020624261"</f>
        <v>3020624261</v>
      </c>
      <c r="V23" t="str">
        <f>"1010"</f>
        <v>1010</v>
      </c>
      <c r="W23" t="str">
        <f t="shared" si="3"/>
        <v>11</v>
      </c>
      <c r="X23" t="s">
        <v>80</v>
      </c>
      <c r="Y23" t="s">
        <v>139</v>
      </c>
      <c r="Z23" t="s">
        <v>105</v>
      </c>
      <c r="AA23" t="s">
        <v>106</v>
      </c>
      <c r="AB23" t="s">
        <v>79</v>
      </c>
      <c r="AD23" t="s">
        <v>80</v>
      </c>
      <c r="AE23" t="s">
        <v>81</v>
      </c>
      <c r="AF23" t="s">
        <v>82</v>
      </c>
      <c r="AG23" t="s">
        <v>140</v>
      </c>
      <c r="AH23" t="s">
        <v>141</v>
      </c>
      <c r="AJ23" t="str">
        <f t="shared" ref="AJ23:AJ33" si="5">"1"</f>
        <v>1</v>
      </c>
      <c r="AK23" t="s">
        <v>142</v>
      </c>
      <c r="AL23" t="s">
        <v>143</v>
      </c>
      <c r="AM23" t="s">
        <v>95</v>
      </c>
      <c r="AO23" t="str">
        <f>"11.59"</f>
        <v>11.59</v>
      </c>
      <c r="AP23" t="s">
        <v>144</v>
      </c>
      <c r="AQ23" t="str">
        <f>"11.59"</f>
        <v>11.59</v>
      </c>
      <c r="AR23">
        <v>29</v>
      </c>
      <c r="AS23">
        <v>0</v>
      </c>
      <c r="AT23">
        <v>29</v>
      </c>
      <c r="AU23">
        <v>336.16</v>
      </c>
      <c r="AV23">
        <v>6.72</v>
      </c>
      <c r="AW23">
        <v>329.44</v>
      </c>
      <c r="AX23">
        <v>0</v>
      </c>
      <c r="AY23">
        <v>329.44</v>
      </c>
      <c r="AZ23">
        <v>0</v>
      </c>
    </row>
    <row r="24" spans="1:52">
      <c r="A24" t="s">
        <v>65</v>
      </c>
      <c r="B24" t="s">
        <v>66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70</v>
      </c>
      <c r="I24" t="str">
        <f t="shared" si="0"/>
        <v>1010</v>
      </c>
      <c r="J24" t="str">
        <f t="shared" si="1"/>
        <v>05</v>
      </c>
      <c r="K24" t="s">
        <v>68</v>
      </c>
      <c r="L24" t="s">
        <v>72</v>
      </c>
      <c r="M24" t="s">
        <v>68</v>
      </c>
      <c r="N24" t="s">
        <v>137</v>
      </c>
      <c r="O24" t="s">
        <v>145</v>
      </c>
      <c r="P24" t="str">
        <f>"3020624262"</f>
        <v>3020624262</v>
      </c>
      <c r="R24" t="str">
        <f>"00030206242621"</f>
        <v>00030206242621</v>
      </c>
      <c r="S24" s="1">
        <v>41800</v>
      </c>
      <c r="T24" s="1">
        <v>41800</v>
      </c>
      <c r="U24" t="str">
        <f>"3020624262"</f>
        <v>3020624262</v>
      </c>
      <c r="V24" t="str">
        <f>"1010"</f>
        <v>1010</v>
      </c>
      <c r="W24" t="str">
        <f t="shared" si="3"/>
        <v>11</v>
      </c>
      <c r="X24" t="s">
        <v>75</v>
      </c>
      <c r="Y24" t="s">
        <v>139</v>
      </c>
      <c r="Z24" t="s">
        <v>105</v>
      </c>
      <c r="AA24" t="s">
        <v>106</v>
      </c>
      <c r="AB24" t="s">
        <v>79</v>
      </c>
      <c r="AD24" t="s">
        <v>80</v>
      </c>
      <c r="AE24" t="s">
        <v>81</v>
      </c>
      <c r="AF24" t="s">
        <v>82</v>
      </c>
      <c r="AG24" t="s">
        <v>83</v>
      </c>
      <c r="AH24" t="s">
        <v>84</v>
      </c>
      <c r="AJ24" t="str">
        <f t="shared" si="5"/>
        <v>1</v>
      </c>
      <c r="AK24" t="s">
        <v>85</v>
      </c>
      <c r="AL24" t="s">
        <v>86</v>
      </c>
      <c r="AM24" t="s">
        <v>87</v>
      </c>
      <c r="AN24" t="str">
        <f t="shared" ref="AN24:AN43" si="6">".9700"</f>
        <v>.9700</v>
      </c>
      <c r="AO24" t="str">
        <f>"7.50"</f>
        <v>7.50</v>
      </c>
      <c r="AP24" t="s">
        <v>88</v>
      </c>
      <c r="AQ24" t="str">
        <f>"7.50"</f>
        <v>7.50</v>
      </c>
      <c r="AR24">
        <v>123</v>
      </c>
      <c r="AS24">
        <v>0</v>
      </c>
      <c r="AT24">
        <v>123</v>
      </c>
      <c r="AU24">
        <v>923.38</v>
      </c>
      <c r="AV24">
        <v>43.43</v>
      </c>
      <c r="AW24">
        <v>879.95</v>
      </c>
      <c r="AX24">
        <v>0</v>
      </c>
      <c r="AY24">
        <v>879.95</v>
      </c>
      <c r="AZ24">
        <v>0</v>
      </c>
    </row>
    <row r="25" spans="1:52">
      <c r="A25" t="s">
        <v>65</v>
      </c>
      <c r="B25" t="s">
        <v>66</v>
      </c>
      <c r="C25" t="s">
        <v>67</v>
      </c>
      <c r="D25" t="s">
        <v>68</v>
      </c>
      <c r="E25" t="s">
        <v>69</v>
      </c>
      <c r="F25" t="s">
        <v>70</v>
      </c>
      <c r="G25" t="s">
        <v>71</v>
      </c>
      <c r="H25" t="s">
        <v>70</v>
      </c>
      <c r="I25" t="str">
        <f t="shared" si="0"/>
        <v>1010</v>
      </c>
      <c r="J25" t="str">
        <f t="shared" si="1"/>
        <v>05</v>
      </c>
      <c r="K25" t="s">
        <v>68</v>
      </c>
      <c r="L25" t="s">
        <v>72</v>
      </c>
      <c r="M25" t="s">
        <v>68</v>
      </c>
      <c r="N25" t="s">
        <v>146</v>
      </c>
      <c r="O25" t="s">
        <v>147</v>
      </c>
      <c r="P25" t="str">
        <f>"3020616812"</f>
        <v>3020616812</v>
      </c>
      <c r="R25" t="str">
        <f>"00030206168129"</f>
        <v>00030206168129</v>
      </c>
      <c r="S25" s="1">
        <v>39238</v>
      </c>
      <c r="T25" s="1">
        <v>39238</v>
      </c>
      <c r="U25" t="str">
        <f>"3020616812"</f>
        <v>3020616812</v>
      </c>
      <c r="V25" t="str">
        <f>"1510"</f>
        <v>1510</v>
      </c>
      <c r="W25" t="str">
        <f t="shared" si="3"/>
        <v>11</v>
      </c>
      <c r="X25" t="s">
        <v>75</v>
      </c>
      <c r="Y25" t="s">
        <v>76</v>
      </c>
      <c r="Z25" t="s">
        <v>77</v>
      </c>
      <c r="AA25" t="s">
        <v>78</v>
      </c>
      <c r="AB25" t="s">
        <v>79</v>
      </c>
      <c r="AD25" t="s">
        <v>80</v>
      </c>
      <c r="AE25" t="s">
        <v>81</v>
      </c>
      <c r="AF25" t="s">
        <v>82</v>
      </c>
      <c r="AG25" t="s">
        <v>83</v>
      </c>
      <c r="AH25" t="s">
        <v>84</v>
      </c>
      <c r="AI25" t="str">
        <f>"01"</f>
        <v>01</v>
      </c>
      <c r="AJ25" t="str">
        <f t="shared" si="5"/>
        <v>1</v>
      </c>
      <c r="AK25" t="s">
        <v>114</v>
      </c>
      <c r="AL25" t="s">
        <v>94</v>
      </c>
      <c r="AM25" t="s">
        <v>87</v>
      </c>
      <c r="AN25" t="str">
        <f t="shared" si="6"/>
        <v>.9700</v>
      </c>
      <c r="AO25" t="str">
        <f>"7.00"</f>
        <v>7.00</v>
      </c>
      <c r="AP25" t="s">
        <v>115</v>
      </c>
      <c r="AQ25" t="str">
        <f>"7.00"</f>
        <v>7.00</v>
      </c>
      <c r="AR25">
        <v>19</v>
      </c>
      <c r="AS25">
        <v>-1</v>
      </c>
      <c r="AT25">
        <v>18</v>
      </c>
      <c r="AU25">
        <v>132.5</v>
      </c>
      <c r="AV25">
        <v>13.44</v>
      </c>
      <c r="AW25">
        <v>119.06</v>
      </c>
      <c r="AX25">
        <v>-6.31</v>
      </c>
      <c r="AY25">
        <v>112.75</v>
      </c>
      <c r="AZ25">
        <v>0</v>
      </c>
    </row>
    <row r="26" spans="1:52">
      <c r="A26" t="s">
        <v>65</v>
      </c>
      <c r="B26" t="s">
        <v>66</v>
      </c>
      <c r="C26" t="s">
        <v>67</v>
      </c>
      <c r="D26" t="s">
        <v>68</v>
      </c>
      <c r="E26" t="s">
        <v>69</v>
      </c>
      <c r="F26" t="s">
        <v>70</v>
      </c>
      <c r="G26" t="s">
        <v>71</v>
      </c>
      <c r="H26" t="s">
        <v>70</v>
      </c>
      <c r="I26" t="str">
        <f t="shared" si="0"/>
        <v>1010</v>
      </c>
      <c r="J26" t="str">
        <f t="shared" si="1"/>
        <v>05</v>
      </c>
      <c r="K26" t="s">
        <v>68</v>
      </c>
      <c r="L26" t="s">
        <v>72</v>
      </c>
      <c r="M26" t="s">
        <v>68</v>
      </c>
      <c r="N26" t="s">
        <v>148</v>
      </c>
      <c r="O26" t="s">
        <v>149</v>
      </c>
      <c r="P26" t="str">
        <f>"3020618152"</f>
        <v>3020618152</v>
      </c>
      <c r="R26" t="str">
        <f>"00030206181524"</f>
        <v>00030206181524</v>
      </c>
      <c r="S26" s="1">
        <v>40246</v>
      </c>
      <c r="T26" s="1">
        <v>40246</v>
      </c>
      <c r="U26" t="str">
        <f>"3020618152"</f>
        <v>3020618152</v>
      </c>
      <c r="V26" t="str">
        <f>"1510"</f>
        <v>1510</v>
      </c>
      <c r="W26" t="str">
        <f t="shared" si="3"/>
        <v>11</v>
      </c>
      <c r="X26" t="s">
        <v>75</v>
      </c>
      <c r="Y26" t="s">
        <v>76</v>
      </c>
      <c r="Z26" t="s">
        <v>77</v>
      </c>
      <c r="AA26" t="s">
        <v>78</v>
      </c>
      <c r="AB26" t="s">
        <v>79</v>
      </c>
      <c r="AD26" t="s">
        <v>80</v>
      </c>
      <c r="AE26" t="s">
        <v>81</v>
      </c>
      <c r="AF26" t="s">
        <v>82</v>
      </c>
      <c r="AG26" t="s">
        <v>83</v>
      </c>
      <c r="AH26" t="s">
        <v>84</v>
      </c>
      <c r="AI26" t="str">
        <f>"01"</f>
        <v>01</v>
      </c>
      <c r="AJ26" t="str">
        <f t="shared" si="5"/>
        <v>1</v>
      </c>
      <c r="AK26" t="s">
        <v>98</v>
      </c>
      <c r="AL26" t="s">
        <v>86</v>
      </c>
      <c r="AM26" t="s">
        <v>95</v>
      </c>
      <c r="AN26" t="str">
        <f t="shared" si="6"/>
        <v>.9700</v>
      </c>
      <c r="AO26" t="str">
        <f>"8.00"</f>
        <v>8.00</v>
      </c>
      <c r="AP26" t="s">
        <v>99</v>
      </c>
      <c r="AQ26" t="str">
        <f>"8.00"</f>
        <v>8.00</v>
      </c>
      <c r="AR26">
        <v>2</v>
      </c>
      <c r="AS26">
        <v>-1</v>
      </c>
      <c r="AT26">
        <v>1</v>
      </c>
      <c r="AU26">
        <v>16</v>
      </c>
      <c r="AV26">
        <v>1.6</v>
      </c>
      <c r="AW26">
        <v>14.4</v>
      </c>
      <c r="AX26">
        <v>-7.65</v>
      </c>
      <c r="AY26">
        <v>6.75</v>
      </c>
      <c r="AZ26">
        <v>0</v>
      </c>
    </row>
    <row r="27" spans="1:52">
      <c r="A27" t="s">
        <v>65</v>
      </c>
      <c r="B27" t="s">
        <v>66</v>
      </c>
      <c r="C27" t="s">
        <v>67</v>
      </c>
      <c r="D27" t="s">
        <v>68</v>
      </c>
      <c r="E27" t="s">
        <v>69</v>
      </c>
      <c r="F27" t="s">
        <v>70</v>
      </c>
      <c r="G27" t="s">
        <v>71</v>
      </c>
      <c r="H27" t="s">
        <v>70</v>
      </c>
      <c r="I27" t="str">
        <f t="shared" si="0"/>
        <v>1010</v>
      </c>
      <c r="J27" t="str">
        <f t="shared" si="1"/>
        <v>05</v>
      </c>
      <c r="K27" t="s">
        <v>68</v>
      </c>
      <c r="L27" t="s">
        <v>72</v>
      </c>
      <c r="M27" t="s">
        <v>68</v>
      </c>
      <c r="N27" t="s">
        <v>150</v>
      </c>
      <c r="O27" t="s">
        <v>151</v>
      </c>
      <c r="P27" t="str">
        <f>"3020610682"</f>
        <v>3020610682</v>
      </c>
      <c r="R27" t="str">
        <f>"00030206106824"</f>
        <v>00030206106824</v>
      </c>
      <c r="S27" s="1">
        <v>36802</v>
      </c>
      <c r="T27" s="1">
        <v>36725</v>
      </c>
      <c r="U27" t="str">
        <f>"3020610682"</f>
        <v>3020610682</v>
      </c>
      <c r="V27" t="str">
        <f>"1510"</f>
        <v>1510</v>
      </c>
      <c r="W27" t="str">
        <f t="shared" si="3"/>
        <v>11</v>
      </c>
      <c r="X27" t="s">
        <v>75</v>
      </c>
      <c r="Y27" t="s">
        <v>76</v>
      </c>
      <c r="Z27" t="s">
        <v>110</v>
      </c>
      <c r="AA27" t="s">
        <v>111</v>
      </c>
      <c r="AB27" t="s">
        <v>79</v>
      </c>
      <c r="AD27" t="s">
        <v>80</v>
      </c>
      <c r="AE27" t="s">
        <v>81</v>
      </c>
      <c r="AF27" t="s">
        <v>82</v>
      </c>
      <c r="AG27" t="s">
        <v>83</v>
      </c>
      <c r="AH27" t="s">
        <v>84</v>
      </c>
      <c r="AI27" t="str">
        <f>"01"</f>
        <v>01</v>
      </c>
      <c r="AJ27" t="str">
        <f t="shared" si="5"/>
        <v>1</v>
      </c>
      <c r="AK27" t="s">
        <v>98</v>
      </c>
      <c r="AL27" t="s">
        <v>94</v>
      </c>
      <c r="AM27" t="s">
        <v>95</v>
      </c>
      <c r="AN27" t="str">
        <f t="shared" si="6"/>
        <v>.9700</v>
      </c>
      <c r="AO27" t="str">
        <f>"8.00"</f>
        <v>8.00</v>
      </c>
      <c r="AP27" t="s">
        <v>99</v>
      </c>
      <c r="AQ27" t="str">
        <f>"8.00"</f>
        <v>8.00</v>
      </c>
      <c r="AR27">
        <v>0</v>
      </c>
      <c r="AS27">
        <v>-2</v>
      </c>
      <c r="AT27">
        <v>-2</v>
      </c>
      <c r="AU27">
        <v>0</v>
      </c>
      <c r="AV27">
        <v>0</v>
      </c>
      <c r="AW27">
        <v>0</v>
      </c>
      <c r="AX27">
        <v>-14.06</v>
      </c>
      <c r="AY27">
        <v>-14.06</v>
      </c>
      <c r="AZ27">
        <v>0</v>
      </c>
    </row>
    <row r="28" spans="1:52">
      <c r="A28" t="s">
        <v>65</v>
      </c>
      <c r="B28" t="s">
        <v>66</v>
      </c>
      <c r="C28" t="s">
        <v>67</v>
      </c>
      <c r="D28" t="s">
        <v>68</v>
      </c>
      <c r="E28" t="s">
        <v>69</v>
      </c>
      <c r="F28" t="s">
        <v>70</v>
      </c>
      <c r="G28" t="s">
        <v>71</v>
      </c>
      <c r="H28" t="s">
        <v>70</v>
      </c>
      <c r="I28" t="str">
        <f t="shared" si="0"/>
        <v>1010</v>
      </c>
      <c r="J28" t="str">
        <f t="shared" si="1"/>
        <v>05</v>
      </c>
      <c r="K28" t="s">
        <v>68</v>
      </c>
      <c r="L28" t="s">
        <v>72</v>
      </c>
      <c r="M28" t="s">
        <v>68</v>
      </c>
      <c r="N28" t="s">
        <v>152</v>
      </c>
      <c r="O28" t="s">
        <v>153</v>
      </c>
      <c r="P28" t="str">
        <f>"3020664512"</f>
        <v>3020664512</v>
      </c>
      <c r="R28" t="str">
        <f>"00030206645125"</f>
        <v>00030206645125</v>
      </c>
      <c r="S28" s="1">
        <v>37733</v>
      </c>
      <c r="T28" s="1">
        <v>37733</v>
      </c>
      <c r="U28" t="str">
        <f>"3020664512"</f>
        <v>3020664512</v>
      </c>
      <c r="V28" t="str">
        <f>"1510"</f>
        <v>1510</v>
      </c>
      <c r="W28" t="str">
        <f t="shared" si="3"/>
        <v>11</v>
      </c>
      <c r="X28" t="s">
        <v>75</v>
      </c>
      <c r="Y28" t="s">
        <v>76</v>
      </c>
      <c r="Z28" t="s">
        <v>126</v>
      </c>
      <c r="AA28" t="s">
        <v>127</v>
      </c>
      <c r="AB28" t="s">
        <v>79</v>
      </c>
      <c r="AD28" t="s">
        <v>80</v>
      </c>
      <c r="AE28" t="s">
        <v>81</v>
      </c>
      <c r="AF28" t="s">
        <v>82</v>
      </c>
      <c r="AG28" t="s">
        <v>83</v>
      </c>
      <c r="AH28" t="s">
        <v>84</v>
      </c>
      <c r="AI28" t="str">
        <f>"01"</f>
        <v>01</v>
      </c>
      <c r="AJ28" t="str">
        <f t="shared" si="5"/>
        <v>1</v>
      </c>
      <c r="AK28" t="s">
        <v>154</v>
      </c>
      <c r="AL28" t="s">
        <v>155</v>
      </c>
      <c r="AM28" t="s">
        <v>87</v>
      </c>
      <c r="AN28" t="str">
        <f t="shared" si="6"/>
        <v>.9700</v>
      </c>
      <c r="AO28" t="str">
        <f>"7.25"</f>
        <v>7.25</v>
      </c>
      <c r="AP28" t="s">
        <v>156</v>
      </c>
      <c r="AQ28" t="str">
        <f>"7.25"</f>
        <v>7.25</v>
      </c>
      <c r="AR28">
        <v>143</v>
      </c>
      <c r="AS28">
        <v>0</v>
      </c>
      <c r="AT28">
        <v>143</v>
      </c>
      <c r="AU28">
        <v>1036.76</v>
      </c>
      <c r="AV28">
        <v>112.96</v>
      </c>
      <c r="AW28">
        <v>923.8</v>
      </c>
      <c r="AX28">
        <v>0</v>
      </c>
      <c r="AY28">
        <v>923.8</v>
      </c>
      <c r="AZ28">
        <v>0</v>
      </c>
    </row>
    <row r="29" spans="1:52">
      <c r="A29" t="s">
        <v>65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71</v>
      </c>
      <c r="H29" t="s">
        <v>70</v>
      </c>
      <c r="I29" t="str">
        <f t="shared" si="0"/>
        <v>1010</v>
      </c>
      <c r="J29" t="str">
        <f t="shared" si="1"/>
        <v>05</v>
      </c>
      <c r="K29" t="s">
        <v>68</v>
      </c>
      <c r="L29" t="s">
        <v>72</v>
      </c>
      <c r="M29" t="s">
        <v>68</v>
      </c>
      <c r="N29" t="s">
        <v>157</v>
      </c>
      <c r="O29" t="s">
        <v>158</v>
      </c>
      <c r="P29" t="str">
        <f>"3020617262"</f>
        <v>3020617262</v>
      </c>
      <c r="R29" t="str">
        <f>"00030206172621"</f>
        <v>00030206172621</v>
      </c>
      <c r="S29" s="1">
        <v>39490</v>
      </c>
      <c r="T29" s="1">
        <v>39490</v>
      </c>
      <c r="U29" t="str">
        <f>"3020617262"</f>
        <v>3020617262</v>
      </c>
      <c r="V29" t="str">
        <f>"1510"</f>
        <v>1510</v>
      </c>
      <c r="W29" t="str">
        <f t="shared" si="3"/>
        <v>11</v>
      </c>
      <c r="X29" t="s">
        <v>75</v>
      </c>
      <c r="Y29" t="s">
        <v>76</v>
      </c>
      <c r="Z29" t="s">
        <v>91</v>
      </c>
      <c r="AA29" t="s">
        <v>92</v>
      </c>
      <c r="AB29" t="s">
        <v>79</v>
      </c>
      <c r="AD29" t="s">
        <v>80</v>
      </c>
      <c r="AE29" t="s">
        <v>81</v>
      </c>
      <c r="AF29" t="s">
        <v>82</v>
      </c>
      <c r="AG29" t="s">
        <v>83</v>
      </c>
      <c r="AH29" t="s">
        <v>84</v>
      </c>
      <c r="AI29" t="str">
        <f>"01"</f>
        <v>01</v>
      </c>
      <c r="AJ29" t="str">
        <f t="shared" si="5"/>
        <v>1</v>
      </c>
      <c r="AK29" t="s">
        <v>85</v>
      </c>
      <c r="AL29" t="s">
        <v>86</v>
      </c>
      <c r="AM29" t="s">
        <v>87</v>
      </c>
      <c r="AN29" t="str">
        <f t="shared" si="6"/>
        <v>.9700</v>
      </c>
      <c r="AO29" t="str">
        <f>"7.50"</f>
        <v>7.50</v>
      </c>
      <c r="AP29" t="s">
        <v>88</v>
      </c>
      <c r="AQ29" t="str">
        <f>"7.50"</f>
        <v>7.50</v>
      </c>
      <c r="AR29">
        <v>72</v>
      </c>
      <c r="AS29">
        <v>-6</v>
      </c>
      <c r="AT29">
        <v>66</v>
      </c>
      <c r="AU29">
        <v>540</v>
      </c>
      <c r="AV29">
        <v>51.15</v>
      </c>
      <c r="AW29">
        <v>488.85</v>
      </c>
      <c r="AX29">
        <v>-39.07</v>
      </c>
      <c r="AY29">
        <v>449.78</v>
      </c>
      <c r="AZ29">
        <v>0</v>
      </c>
    </row>
    <row r="30" spans="1:52">
      <c r="A30" t="s">
        <v>65</v>
      </c>
      <c r="B30" t="s">
        <v>66</v>
      </c>
      <c r="C30" t="s">
        <v>67</v>
      </c>
      <c r="D30" t="s">
        <v>68</v>
      </c>
      <c r="E30" t="s">
        <v>69</v>
      </c>
      <c r="F30" t="s">
        <v>70</v>
      </c>
      <c r="G30" t="s">
        <v>71</v>
      </c>
      <c r="H30" t="s">
        <v>70</v>
      </c>
      <c r="I30" t="str">
        <f t="shared" si="0"/>
        <v>1010</v>
      </c>
      <c r="J30" t="str">
        <f t="shared" si="1"/>
        <v>05</v>
      </c>
      <c r="K30" t="s">
        <v>68</v>
      </c>
      <c r="L30" t="s">
        <v>72</v>
      </c>
      <c r="M30" t="s">
        <v>68</v>
      </c>
      <c r="N30" t="s">
        <v>159</v>
      </c>
      <c r="O30" t="s">
        <v>160</v>
      </c>
      <c r="P30" t="str">
        <f>"3020620092"</f>
        <v>3020620092</v>
      </c>
      <c r="R30" t="str">
        <f>"00030206200928"</f>
        <v>00030206200928</v>
      </c>
      <c r="S30" s="1">
        <v>41807</v>
      </c>
      <c r="T30" s="1">
        <v>41807</v>
      </c>
      <c r="U30" t="str">
        <f>"3020620092"</f>
        <v>3020620092</v>
      </c>
      <c r="V30" t="str">
        <f>"1010"</f>
        <v>1010</v>
      </c>
      <c r="W30" t="str">
        <f t="shared" si="3"/>
        <v>11</v>
      </c>
      <c r="X30" t="s">
        <v>75</v>
      </c>
      <c r="Y30" t="s">
        <v>139</v>
      </c>
      <c r="Z30" t="s">
        <v>105</v>
      </c>
      <c r="AA30" t="s">
        <v>106</v>
      </c>
      <c r="AB30" t="s">
        <v>79</v>
      </c>
      <c r="AD30" t="s">
        <v>80</v>
      </c>
      <c r="AE30" t="s">
        <v>81</v>
      </c>
      <c r="AF30" t="s">
        <v>82</v>
      </c>
      <c r="AG30" t="s">
        <v>83</v>
      </c>
      <c r="AH30" t="s">
        <v>84</v>
      </c>
      <c r="AJ30" t="str">
        <f t="shared" si="5"/>
        <v>1</v>
      </c>
      <c r="AK30" t="s">
        <v>85</v>
      </c>
      <c r="AL30" t="s">
        <v>86</v>
      </c>
      <c r="AM30" t="s">
        <v>87</v>
      </c>
      <c r="AN30" t="str">
        <f t="shared" si="6"/>
        <v>.9700</v>
      </c>
      <c r="AO30" t="str">
        <f>"7.50"</f>
        <v>7.50</v>
      </c>
      <c r="AP30" t="s">
        <v>88</v>
      </c>
      <c r="AQ30" t="str">
        <f>"7.50"</f>
        <v>7.50</v>
      </c>
      <c r="AR30">
        <v>2</v>
      </c>
      <c r="AS30">
        <v>0</v>
      </c>
      <c r="AT30">
        <v>2</v>
      </c>
      <c r="AU30">
        <v>14.01</v>
      </c>
      <c r="AV30">
        <v>1.1299999999999999</v>
      </c>
      <c r="AW30">
        <v>12.88</v>
      </c>
      <c r="AX30">
        <v>0</v>
      </c>
      <c r="AY30">
        <v>12.88</v>
      </c>
      <c r="AZ30">
        <v>0</v>
      </c>
    </row>
    <row r="31" spans="1:52">
      <c r="A31" t="s">
        <v>65</v>
      </c>
      <c r="B31" t="s">
        <v>66</v>
      </c>
      <c r="C31" t="s">
        <v>67</v>
      </c>
      <c r="D31" t="s">
        <v>68</v>
      </c>
      <c r="E31" t="s">
        <v>69</v>
      </c>
      <c r="F31" t="s">
        <v>70</v>
      </c>
      <c r="G31" t="s">
        <v>71</v>
      </c>
      <c r="H31" t="s">
        <v>70</v>
      </c>
      <c r="I31" t="str">
        <f t="shared" si="0"/>
        <v>1010</v>
      </c>
      <c r="J31" t="str">
        <f t="shared" si="1"/>
        <v>05</v>
      </c>
      <c r="K31" t="s">
        <v>68</v>
      </c>
      <c r="L31" t="s">
        <v>72</v>
      </c>
      <c r="M31" t="s">
        <v>68</v>
      </c>
      <c r="N31" t="s">
        <v>159</v>
      </c>
      <c r="O31" t="s">
        <v>160</v>
      </c>
      <c r="P31" t="str">
        <f>"3020620092"</f>
        <v>3020620092</v>
      </c>
      <c r="R31" t="str">
        <f>"00030206200928"</f>
        <v>00030206200928</v>
      </c>
      <c r="S31" s="1">
        <v>41807</v>
      </c>
      <c r="T31" s="1">
        <v>41807</v>
      </c>
      <c r="U31" t="str">
        <f>"3020620092"</f>
        <v>3020620092</v>
      </c>
      <c r="V31" t="str">
        <f>"1010"</f>
        <v>1010</v>
      </c>
      <c r="W31" t="str">
        <f t="shared" si="3"/>
        <v>11</v>
      </c>
      <c r="X31" t="s">
        <v>80</v>
      </c>
      <c r="Y31" t="s">
        <v>139</v>
      </c>
      <c r="Z31" t="s">
        <v>105</v>
      </c>
      <c r="AA31" t="s">
        <v>106</v>
      </c>
      <c r="AB31" t="s">
        <v>79</v>
      </c>
      <c r="AD31" t="s">
        <v>80</v>
      </c>
      <c r="AE31" t="s">
        <v>81</v>
      </c>
      <c r="AF31" t="s">
        <v>82</v>
      </c>
      <c r="AG31" t="s">
        <v>83</v>
      </c>
      <c r="AH31" t="s">
        <v>84</v>
      </c>
      <c r="AJ31" t="str">
        <f t="shared" si="5"/>
        <v>1</v>
      </c>
      <c r="AK31" t="s">
        <v>85</v>
      </c>
      <c r="AL31" t="s">
        <v>86</v>
      </c>
      <c r="AM31" t="s">
        <v>87</v>
      </c>
      <c r="AN31" t="str">
        <f t="shared" si="6"/>
        <v>.9700</v>
      </c>
      <c r="AO31" t="str">
        <f>"7.50"</f>
        <v>7.50</v>
      </c>
      <c r="AP31" t="s">
        <v>88</v>
      </c>
      <c r="AQ31" t="str">
        <f>"7.50"</f>
        <v>7.50</v>
      </c>
      <c r="AR31">
        <v>654</v>
      </c>
      <c r="AS31">
        <v>0</v>
      </c>
      <c r="AT31">
        <v>654</v>
      </c>
      <c r="AU31">
        <v>4909.1000000000004</v>
      </c>
      <c r="AV31">
        <v>736.58</v>
      </c>
      <c r="AW31">
        <v>4172.5200000000004</v>
      </c>
      <c r="AX31">
        <v>0</v>
      </c>
      <c r="AY31">
        <v>4172.5200000000004</v>
      </c>
      <c r="AZ31">
        <v>0</v>
      </c>
    </row>
    <row r="32" spans="1:52">
      <c r="A32" t="s">
        <v>65</v>
      </c>
      <c r="B32" t="s">
        <v>66</v>
      </c>
      <c r="C32" t="s">
        <v>67</v>
      </c>
      <c r="D32" t="s">
        <v>68</v>
      </c>
      <c r="E32" t="s">
        <v>69</v>
      </c>
      <c r="F32" t="s">
        <v>70</v>
      </c>
      <c r="G32" t="s">
        <v>71</v>
      </c>
      <c r="H32" t="s">
        <v>70</v>
      </c>
      <c r="I32" t="str">
        <f t="shared" si="0"/>
        <v>1010</v>
      </c>
      <c r="J32" t="str">
        <f t="shared" si="1"/>
        <v>05</v>
      </c>
      <c r="K32" t="s">
        <v>68</v>
      </c>
      <c r="L32" t="s">
        <v>72</v>
      </c>
      <c r="M32" t="s">
        <v>68</v>
      </c>
      <c r="N32" t="s">
        <v>161</v>
      </c>
      <c r="O32" t="s">
        <v>112</v>
      </c>
      <c r="P32" t="str">
        <f>"3020619062"</f>
        <v>3020619062</v>
      </c>
      <c r="R32" t="str">
        <f>"00030206190625"</f>
        <v>00030206190625</v>
      </c>
      <c r="S32" s="1">
        <v>40960</v>
      </c>
      <c r="T32" s="1">
        <v>40960</v>
      </c>
      <c r="U32" t="str">
        <f>"3020619062"</f>
        <v>3020619062</v>
      </c>
      <c r="V32" t="str">
        <f>"1510"</f>
        <v>1510</v>
      </c>
      <c r="W32" t="str">
        <f t="shared" si="3"/>
        <v>11</v>
      </c>
      <c r="X32" t="s">
        <v>75</v>
      </c>
      <c r="Y32" t="s">
        <v>76</v>
      </c>
      <c r="Z32" t="s">
        <v>91</v>
      </c>
      <c r="AA32" t="s">
        <v>92</v>
      </c>
      <c r="AB32" t="s">
        <v>79</v>
      </c>
      <c r="AD32" t="s">
        <v>80</v>
      </c>
      <c r="AE32" t="s">
        <v>81</v>
      </c>
      <c r="AF32" t="s">
        <v>82</v>
      </c>
      <c r="AG32" t="s">
        <v>83</v>
      </c>
      <c r="AH32" t="s">
        <v>84</v>
      </c>
      <c r="AI32" t="str">
        <f>"01"</f>
        <v>01</v>
      </c>
      <c r="AJ32" t="str">
        <f t="shared" si="5"/>
        <v>1</v>
      </c>
      <c r="AK32" t="s">
        <v>114</v>
      </c>
      <c r="AL32" t="s">
        <v>162</v>
      </c>
      <c r="AM32" t="s">
        <v>87</v>
      </c>
      <c r="AN32" t="str">
        <f t="shared" si="6"/>
        <v>.9700</v>
      </c>
      <c r="AO32" t="str">
        <f>"7.00"</f>
        <v>7.00</v>
      </c>
      <c r="AP32" t="s">
        <v>115</v>
      </c>
      <c r="AQ32" t="str">
        <f>"7.00"</f>
        <v>7.00</v>
      </c>
      <c r="AR32">
        <v>48</v>
      </c>
      <c r="AS32">
        <v>-3</v>
      </c>
      <c r="AT32">
        <v>45</v>
      </c>
      <c r="AU32">
        <v>336</v>
      </c>
      <c r="AV32">
        <v>26.6</v>
      </c>
      <c r="AW32">
        <v>309.39999999999998</v>
      </c>
      <c r="AX32">
        <v>-19.54</v>
      </c>
      <c r="AY32">
        <v>289.86</v>
      </c>
      <c r="AZ32">
        <v>0</v>
      </c>
    </row>
    <row r="33" spans="1:52">
      <c r="A33" t="s">
        <v>65</v>
      </c>
      <c r="B33" t="s">
        <v>66</v>
      </c>
      <c r="C33" t="s">
        <v>67</v>
      </c>
      <c r="D33" t="s">
        <v>68</v>
      </c>
      <c r="E33" t="s">
        <v>69</v>
      </c>
      <c r="F33" t="s">
        <v>70</v>
      </c>
      <c r="G33" t="s">
        <v>71</v>
      </c>
      <c r="H33" t="s">
        <v>70</v>
      </c>
      <c r="I33" t="str">
        <f t="shared" si="0"/>
        <v>1010</v>
      </c>
      <c r="J33" t="str">
        <f t="shared" si="1"/>
        <v>05</v>
      </c>
      <c r="K33" t="s">
        <v>68</v>
      </c>
      <c r="L33" t="s">
        <v>72</v>
      </c>
      <c r="M33" t="s">
        <v>68</v>
      </c>
      <c r="N33" t="s">
        <v>163</v>
      </c>
      <c r="O33" t="s">
        <v>164</v>
      </c>
      <c r="P33" t="str">
        <f>"3020619322"</f>
        <v>3020619322</v>
      </c>
      <c r="R33" t="str">
        <f>"00030206193220"</f>
        <v>00030206193220</v>
      </c>
      <c r="S33" s="1">
        <v>41163</v>
      </c>
      <c r="T33" s="1">
        <v>41163</v>
      </c>
      <c r="U33" t="str">
        <f>"3020619322"</f>
        <v>3020619322</v>
      </c>
      <c r="V33" t="str">
        <f>"1510"</f>
        <v>1510</v>
      </c>
      <c r="W33" t="str">
        <f t="shared" si="3"/>
        <v>11</v>
      </c>
      <c r="X33" t="s">
        <v>75</v>
      </c>
      <c r="Y33" t="s">
        <v>76</v>
      </c>
      <c r="Z33" t="s">
        <v>77</v>
      </c>
      <c r="AA33" t="s">
        <v>78</v>
      </c>
      <c r="AB33" t="s">
        <v>79</v>
      </c>
      <c r="AD33" t="s">
        <v>80</v>
      </c>
      <c r="AE33" t="s">
        <v>81</v>
      </c>
      <c r="AF33" t="s">
        <v>82</v>
      </c>
      <c r="AG33" t="s">
        <v>83</v>
      </c>
      <c r="AH33" t="s">
        <v>84</v>
      </c>
      <c r="AI33" t="str">
        <f>"01"</f>
        <v>01</v>
      </c>
      <c r="AJ33" t="str">
        <f t="shared" si="5"/>
        <v>1</v>
      </c>
      <c r="AK33" t="s">
        <v>85</v>
      </c>
      <c r="AL33" t="s">
        <v>86</v>
      </c>
      <c r="AM33" t="s">
        <v>87</v>
      </c>
      <c r="AN33" t="str">
        <f t="shared" si="6"/>
        <v>.9700</v>
      </c>
      <c r="AO33" t="str">
        <f>"7.50"</f>
        <v>7.50</v>
      </c>
      <c r="AP33" t="s">
        <v>88</v>
      </c>
      <c r="AQ33" t="str">
        <f>"7.50"</f>
        <v>7.50</v>
      </c>
      <c r="AR33">
        <v>3</v>
      </c>
      <c r="AS33">
        <v>0</v>
      </c>
      <c r="AT33">
        <v>3</v>
      </c>
      <c r="AU33">
        <v>22.5</v>
      </c>
      <c r="AV33">
        <v>2.25</v>
      </c>
      <c r="AW33">
        <v>20.25</v>
      </c>
      <c r="AX33">
        <v>0</v>
      </c>
      <c r="AY33">
        <v>20.25</v>
      </c>
      <c r="AZ33">
        <v>0</v>
      </c>
    </row>
    <row r="34" spans="1:52">
      <c r="A34" t="s">
        <v>65</v>
      </c>
      <c r="B34" t="s">
        <v>66</v>
      </c>
      <c r="C34" t="s">
        <v>67</v>
      </c>
      <c r="D34" t="s">
        <v>68</v>
      </c>
      <c r="E34" t="s">
        <v>69</v>
      </c>
      <c r="F34" t="s">
        <v>70</v>
      </c>
      <c r="G34" t="s">
        <v>71</v>
      </c>
      <c r="H34" t="s">
        <v>70</v>
      </c>
      <c r="I34" t="str">
        <f t="shared" si="0"/>
        <v>1010</v>
      </c>
      <c r="J34" t="str">
        <f t="shared" si="1"/>
        <v>05</v>
      </c>
      <c r="K34" t="s">
        <v>68</v>
      </c>
      <c r="L34" t="s">
        <v>72</v>
      </c>
      <c r="M34" t="s">
        <v>68</v>
      </c>
      <c r="N34" t="s">
        <v>165</v>
      </c>
      <c r="O34" t="s">
        <v>166</v>
      </c>
      <c r="P34" t="str">
        <f>"3020618372"</f>
        <v>3020618372</v>
      </c>
      <c r="R34" t="str">
        <f>"00030206183726"</f>
        <v>00030206183726</v>
      </c>
      <c r="S34" s="1">
        <v>40358</v>
      </c>
      <c r="T34" s="1">
        <v>40358</v>
      </c>
      <c r="U34" t="str">
        <f>"3020618372"</f>
        <v>3020618372</v>
      </c>
      <c r="V34" t="str">
        <f>"1510"</f>
        <v>1510</v>
      </c>
      <c r="W34" t="str">
        <f t="shared" si="3"/>
        <v>11</v>
      </c>
      <c r="X34" t="s">
        <v>75</v>
      </c>
      <c r="Y34" t="s">
        <v>76</v>
      </c>
      <c r="Z34" t="s">
        <v>91</v>
      </c>
      <c r="AA34" t="s">
        <v>92</v>
      </c>
      <c r="AB34" t="s">
        <v>79</v>
      </c>
      <c r="AD34" t="s">
        <v>80</v>
      </c>
      <c r="AE34" t="s">
        <v>81</v>
      </c>
      <c r="AF34" t="s">
        <v>82</v>
      </c>
      <c r="AG34" t="s">
        <v>133</v>
      </c>
      <c r="AH34" t="s">
        <v>134</v>
      </c>
      <c r="AI34" t="str">
        <f>"02"</f>
        <v>02</v>
      </c>
      <c r="AJ34" t="str">
        <f>"2"</f>
        <v>2</v>
      </c>
      <c r="AK34" t="s">
        <v>107</v>
      </c>
      <c r="AL34" t="s">
        <v>94</v>
      </c>
      <c r="AM34" t="s">
        <v>95</v>
      </c>
      <c r="AN34" t="str">
        <f t="shared" si="6"/>
        <v>.9700</v>
      </c>
      <c r="AO34" t="str">
        <f>"10.78"</f>
        <v>10.78</v>
      </c>
      <c r="AP34" t="s">
        <v>108</v>
      </c>
      <c r="AQ34" t="str">
        <f>"10.78"</f>
        <v>10.78</v>
      </c>
      <c r="AR34">
        <v>21</v>
      </c>
      <c r="AS34">
        <v>-1</v>
      </c>
      <c r="AT34">
        <v>20</v>
      </c>
      <c r="AU34">
        <v>226.34</v>
      </c>
      <c r="AV34">
        <v>21.56</v>
      </c>
      <c r="AW34">
        <v>204.78</v>
      </c>
      <c r="AX34">
        <v>-9.67</v>
      </c>
      <c r="AY34">
        <v>195.11</v>
      </c>
      <c r="AZ34">
        <v>0</v>
      </c>
    </row>
    <row r="35" spans="1:52">
      <c r="A35" t="s">
        <v>65</v>
      </c>
      <c r="B35" t="s">
        <v>66</v>
      </c>
      <c r="C35" t="s">
        <v>67</v>
      </c>
      <c r="D35" t="s">
        <v>68</v>
      </c>
      <c r="E35" t="s">
        <v>69</v>
      </c>
      <c r="F35" t="s">
        <v>70</v>
      </c>
      <c r="G35" t="s">
        <v>71</v>
      </c>
      <c r="H35" t="s">
        <v>70</v>
      </c>
      <c r="I35" t="str">
        <f t="shared" si="0"/>
        <v>1010</v>
      </c>
      <c r="J35" t="str">
        <f t="shared" si="1"/>
        <v>05</v>
      </c>
      <c r="K35" t="s">
        <v>68</v>
      </c>
      <c r="L35" t="s">
        <v>72</v>
      </c>
      <c r="M35" t="s">
        <v>68</v>
      </c>
      <c r="N35" t="s">
        <v>167</v>
      </c>
      <c r="O35" t="s">
        <v>168</v>
      </c>
      <c r="P35" t="str">
        <f>"3020618432"</f>
        <v>3020618432</v>
      </c>
      <c r="R35" t="str">
        <f>"00030206184327"</f>
        <v>00030206184327</v>
      </c>
      <c r="S35" s="1">
        <v>40386</v>
      </c>
      <c r="T35" s="1">
        <v>40386</v>
      </c>
      <c r="U35" t="str">
        <f>"3020618432"</f>
        <v>3020618432</v>
      </c>
      <c r="V35" t="str">
        <f>"1510"</f>
        <v>1510</v>
      </c>
      <c r="W35" t="str">
        <f t="shared" si="3"/>
        <v>11</v>
      </c>
      <c r="X35" t="s">
        <v>75</v>
      </c>
      <c r="Y35" t="s">
        <v>76</v>
      </c>
      <c r="Z35" t="s">
        <v>169</v>
      </c>
      <c r="AA35" t="s">
        <v>170</v>
      </c>
      <c r="AB35" t="s">
        <v>79</v>
      </c>
      <c r="AD35" t="s">
        <v>80</v>
      </c>
      <c r="AE35" t="s">
        <v>81</v>
      </c>
      <c r="AF35" t="s">
        <v>82</v>
      </c>
      <c r="AG35" t="s">
        <v>83</v>
      </c>
      <c r="AH35" t="s">
        <v>84</v>
      </c>
      <c r="AI35" t="str">
        <f>"01"</f>
        <v>01</v>
      </c>
      <c r="AJ35" t="str">
        <f t="shared" ref="AJ35:AJ54" si="7">"1"</f>
        <v>1</v>
      </c>
      <c r="AK35" t="s">
        <v>154</v>
      </c>
      <c r="AL35" t="s">
        <v>86</v>
      </c>
      <c r="AM35" t="s">
        <v>87</v>
      </c>
      <c r="AN35" t="str">
        <f t="shared" si="6"/>
        <v>.9700</v>
      </c>
      <c r="AO35" t="str">
        <f>"7.25"</f>
        <v>7.25</v>
      </c>
      <c r="AP35" t="s">
        <v>156</v>
      </c>
      <c r="AQ35" t="str">
        <f>"7.25"</f>
        <v>7.25</v>
      </c>
      <c r="AR35">
        <v>0</v>
      </c>
      <c r="AS35">
        <v>-4</v>
      </c>
      <c r="AT35">
        <v>-4</v>
      </c>
      <c r="AU35">
        <v>0</v>
      </c>
      <c r="AV35">
        <v>0</v>
      </c>
      <c r="AW35">
        <v>0</v>
      </c>
      <c r="AX35">
        <v>-23.48</v>
      </c>
      <c r="AY35">
        <v>-23.48</v>
      </c>
      <c r="AZ35">
        <v>0</v>
      </c>
    </row>
    <row r="36" spans="1:52">
      <c r="A36" t="s">
        <v>65</v>
      </c>
      <c r="B36" t="s">
        <v>66</v>
      </c>
      <c r="C36" t="s">
        <v>67</v>
      </c>
      <c r="D36" t="s">
        <v>68</v>
      </c>
      <c r="E36" t="s">
        <v>69</v>
      </c>
      <c r="F36" t="s">
        <v>70</v>
      </c>
      <c r="G36" t="s">
        <v>71</v>
      </c>
      <c r="H36" t="s">
        <v>70</v>
      </c>
      <c r="I36" t="str">
        <f t="shared" si="0"/>
        <v>1010</v>
      </c>
      <c r="J36" t="str">
        <f t="shared" si="1"/>
        <v>05</v>
      </c>
      <c r="K36" t="s">
        <v>68</v>
      </c>
      <c r="L36" t="s">
        <v>72</v>
      </c>
      <c r="M36" t="s">
        <v>68</v>
      </c>
      <c r="N36" t="s">
        <v>171</v>
      </c>
      <c r="O36" t="s">
        <v>172</v>
      </c>
      <c r="P36" t="str">
        <f>"3020672068"</f>
        <v>3020672068</v>
      </c>
      <c r="R36" t="str">
        <f>"00030206720686"</f>
        <v>00030206720686</v>
      </c>
      <c r="S36" s="1">
        <v>41520</v>
      </c>
      <c r="T36" s="1">
        <v>41513</v>
      </c>
      <c r="U36" t="str">
        <f>"3020672068"</f>
        <v>3020672068</v>
      </c>
      <c r="V36" t="str">
        <f>"1010"</f>
        <v>1010</v>
      </c>
      <c r="W36" t="str">
        <f t="shared" si="3"/>
        <v>11</v>
      </c>
      <c r="X36" t="s">
        <v>75</v>
      </c>
      <c r="Y36" t="s">
        <v>173</v>
      </c>
      <c r="Z36" t="s">
        <v>105</v>
      </c>
      <c r="AA36" t="s">
        <v>106</v>
      </c>
      <c r="AB36" t="s">
        <v>79</v>
      </c>
      <c r="AD36" t="s">
        <v>80</v>
      </c>
      <c r="AE36" t="s">
        <v>81</v>
      </c>
      <c r="AF36" t="s">
        <v>82</v>
      </c>
      <c r="AG36" t="s">
        <v>83</v>
      </c>
      <c r="AH36" t="s">
        <v>84</v>
      </c>
      <c r="AJ36" t="str">
        <f t="shared" si="7"/>
        <v>1</v>
      </c>
      <c r="AK36" t="s">
        <v>101</v>
      </c>
      <c r="AL36" t="s">
        <v>143</v>
      </c>
      <c r="AM36" t="s">
        <v>95</v>
      </c>
      <c r="AN36" t="str">
        <f t="shared" si="6"/>
        <v>.9700</v>
      </c>
      <c r="AO36" t="str">
        <f>"9.07"</f>
        <v>9.07</v>
      </c>
      <c r="AP36" t="s">
        <v>102</v>
      </c>
      <c r="AQ36" t="str">
        <f>"9.07"</f>
        <v>9.07</v>
      </c>
      <c r="AR36">
        <v>1</v>
      </c>
      <c r="AS36">
        <v>-1</v>
      </c>
      <c r="AT36">
        <v>0</v>
      </c>
      <c r="AU36">
        <v>9.07</v>
      </c>
      <c r="AV36">
        <v>0</v>
      </c>
      <c r="AW36">
        <v>9.07</v>
      </c>
      <c r="AX36">
        <v>-8.32</v>
      </c>
      <c r="AY36">
        <v>0.75</v>
      </c>
      <c r="AZ36">
        <v>0</v>
      </c>
    </row>
    <row r="37" spans="1:52">
      <c r="A37" t="s">
        <v>65</v>
      </c>
      <c r="B37" t="s">
        <v>66</v>
      </c>
      <c r="C37" t="s">
        <v>67</v>
      </c>
      <c r="D37" t="s">
        <v>68</v>
      </c>
      <c r="E37" t="s">
        <v>69</v>
      </c>
      <c r="F37" t="s">
        <v>70</v>
      </c>
      <c r="G37" t="s">
        <v>71</v>
      </c>
      <c r="H37" t="s">
        <v>70</v>
      </c>
      <c r="I37" t="str">
        <f t="shared" si="0"/>
        <v>1010</v>
      </c>
      <c r="J37" t="str">
        <f t="shared" si="1"/>
        <v>05</v>
      </c>
      <c r="K37" t="s">
        <v>68</v>
      </c>
      <c r="L37" t="s">
        <v>72</v>
      </c>
      <c r="M37" t="s">
        <v>68</v>
      </c>
      <c r="N37" t="s">
        <v>174</v>
      </c>
      <c r="O37" t="s">
        <v>175</v>
      </c>
      <c r="P37" t="str">
        <f>"3020618712"</f>
        <v>3020618712</v>
      </c>
      <c r="R37" t="str">
        <f>"00030206187120"</f>
        <v>00030206187120</v>
      </c>
      <c r="S37" s="1">
        <v>40589</v>
      </c>
      <c r="T37" s="1">
        <v>40589</v>
      </c>
      <c r="U37" t="str">
        <f>"3020618712"</f>
        <v>3020618712</v>
      </c>
      <c r="V37" t="str">
        <f>"1510"</f>
        <v>1510</v>
      </c>
      <c r="W37" t="str">
        <f t="shared" si="3"/>
        <v>11</v>
      </c>
      <c r="X37" t="s">
        <v>75</v>
      </c>
      <c r="Y37" t="s">
        <v>76</v>
      </c>
      <c r="Z37" t="s">
        <v>91</v>
      </c>
      <c r="AA37" t="s">
        <v>92</v>
      </c>
      <c r="AB37" t="s">
        <v>79</v>
      </c>
      <c r="AD37" t="s">
        <v>80</v>
      </c>
      <c r="AE37" t="s">
        <v>81</v>
      </c>
      <c r="AF37" t="s">
        <v>82</v>
      </c>
      <c r="AG37" t="s">
        <v>83</v>
      </c>
      <c r="AH37" t="s">
        <v>84</v>
      </c>
      <c r="AI37" t="str">
        <f>"01"</f>
        <v>01</v>
      </c>
      <c r="AJ37" t="str">
        <f t="shared" si="7"/>
        <v>1</v>
      </c>
      <c r="AK37" t="s">
        <v>114</v>
      </c>
      <c r="AL37" t="s">
        <v>162</v>
      </c>
      <c r="AM37" t="s">
        <v>87</v>
      </c>
      <c r="AN37" t="str">
        <f t="shared" si="6"/>
        <v>.9700</v>
      </c>
      <c r="AO37" t="str">
        <f>"7.00"</f>
        <v>7.00</v>
      </c>
      <c r="AP37" t="s">
        <v>115</v>
      </c>
      <c r="AQ37" t="str">
        <f>"7.00"</f>
        <v>7.00</v>
      </c>
      <c r="AR37">
        <v>3</v>
      </c>
      <c r="AS37">
        <v>0</v>
      </c>
      <c r="AT37">
        <v>3</v>
      </c>
      <c r="AU37">
        <v>21</v>
      </c>
      <c r="AV37">
        <v>1.4</v>
      </c>
      <c r="AW37">
        <v>19.600000000000001</v>
      </c>
      <c r="AX37">
        <v>0</v>
      </c>
      <c r="AY37">
        <v>19.600000000000001</v>
      </c>
      <c r="AZ37">
        <v>0</v>
      </c>
    </row>
    <row r="38" spans="1:52">
      <c r="A38" t="s">
        <v>65</v>
      </c>
      <c r="B38" t="s">
        <v>66</v>
      </c>
      <c r="C38" t="s">
        <v>67</v>
      </c>
      <c r="D38" t="s">
        <v>68</v>
      </c>
      <c r="E38" t="s">
        <v>69</v>
      </c>
      <c r="F38" t="s">
        <v>70</v>
      </c>
      <c r="G38" t="s">
        <v>71</v>
      </c>
      <c r="H38" t="s">
        <v>70</v>
      </c>
      <c r="I38" t="str">
        <f t="shared" si="0"/>
        <v>1010</v>
      </c>
      <c r="J38" t="str">
        <f t="shared" si="1"/>
        <v>05</v>
      </c>
      <c r="K38" t="s">
        <v>68</v>
      </c>
      <c r="L38" t="s">
        <v>72</v>
      </c>
      <c r="M38" t="s">
        <v>68</v>
      </c>
      <c r="N38" t="s">
        <v>176</v>
      </c>
      <c r="O38" t="s">
        <v>177</v>
      </c>
      <c r="P38" t="str">
        <f>"3020624242"</f>
        <v>3020624242</v>
      </c>
      <c r="R38" t="str">
        <f>"00030206242423"</f>
        <v>00030206242423</v>
      </c>
      <c r="S38" s="1">
        <v>41513</v>
      </c>
      <c r="T38" s="1">
        <v>41443</v>
      </c>
      <c r="U38" t="str">
        <f>"3020624242"</f>
        <v>3020624242</v>
      </c>
      <c r="V38" t="str">
        <f>"1010"</f>
        <v>1010</v>
      </c>
      <c r="W38" t="str">
        <f t="shared" si="3"/>
        <v>11</v>
      </c>
      <c r="X38" t="s">
        <v>75</v>
      </c>
      <c r="Y38" t="s">
        <v>173</v>
      </c>
      <c r="Z38" t="s">
        <v>105</v>
      </c>
      <c r="AA38" t="s">
        <v>106</v>
      </c>
      <c r="AB38" t="s">
        <v>79</v>
      </c>
      <c r="AD38" t="s">
        <v>80</v>
      </c>
      <c r="AE38" t="s">
        <v>81</v>
      </c>
      <c r="AF38" t="s">
        <v>82</v>
      </c>
      <c r="AG38" t="s">
        <v>83</v>
      </c>
      <c r="AH38" t="s">
        <v>84</v>
      </c>
      <c r="AJ38" t="str">
        <f t="shared" si="7"/>
        <v>1</v>
      </c>
      <c r="AK38" t="s">
        <v>85</v>
      </c>
      <c r="AL38" t="s">
        <v>86</v>
      </c>
      <c r="AM38" t="s">
        <v>87</v>
      </c>
      <c r="AN38" t="str">
        <f t="shared" si="6"/>
        <v>.9700</v>
      </c>
      <c r="AO38" t="str">
        <f>"7.50"</f>
        <v>7.50</v>
      </c>
      <c r="AP38" t="s">
        <v>88</v>
      </c>
      <c r="AQ38" t="str">
        <f>"7.50"</f>
        <v>7.50</v>
      </c>
      <c r="AR38">
        <v>2</v>
      </c>
      <c r="AS38">
        <v>-12</v>
      </c>
      <c r="AT38">
        <v>-10</v>
      </c>
      <c r="AU38">
        <v>14</v>
      </c>
      <c r="AV38">
        <v>0</v>
      </c>
      <c r="AW38">
        <v>14</v>
      </c>
      <c r="AX38">
        <v>-82.97</v>
      </c>
      <c r="AY38">
        <v>-68.97</v>
      </c>
      <c r="AZ38">
        <v>0</v>
      </c>
    </row>
    <row r="39" spans="1:52">
      <c r="A39" t="s">
        <v>65</v>
      </c>
      <c r="B39" t="s">
        <v>66</v>
      </c>
      <c r="C39" t="s">
        <v>67</v>
      </c>
      <c r="D39" t="s">
        <v>68</v>
      </c>
      <c r="E39" t="s">
        <v>69</v>
      </c>
      <c r="F39" t="s">
        <v>70</v>
      </c>
      <c r="G39" t="s">
        <v>71</v>
      </c>
      <c r="H39" t="s">
        <v>70</v>
      </c>
      <c r="I39" t="str">
        <f t="shared" si="0"/>
        <v>1010</v>
      </c>
      <c r="J39" t="str">
        <f t="shared" si="1"/>
        <v>05</v>
      </c>
      <c r="K39" t="s">
        <v>68</v>
      </c>
      <c r="L39" t="s">
        <v>72</v>
      </c>
      <c r="M39" t="s">
        <v>68</v>
      </c>
      <c r="N39" t="s">
        <v>178</v>
      </c>
      <c r="O39" t="s">
        <v>179</v>
      </c>
      <c r="P39" t="str">
        <f>"3020671862"</f>
        <v>3020671862</v>
      </c>
      <c r="R39" t="str">
        <f>"00030206718621"</f>
        <v>00030206718621</v>
      </c>
      <c r="S39" s="1">
        <v>41401</v>
      </c>
      <c r="T39" s="1">
        <v>41401</v>
      </c>
      <c r="U39" t="str">
        <f>"3020671862"</f>
        <v>3020671862</v>
      </c>
      <c r="V39" t="str">
        <f>"1010"</f>
        <v>1010</v>
      </c>
      <c r="W39" t="str">
        <f t="shared" si="3"/>
        <v>11</v>
      </c>
      <c r="X39" t="s">
        <v>75</v>
      </c>
      <c r="Y39" t="s">
        <v>173</v>
      </c>
      <c r="Z39" t="s">
        <v>180</v>
      </c>
      <c r="AA39" t="s">
        <v>181</v>
      </c>
      <c r="AB39" t="s">
        <v>79</v>
      </c>
      <c r="AD39" t="s">
        <v>80</v>
      </c>
      <c r="AE39" t="s">
        <v>81</v>
      </c>
      <c r="AF39" t="s">
        <v>82</v>
      </c>
      <c r="AG39" t="s">
        <v>83</v>
      </c>
      <c r="AH39" t="s">
        <v>84</v>
      </c>
      <c r="AJ39" t="str">
        <f t="shared" si="7"/>
        <v>1</v>
      </c>
      <c r="AK39" t="s">
        <v>101</v>
      </c>
      <c r="AL39" t="s">
        <v>143</v>
      </c>
      <c r="AM39" t="s">
        <v>95</v>
      </c>
      <c r="AN39" t="str">
        <f t="shared" si="6"/>
        <v>.9700</v>
      </c>
      <c r="AO39" t="str">
        <f>"9.07"</f>
        <v>9.07</v>
      </c>
      <c r="AP39" t="s">
        <v>102</v>
      </c>
      <c r="AQ39" t="str">
        <f>"9.07"</f>
        <v>9.07</v>
      </c>
      <c r="AR39">
        <v>2</v>
      </c>
      <c r="AS39">
        <v>0</v>
      </c>
      <c r="AT39">
        <v>2</v>
      </c>
      <c r="AU39">
        <v>18.14</v>
      </c>
      <c r="AV39">
        <v>0</v>
      </c>
      <c r="AW39">
        <v>18.14</v>
      </c>
      <c r="AX39">
        <v>0</v>
      </c>
      <c r="AY39">
        <v>18.14</v>
      </c>
      <c r="AZ39">
        <v>0</v>
      </c>
    </row>
    <row r="40" spans="1:52">
      <c r="A40" t="s">
        <v>65</v>
      </c>
      <c r="B40" t="s">
        <v>66</v>
      </c>
      <c r="C40" t="s">
        <v>67</v>
      </c>
      <c r="D40" t="s">
        <v>68</v>
      </c>
      <c r="E40" t="s">
        <v>69</v>
      </c>
      <c r="F40" t="s">
        <v>70</v>
      </c>
      <c r="G40" t="s">
        <v>71</v>
      </c>
      <c r="H40" t="s">
        <v>70</v>
      </c>
      <c r="I40" t="str">
        <f t="shared" si="0"/>
        <v>1010</v>
      </c>
      <c r="J40" t="str">
        <f t="shared" si="1"/>
        <v>05</v>
      </c>
      <c r="K40" t="s">
        <v>68</v>
      </c>
      <c r="L40" t="s">
        <v>72</v>
      </c>
      <c r="M40" t="s">
        <v>68</v>
      </c>
      <c r="N40" t="s">
        <v>182</v>
      </c>
      <c r="O40" t="s">
        <v>183</v>
      </c>
      <c r="P40" t="str">
        <f>"3020618872"</f>
        <v>3020618872</v>
      </c>
      <c r="R40" t="str">
        <f>"00030206188721"</f>
        <v>00030206188721</v>
      </c>
      <c r="S40" s="1">
        <v>40708</v>
      </c>
      <c r="T40" s="1">
        <v>40708</v>
      </c>
      <c r="U40" t="str">
        <f>"3020618872"</f>
        <v>3020618872</v>
      </c>
      <c r="V40" t="str">
        <f>"1510"</f>
        <v>1510</v>
      </c>
      <c r="W40" t="str">
        <f t="shared" si="3"/>
        <v>11</v>
      </c>
      <c r="X40" t="s">
        <v>75</v>
      </c>
      <c r="Y40" t="s">
        <v>76</v>
      </c>
      <c r="Z40" t="s">
        <v>105</v>
      </c>
      <c r="AA40" t="s">
        <v>106</v>
      </c>
      <c r="AB40" t="s">
        <v>79</v>
      </c>
      <c r="AD40" t="s">
        <v>80</v>
      </c>
      <c r="AE40" t="s">
        <v>81</v>
      </c>
      <c r="AF40" t="s">
        <v>82</v>
      </c>
      <c r="AG40" t="s">
        <v>83</v>
      </c>
      <c r="AH40" t="s">
        <v>84</v>
      </c>
      <c r="AI40" t="str">
        <f t="shared" ref="AI40:AI54" si="8">"01"</f>
        <v>01</v>
      </c>
      <c r="AJ40" t="str">
        <f t="shared" si="7"/>
        <v>1</v>
      </c>
      <c r="AK40" t="s">
        <v>85</v>
      </c>
      <c r="AL40" t="s">
        <v>86</v>
      </c>
      <c r="AM40" t="s">
        <v>87</v>
      </c>
      <c r="AN40" t="str">
        <f t="shared" si="6"/>
        <v>.9700</v>
      </c>
      <c r="AO40" t="str">
        <f>"7.50"</f>
        <v>7.50</v>
      </c>
      <c r="AP40" t="s">
        <v>88</v>
      </c>
      <c r="AQ40" t="str">
        <f>"7.50"</f>
        <v>7.50</v>
      </c>
      <c r="AR40">
        <v>30</v>
      </c>
      <c r="AS40">
        <v>-3</v>
      </c>
      <c r="AT40">
        <v>27</v>
      </c>
      <c r="AU40">
        <v>225</v>
      </c>
      <c r="AV40">
        <v>26.85</v>
      </c>
      <c r="AW40">
        <v>198.15</v>
      </c>
      <c r="AX40">
        <v>-19.350000000000001</v>
      </c>
      <c r="AY40">
        <v>178.8</v>
      </c>
      <c r="AZ40">
        <v>0</v>
      </c>
    </row>
    <row r="41" spans="1:52">
      <c r="A41" t="s">
        <v>65</v>
      </c>
      <c r="B41" t="s">
        <v>66</v>
      </c>
      <c r="C41" t="s">
        <v>67</v>
      </c>
      <c r="D41" t="s">
        <v>68</v>
      </c>
      <c r="E41" t="s">
        <v>69</v>
      </c>
      <c r="F41" t="s">
        <v>70</v>
      </c>
      <c r="G41" t="s">
        <v>71</v>
      </c>
      <c r="H41" t="s">
        <v>70</v>
      </c>
      <c r="I41" t="str">
        <f t="shared" si="0"/>
        <v>1010</v>
      </c>
      <c r="J41" t="str">
        <f t="shared" si="1"/>
        <v>05</v>
      </c>
      <c r="K41" t="s">
        <v>68</v>
      </c>
      <c r="L41" t="s">
        <v>72</v>
      </c>
      <c r="M41" t="s">
        <v>68</v>
      </c>
      <c r="N41" t="s">
        <v>184</v>
      </c>
      <c r="O41" t="s">
        <v>185</v>
      </c>
      <c r="P41" t="str">
        <f>"3020660972"</f>
        <v>3020660972</v>
      </c>
      <c r="R41" t="str">
        <f>"00030206609721"</f>
        <v>00030206609721</v>
      </c>
      <c r="S41" s="1">
        <v>36564</v>
      </c>
      <c r="T41" s="1">
        <v>36564</v>
      </c>
      <c r="U41" t="str">
        <f>"3020660972"</f>
        <v>3020660972</v>
      </c>
      <c r="V41" t="str">
        <f>"1510"</f>
        <v>1510</v>
      </c>
      <c r="W41" t="str">
        <f t="shared" si="3"/>
        <v>11</v>
      </c>
      <c r="X41" t="s">
        <v>75</v>
      </c>
      <c r="Y41" t="s">
        <v>76</v>
      </c>
      <c r="Z41" t="s">
        <v>105</v>
      </c>
      <c r="AA41" t="s">
        <v>106</v>
      </c>
      <c r="AB41" t="s">
        <v>79</v>
      </c>
      <c r="AD41" t="s">
        <v>80</v>
      </c>
      <c r="AE41" t="s">
        <v>81</v>
      </c>
      <c r="AF41" t="s">
        <v>82</v>
      </c>
      <c r="AG41" t="s">
        <v>83</v>
      </c>
      <c r="AH41" t="s">
        <v>84</v>
      </c>
      <c r="AI41" t="str">
        <f t="shared" si="8"/>
        <v>01</v>
      </c>
      <c r="AJ41" t="str">
        <f t="shared" si="7"/>
        <v>1</v>
      </c>
      <c r="AK41" t="s">
        <v>93</v>
      </c>
      <c r="AL41" t="s">
        <v>94</v>
      </c>
      <c r="AM41" t="s">
        <v>95</v>
      </c>
      <c r="AN41" t="str">
        <f t="shared" si="6"/>
        <v>.9700</v>
      </c>
      <c r="AO41" t="str">
        <f>"11.41"</f>
        <v>11.41</v>
      </c>
      <c r="AP41" t="s">
        <v>96</v>
      </c>
      <c r="AQ41" t="str">
        <f>"11.41"</f>
        <v>11.41</v>
      </c>
      <c r="AR41">
        <v>65</v>
      </c>
      <c r="AS41">
        <v>-1</v>
      </c>
      <c r="AT41">
        <v>64</v>
      </c>
      <c r="AU41">
        <v>741.6</v>
      </c>
      <c r="AV41">
        <v>89</v>
      </c>
      <c r="AW41">
        <v>652.6</v>
      </c>
      <c r="AX41">
        <v>-10.31</v>
      </c>
      <c r="AY41">
        <v>642.29</v>
      </c>
      <c r="AZ41">
        <v>0</v>
      </c>
    </row>
    <row r="42" spans="1:52">
      <c r="A42" t="s">
        <v>65</v>
      </c>
      <c r="B42" t="s">
        <v>66</v>
      </c>
      <c r="C42" t="s">
        <v>67</v>
      </c>
      <c r="D42" t="s">
        <v>68</v>
      </c>
      <c r="E42" t="s">
        <v>69</v>
      </c>
      <c r="F42" t="s">
        <v>70</v>
      </c>
      <c r="G42" t="s">
        <v>71</v>
      </c>
      <c r="H42" t="s">
        <v>70</v>
      </c>
      <c r="I42" t="str">
        <f t="shared" si="0"/>
        <v>1010</v>
      </c>
      <c r="J42" t="str">
        <f t="shared" si="1"/>
        <v>05</v>
      </c>
      <c r="K42" t="s">
        <v>68</v>
      </c>
      <c r="L42" t="s">
        <v>72</v>
      </c>
      <c r="M42" t="s">
        <v>68</v>
      </c>
      <c r="N42" t="s">
        <v>186</v>
      </c>
      <c r="O42" t="s">
        <v>187</v>
      </c>
      <c r="P42" t="str">
        <f>"3020617552"</f>
        <v>3020617552</v>
      </c>
      <c r="R42" t="str">
        <f>"00030206175523"</f>
        <v>00030206175523</v>
      </c>
      <c r="S42" s="1">
        <v>39868</v>
      </c>
      <c r="T42" s="1">
        <v>39868</v>
      </c>
      <c r="U42" t="str">
        <f>"3020617552"</f>
        <v>3020617552</v>
      </c>
      <c r="V42" t="str">
        <f>"1510"</f>
        <v>1510</v>
      </c>
      <c r="W42" t="str">
        <f t="shared" si="3"/>
        <v>11</v>
      </c>
      <c r="X42" t="s">
        <v>75</v>
      </c>
      <c r="Y42" t="s">
        <v>76</v>
      </c>
      <c r="Z42" t="s">
        <v>169</v>
      </c>
      <c r="AA42" t="s">
        <v>170</v>
      </c>
      <c r="AB42" t="s">
        <v>79</v>
      </c>
      <c r="AD42" t="s">
        <v>80</v>
      </c>
      <c r="AE42" t="s">
        <v>81</v>
      </c>
      <c r="AF42" t="s">
        <v>82</v>
      </c>
      <c r="AG42" t="s">
        <v>83</v>
      </c>
      <c r="AH42" t="s">
        <v>84</v>
      </c>
      <c r="AI42" t="str">
        <f t="shared" si="8"/>
        <v>01</v>
      </c>
      <c r="AJ42" t="str">
        <f t="shared" si="7"/>
        <v>1</v>
      </c>
      <c r="AK42" t="s">
        <v>154</v>
      </c>
      <c r="AL42" t="s">
        <v>86</v>
      </c>
      <c r="AM42" t="s">
        <v>87</v>
      </c>
      <c r="AN42" t="str">
        <f t="shared" si="6"/>
        <v>.9700</v>
      </c>
      <c r="AO42" t="str">
        <f>"7.25"</f>
        <v>7.25</v>
      </c>
      <c r="AP42" t="s">
        <v>156</v>
      </c>
      <c r="AQ42" t="str">
        <f>"7.25"</f>
        <v>7.25</v>
      </c>
      <c r="AR42">
        <v>0</v>
      </c>
      <c r="AS42">
        <v>-1</v>
      </c>
      <c r="AT42">
        <v>-1</v>
      </c>
      <c r="AU42">
        <v>0</v>
      </c>
      <c r="AV42">
        <v>0</v>
      </c>
      <c r="AW42">
        <v>0</v>
      </c>
      <c r="AX42">
        <v>-6.1</v>
      </c>
      <c r="AY42">
        <v>-6.1</v>
      </c>
      <c r="AZ42">
        <v>0</v>
      </c>
    </row>
    <row r="43" spans="1:52">
      <c r="A43" t="s">
        <v>65</v>
      </c>
      <c r="B43" t="s">
        <v>66</v>
      </c>
      <c r="C43" t="s">
        <v>67</v>
      </c>
      <c r="D43" t="s">
        <v>68</v>
      </c>
      <c r="E43" t="s">
        <v>69</v>
      </c>
      <c r="F43" t="s">
        <v>70</v>
      </c>
      <c r="G43" t="s">
        <v>71</v>
      </c>
      <c r="H43" t="s">
        <v>70</v>
      </c>
      <c r="I43" t="str">
        <f t="shared" si="0"/>
        <v>1010</v>
      </c>
      <c r="J43" t="str">
        <f t="shared" si="1"/>
        <v>05</v>
      </c>
      <c r="K43" t="s">
        <v>68</v>
      </c>
      <c r="L43" t="s">
        <v>72</v>
      </c>
      <c r="M43" t="s">
        <v>68</v>
      </c>
      <c r="N43" t="s">
        <v>188</v>
      </c>
      <c r="O43" t="s">
        <v>189</v>
      </c>
      <c r="P43" t="str">
        <f>"3020613542"</f>
        <v>3020613542</v>
      </c>
      <c r="R43" t="str">
        <f>"00030206135428"</f>
        <v>00030206135428</v>
      </c>
      <c r="S43" s="1">
        <v>37950</v>
      </c>
      <c r="T43" s="1">
        <v>37929</v>
      </c>
      <c r="U43" t="str">
        <f>"3020613542"</f>
        <v>3020613542</v>
      </c>
      <c r="V43" t="str">
        <f>"1510"</f>
        <v>1510</v>
      </c>
      <c r="W43" t="str">
        <f t="shared" si="3"/>
        <v>11</v>
      </c>
      <c r="X43" t="s">
        <v>75</v>
      </c>
      <c r="Y43" t="s">
        <v>76</v>
      </c>
      <c r="Z43" t="s">
        <v>105</v>
      </c>
      <c r="AA43" t="s">
        <v>106</v>
      </c>
      <c r="AB43" t="s">
        <v>79</v>
      </c>
      <c r="AD43" t="s">
        <v>80</v>
      </c>
      <c r="AE43" t="s">
        <v>81</v>
      </c>
      <c r="AF43" t="s">
        <v>82</v>
      </c>
      <c r="AG43" t="s">
        <v>83</v>
      </c>
      <c r="AH43" t="s">
        <v>84</v>
      </c>
      <c r="AI43" t="str">
        <f t="shared" si="8"/>
        <v>01</v>
      </c>
      <c r="AJ43" t="str">
        <f t="shared" si="7"/>
        <v>1</v>
      </c>
      <c r="AK43" t="s">
        <v>107</v>
      </c>
      <c r="AL43" t="s">
        <v>94</v>
      </c>
      <c r="AM43" t="s">
        <v>95</v>
      </c>
      <c r="AN43" t="str">
        <f t="shared" si="6"/>
        <v>.9700</v>
      </c>
      <c r="AO43" t="str">
        <f>"10.78"</f>
        <v>10.78</v>
      </c>
      <c r="AP43" t="s">
        <v>108</v>
      </c>
      <c r="AQ43" t="str">
        <f>"10.78"</f>
        <v>10.78</v>
      </c>
      <c r="AR43">
        <v>97</v>
      </c>
      <c r="AS43">
        <v>-1</v>
      </c>
      <c r="AT43">
        <v>96</v>
      </c>
      <c r="AU43">
        <v>1046.94</v>
      </c>
      <c r="AV43">
        <v>106.94</v>
      </c>
      <c r="AW43">
        <v>940</v>
      </c>
      <c r="AX43">
        <v>-10.18</v>
      </c>
      <c r="AY43">
        <v>929.82</v>
      </c>
      <c r="AZ43">
        <v>0</v>
      </c>
    </row>
    <row r="44" spans="1:52">
      <c r="A44" t="s">
        <v>65</v>
      </c>
      <c r="B44" t="s">
        <v>66</v>
      </c>
      <c r="C44" t="s">
        <v>67</v>
      </c>
      <c r="D44" t="s">
        <v>68</v>
      </c>
      <c r="E44" t="s">
        <v>69</v>
      </c>
      <c r="F44" t="s">
        <v>70</v>
      </c>
      <c r="G44" t="s">
        <v>71</v>
      </c>
      <c r="H44" t="s">
        <v>70</v>
      </c>
      <c r="I44" t="str">
        <f t="shared" si="0"/>
        <v>1010</v>
      </c>
      <c r="J44" t="str">
        <f t="shared" si="1"/>
        <v>05</v>
      </c>
      <c r="K44" t="s">
        <v>68</v>
      </c>
      <c r="L44" t="s">
        <v>72</v>
      </c>
      <c r="M44" t="s">
        <v>68</v>
      </c>
      <c r="N44" t="s">
        <v>190</v>
      </c>
      <c r="O44" t="s">
        <v>191</v>
      </c>
      <c r="P44" t="str">
        <f>"3020620112"</f>
        <v>3020620112</v>
      </c>
      <c r="R44" t="str">
        <f>"00030206201123"</f>
        <v>00030206201123</v>
      </c>
      <c r="S44" s="1">
        <v>41814</v>
      </c>
      <c r="T44" s="1">
        <v>41814</v>
      </c>
      <c r="U44" t="str">
        <f>"3020620112"</f>
        <v>3020620112</v>
      </c>
      <c r="V44" t="str">
        <f>"1010"</f>
        <v>1010</v>
      </c>
      <c r="W44" t="str">
        <f t="shared" si="3"/>
        <v>11</v>
      </c>
      <c r="X44" t="s">
        <v>80</v>
      </c>
      <c r="Y44" t="s">
        <v>139</v>
      </c>
      <c r="Z44" t="s">
        <v>105</v>
      </c>
      <c r="AA44" t="s">
        <v>106</v>
      </c>
      <c r="AB44" t="s">
        <v>79</v>
      </c>
      <c r="AD44" t="s">
        <v>80</v>
      </c>
      <c r="AE44" t="s">
        <v>81</v>
      </c>
      <c r="AF44" t="s">
        <v>82</v>
      </c>
      <c r="AG44" t="s">
        <v>83</v>
      </c>
      <c r="AH44" t="s">
        <v>84</v>
      </c>
      <c r="AI44" t="str">
        <f t="shared" si="8"/>
        <v>01</v>
      </c>
      <c r="AJ44" t="str">
        <f t="shared" si="7"/>
        <v>1</v>
      </c>
      <c r="AK44" t="s">
        <v>114</v>
      </c>
      <c r="AL44" t="s">
        <v>86</v>
      </c>
      <c r="AM44" t="s">
        <v>87</v>
      </c>
      <c r="AO44" t="str">
        <f>"7.00"</f>
        <v>7.00</v>
      </c>
      <c r="AP44" t="s">
        <v>115</v>
      </c>
      <c r="AQ44" t="str">
        <f>"7.00"</f>
        <v>7.00</v>
      </c>
      <c r="AR44">
        <v>147</v>
      </c>
      <c r="AS44">
        <v>0</v>
      </c>
      <c r="AT44">
        <v>147</v>
      </c>
      <c r="AU44">
        <v>1029</v>
      </c>
      <c r="AV44">
        <v>154.35</v>
      </c>
      <c r="AW44">
        <v>874.65</v>
      </c>
      <c r="AX44">
        <v>0</v>
      </c>
      <c r="AY44">
        <v>874.65</v>
      </c>
      <c r="AZ44">
        <v>0</v>
      </c>
    </row>
    <row r="45" spans="1:52">
      <c r="A45" t="s">
        <v>65</v>
      </c>
      <c r="B45" t="s">
        <v>66</v>
      </c>
      <c r="C45" t="s">
        <v>67</v>
      </c>
      <c r="D45" t="s">
        <v>68</v>
      </c>
      <c r="E45" t="s">
        <v>69</v>
      </c>
      <c r="F45" t="s">
        <v>70</v>
      </c>
      <c r="G45" t="s">
        <v>71</v>
      </c>
      <c r="H45" t="s">
        <v>70</v>
      </c>
      <c r="I45" t="str">
        <f t="shared" si="0"/>
        <v>1010</v>
      </c>
      <c r="J45" t="str">
        <f t="shared" si="1"/>
        <v>05</v>
      </c>
      <c r="K45" t="s">
        <v>68</v>
      </c>
      <c r="L45" t="s">
        <v>72</v>
      </c>
      <c r="M45" t="s">
        <v>68</v>
      </c>
      <c r="N45" t="s">
        <v>192</v>
      </c>
      <c r="O45" t="s">
        <v>193</v>
      </c>
      <c r="P45" t="str">
        <f>"3020620102"</f>
        <v>3020620102</v>
      </c>
      <c r="R45" t="str">
        <f>"00030206201024"</f>
        <v>00030206201024</v>
      </c>
      <c r="S45" s="1">
        <v>41814</v>
      </c>
      <c r="T45" s="1">
        <v>41814</v>
      </c>
      <c r="U45" t="str">
        <f>"3020620102"</f>
        <v>3020620102</v>
      </c>
      <c r="V45" t="str">
        <f>"1010"</f>
        <v>1010</v>
      </c>
      <c r="W45" t="str">
        <f t="shared" si="3"/>
        <v>11</v>
      </c>
      <c r="X45" t="s">
        <v>80</v>
      </c>
      <c r="Y45" t="s">
        <v>139</v>
      </c>
      <c r="Z45" t="s">
        <v>105</v>
      </c>
      <c r="AA45" t="s">
        <v>106</v>
      </c>
      <c r="AB45" t="s">
        <v>79</v>
      </c>
      <c r="AD45" t="s">
        <v>80</v>
      </c>
      <c r="AE45" t="s">
        <v>81</v>
      </c>
      <c r="AF45" t="s">
        <v>82</v>
      </c>
      <c r="AG45" t="s">
        <v>83</v>
      </c>
      <c r="AH45" t="s">
        <v>84</v>
      </c>
      <c r="AI45" t="str">
        <f t="shared" si="8"/>
        <v>01</v>
      </c>
      <c r="AJ45" t="str">
        <f t="shared" si="7"/>
        <v>1</v>
      </c>
      <c r="AK45" t="s">
        <v>194</v>
      </c>
      <c r="AL45" t="s">
        <v>94</v>
      </c>
      <c r="AM45" t="s">
        <v>95</v>
      </c>
      <c r="AO45" t="str">
        <f>"9.75"</f>
        <v>9.75</v>
      </c>
      <c r="AP45" t="s">
        <v>195</v>
      </c>
      <c r="AQ45" t="str">
        <f>"9.75"</f>
        <v>9.75</v>
      </c>
      <c r="AR45">
        <v>186</v>
      </c>
      <c r="AS45">
        <v>0</v>
      </c>
      <c r="AT45">
        <v>186</v>
      </c>
      <c r="AU45">
        <v>1814.04</v>
      </c>
      <c r="AV45">
        <v>272.10000000000002</v>
      </c>
      <c r="AW45">
        <v>1541.94</v>
      </c>
      <c r="AX45">
        <v>0</v>
      </c>
      <c r="AY45">
        <v>1541.94</v>
      </c>
      <c r="AZ45">
        <v>0</v>
      </c>
    </row>
    <row r="46" spans="1:52">
      <c r="A46" t="s">
        <v>65</v>
      </c>
      <c r="B46" t="s">
        <v>66</v>
      </c>
      <c r="C46" t="s">
        <v>67</v>
      </c>
      <c r="D46" t="s">
        <v>68</v>
      </c>
      <c r="E46" t="s">
        <v>69</v>
      </c>
      <c r="F46" t="s">
        <v>70</v>
      </c>
      <c r="G46" t="s">
        <v>71</v>
      </c>
      <c r="H46" t="s">
        <v>70</v>
      </c>
      <c r="I46" t="str">
        <f t="shared" si="0"/>
        <v>1010</v>
      </c>
      <c r="J46" t="str">
        <f t="shared" si="1"/>
        <v>05</v>
      </c>
      <c r="K46" t="s">
        <v>68</v>
      </c>
      <c r="L46" t="s">
        <v>72</v>
      </c>
      <c r="M46" t="s">
        <v>68</v>
      </c>
      <c r="N46" t="s">
        <v>196</v>
      </c>
      <c r="O46" t="s">
        <v>197</v>
      </c>
      <c r="P46" t="str">
        <f>"3020665942"</f>
        <v>3020665942</v>
      </c>
      <c r="R46" t="str">
        <f>"00030206659429"</f>
        <v>00030206659429</v>
      </c>
      <c r="S46" s="1">
        <v>38251</v>
      </c>
      <c r="T46" s="1">
        <v>38251</v>
      </c>
      <c r="U46" t="str">
        <f>"3020665942"</f>
        <v>3020665942</v>
      </c>
      <c r="V46" t="str">
        <f>"1510"</f>
        <v>1510</v>
      </c>
      <c r="W46" t="str">
        <f t="shared" si="3"/>
        <v>11</v>
      </c>
      <c r="X46" t="s">
        <v>75</v>
      </c>
      <c r="Y46" t="s">
        <v>76</v>
      </c>
      <c r="Z46" t="s">
        <v>110</v>
      </c>
      <c r="AA46" t="s">
        <v>111</v>
      </c>
      <c r="AB46" t="s">
        <v>79</v>
      </c>
      <c r="AD46" t="s">
        <v>80</v>
      </c>
      <c r="AE46" t="s">
        <v>81</v>
      </c>
      <c r="AF46" t="s">
        <v>82</v>
      </c>
      <c r="AG46" t="s">
        <v>83</v>
      </c>
      <c r="AH46" t="s">
        <v>84</v>
      </c>
      <c r="AI46" t="str">
        <f t="shared" si="8"/>
        <v>01</v>
      </c>
      <c r="AJ46" t="str">
        <f t="shared" si="7"/>
        <v>1</v>
      </c>
      <c r="AK46" t="s">
        <v>198</v>
      </c>
      <c r="AL46" t="s">
        <v>162</v>
      </c>
      <c r="AM46" t="s">
        <v>87</v>
      </c>
      <c r="AN46" t="str">
        <f t="shared" ref="AN46:AN66" si="9">".9700"</f>
        <v>.9700</v>
      </c>
      <c r="AO46" t="str">
        <f>"4.40"</f>
        <v>4.40</v>
      </c>
      <c r="AP46" t="s">
        <v>199</v>
      </c>
      <c r="AQ46" t="str">
        <f>"4.40"</f>
        <v>4.40</v>
      </c>
      <c r="AR46">
        <v>0</v>
      </c>
      <c r="AS46">
        <v>-3</v>
      </c>
      <c r="AT46">
        <v>-3</v>
      </c>
      <c r="AU46">
        <v>0</v>
      </c>
      <c r="AV46">
        <v>0</v>
      </c>
      <c r="AW46">
        <v>0</v>
      </c>
      <c r="AX46">
        <v>-16.59</v>
      </c>
      <c r="AY46">
        <v>-16.59</v>
      </c>
      <c r="AZ46">
        <v>0</v>
      </c>
    </row>
    <row r="47" spans="1:52">
      <c r="A47" t="s">
        <v>65</v>
      </c>
      <c r="B47" t="s">
        <v>66</v>
      </c>
      <c r="C47" t="s">
        <v>67</v>
      </c>
      <c r="D47" t="s">
        <v>68</v>
      </c>
      <c r="E47" t="s">
        <v>69</v>
      </c>
      <c r="F47" t="s">
        <v>70</v>
      </c>
      <c r="G47" t="s">
        <v>71</v>
      </c>
      <c r="H47" t="s">
        <v>70</v>
      </c>
      <c r="I47" t="str">
        <f t="shared" si="0"/>
        <v>1010</v>
      </c>
      <c r="J47" t="str">
        <f t="shared" si="1"/>
        <v>05</v>
      </c>
      <c r="K47" t="s">
        <v>68</v>
      </c>
      <c r="L47" t="s">
        <v>72</v>
      </c>
      <c r="M47" t="s">
        <v>68</v>
      </c>
      <c r="N47" t="s">
        <v>200</v>
      </c>
      <c r="O47" t="s">
        <v>104</v>
      </c>
      <c r="P47" t="str">
        <f>"3020618702"</f>
        <v>3020618702</v>
      </c>
      <c r="R47" t="str">
        <f>"00030206187021"</f>
        <v>00030206187021</v>
      </c>
      <c r="S47" s="1">
        <v>40589</v>
      </c>
      <c r="T47" s="1">
        <v>40589</v>
      </c>
      <c r="U47" t="str">
        <f>"3020618702"</f>
        <v>3020618702</v>
      </c>
      <c r="V47" t="str">
        <f>"1510"</f>
        <v>1510</v>
      </c>
      <c r="W47" t="str">
        <f t="shared" si="3"/>
        <v>11</v>
      </c>
      <c r="X47" t="s">
        <v>75</v>
      </c>
      <c r="Y47" t="s">
        <v>76</v>
      </c>
      <c r="Z47" t="s">
        <v>105</v>
      </c>
      <c r="AA47" t="s">
        <v>106</v>
      </c>
      <c r="AB47" t="s">
        <v>79</v>
      </c>
      <c r="AD47" t="s">
        <v>80</v>
      </c>
      <c r="AE47" t="s">
        <v>81</v>
      </c>
      <c r="AF47" t="s">
        <v>82</v>
      </c>
      <c r="AG47" t="s">
        <v>83</v>
      </c>
      <c r="AH47" t="s">
        <v>84</v>
      </c>
      <c r="AI47" t="str">
        <f t="shared" si="8"/>
        <v>01</v>
      </c>
      <c r="AJ47" t="str">
        <f t="shared" si="7"/>
        <v>1</v>
      </c>
      <c r="AK47" t="s">
        <v>194</v>
      </c>
      <c r="AL47" t="s">
        <v>94</v>
      </c>
      <c r="AM47" t="s">
        <v>95</v>
      </c>
      <c r="AN47" t="str">
        <f t="shared" si="9"/>
        <v>.9700</v>
      </c>
      <c r="AO47" t="str">
        <f>"9.75"</f>
        <v>9.75</v>
      </c>
      <c r="AP47" t="s">
        <v>195</v>
      </c>
      <c r="AQ47" t="str">
        <f>"9.75"</f>
        <v>9.75</v>
      </c>
      <c r="AR47">
        <v>37</v>
      </c>
      <c r="AS47">
        <v>-1</v>
      </c>
      <c r="AT47">
        <v>36</v>
      </c>
      <c r="AU47">
        <v>359.28</v>
      </c>
      <c r="AV47">
        <v>37.19</v>
      </c>
      <c r="AW47">
        <v>322.08999999999997</v>
      </c>
      <c r="AX47">
        <v>-8.59</v>
      </c>
      <c r="AY47">
        <v>313.5</v>
      </c>
      <c r="AZ47">
        <v>0</v>
      </c>
    </row>
    <row r="48" spans="1:52">
      <c r="A48" t="s">
        <v>65</v>
      </c>
      <c r="B48" t="s">
        <v>66</v>
      </c>
      <c r="C48" t="s">
        <v>67</v>
      </c>
      <c r="D48" t="s">
        <v>68</v>
      </c>
      <c r="E48" t="s">
        <v>69</v>
      </c>
      <c r="F48" t="s">
        <v>70</v>
      </c>
      <c r="G48" t="s">
        <v>71</v>
      </c>
      <c r="H48" t="s">
        <v>70</v>
      </c>
      <c r="I48" t="str">
        <f t="shared" si="0"/>
        <v>1010</v>
      </c>
      <c r="J48" t="str">
        <f t="shared" si="1"/>
        <v>05</v>
      </c>
      <c r="K48" t="s">
        <v>68</v>
      </c>
      <c r="L48" t="s">
        <v>72</v>
      </c>
      <c r="M48" t="s">
        <v>68</v>
      </c>
      <c r="N48" t="s">
        <v>201</v>
      </c>
      <c r="O48" t="s">
        <v>202</v>
      </c>
      <c r="P48" t="str">
        <f>"3020619712"</f>
        <v>3020619712</v>
      </c>
      <c r="R48" t="str">
        <f>"00030206197129"</f>
        <v>00030206197129</v>
      </c>
      <c r="S48" s="1">
        <v>41534</v>
      </c>
      <c r="T48" s="1">
        <v>41534</v>
      </c>
      <c r="U48" t="str">
        <f>"3020619712"</f>
        <v>3020619712</v>
      </c>
      <c r="V48" t="str">
        <f>"1010"</f>
        <v>1010</v>
      </c>
      <c r="W48" t="str">
        <f t="shared" si="3"/>
        <v>11</v>
      </c>
      <c r="X48" t="s">
        <v>75</v>
      </c>
      <c r="Y48" t="s">
        <v>173</v>
      </c>
      <c r="Z48" t="s">
        <v>105</v>
      </c>
      <c r="AA48" t="s">
        <v>106</v>
      </c>
      <c r="AB48" t="s">
        <v>79</v>
      </c>
      <c r="AD48" t="s">
        <v>80</v>
      </c>
      <c r="AE48" t="s">
        <v>81</v>
      </c>
      <c r="AF48" t="s">
        <v>82</v>
      </c>
      <c r="AG48" t="s">
        <v>83</v>
      </c>
      <c r="AH48" t="s">
        <v>84</v>
      </c>
      <c r="AI48" t="str">
        <f t="shared" si="8"/>
        <v>01</v>
      </c>
      <c r="AJ48" t="str">
        <f t="shared" si="7"/>
        <v>1</v>
      </c>
      <c r="AK48" t="s">
        <v>114</v>
      </c>
      <c r="AL48" t="s">
        <v>86</v>
      </c>
      <c r="AM48" t="s">
        <v>87</v>
      </c>
      <c r="AN48" t="str">
        <f t="shared" si="9"/>
        <v>.9700</v>
      </c>
      <c r="AO48" t="str">
        <f>"7.00"</f>
        <v>7.00</v>
      </c>
      <c r="AP48" t="s">
        <v>115</v>
      </c>
      <c r="AQ48" t="str">
        <f>"7.00"</f>
        <v>7.00</v>
      </c>
      <c r="AR48">
        <v>64</v>
      </c>
      <c r="AS48">
        <v>-6</v>
      </c>
      <c r="AT48">
        <v>58</v>
      </c>
      <c r="AU48">
        <v>448</v>
      </c>
      <c r="AV48">
        <v>32.9</v>
      </c>
      <c r="AW48">
        <v>415.1</v>
      </c>
      <c r="AX48">
        <v>-34.68</v>
      </c>
      <c r="AY48">
        <v>380.42</v>
      </c>
      <c r="AZ48">
        <v>0</v>
      </c>
    </row>
    <row r="49" spans="1:52">
      <c r="A49" t="s">
        <v>65</v>
      </c>
      <c r="B49" t="s">
        <v>66</v>
      </c>
      <c r="C49" t="s">
        <v>67</v>
      </c>
      <c r="D49" t="s">
        <v>68</v>
      </c>
      <c r="E49" t="s">
        <v>69</v>
      </c>
      <c r="F49" t="s">
        <v>70</v>
      </c>
      <c r="G49" t="s">
        <v>71</v>
      </c>
      <c r="H49" t="s">
        <v>70</v>
      </c>
      <c r="I49" t="str">
        <f t="shared" si="0"/>
        <v>1010</v>
      </c>
      <c r="J49" t="str">
        <f t="shared" si="1"/>
        <v>05</v>
      </c>
      <c r="K49" t="s">
        <v>68</v>
      </c>
      <c r="L49" t="s">
        <v>72</v>
      </c>
      <c r="M49" t="s">
        <v>68</v>
      </c>
      <c r="N49" t="s">
        <v>203</v>
      </c>
      <c r="O49" t="s">
        <v>204</v>
      </c>
      <c r="P49" t="str">
        <f>"3020667502"</f>
        <v>3020667502</v>
      </c>
      <c r="R49" t="str">
        <f>"00030206675023"</f>
        <v>00030206675023</v>
      </c>
      <c r="S49" s="1">
        <v>38958</v>
      </c>
      <c r="T49" s="1">
        <v>38958</v>
      </c>
      <c r="U49" t="str">
        <f>"3020667502"</f>
        <v>3020667502</v>
      </c>
      <c r="V49" t="str">
        <f t="shared" ref="V49:V55" si="10">"1510"</f>
        <v>1510</v>
      </c>
      <c r="W49" t="str">
        <f t="shared" si="3"/>
        <v>11</v>
      </c>
      <c r="X49" t="s">
        <v>75</v>
      </c>
      <c r="Y49" t="s">
        <v>76</v>
      </c>
      <c r="Z49" t="s">
        <v>126</v>
      </c>
      <c r="AA49" t="s">
        <v>127</v>
      </c>
      <c r="AB49" t="s">
        <v>79</v>
      </c>
      <c r="AD49" t="s">
        <v>80</v>
      </c>
      <c r="AE49" t="s">
        <v>81</v>
      </c>
      <c r="AF49" t="s">
        <v>82</v>
      </c>
      <c r="AG49" t="s">
        <v>83</v>
      </c>
      <c r="AH49" t="s">
        <v>84</v>
      </c>
      <c r="AI49" t="str">
        <f t="shared" si="8"/>
        <v>01</v>
      </c>
      <c r="AJ49" t="str">
        <f t="shared" si="7"/>
        <v>1</v>
      </c>
      <c r="AK49" t="s">
        <v>101</v>
      </c>
      <c r="AL49" t="s">
        <v>94</v>
      </c>
      <c r="AM49" t="s">
        <v>95</v>
      </c>
      <c r="AN49" t="str">
        <f t="shared" si="9"/>
        <v>.9700</v>
      </c>
      <c r="AO49" t="str">
        <f>"9.07"</f>
        <v>9.07</v>
      </c>
      <c r="AP49" t="s">
        <v>102</v>
      </c>
      <c r="AQ49" t="str">
        <f>"9.07"</f>
        <v>9.07</v>
      </c>
      <c r="AR49">
        <v>21</v>
      </c>
      <c r="AS49">
        <v>0</v>
      </c>
      <c r="AT49">
        <v>21</v>
      </c>
      <c r="AU49">
        <v>190.43</v>
      </c>
      <c r="AV49">
        <v>22.85</v>
      </c>
      <c r="AW49">
        <v>167.58</v>
      </c>
      <c r="AX49">
        <v>0</v>
      </c>
      <c r="AY49">
        <v>167.58</v>
      </c>
      <c r="AZ49">
        <v>0</v>
      </c>
    </row>
    <row r="50" spans="1:52">
      <c r="A50" t="s">
        <v>65</v>
      </c>
      <c r="B50" t="s">
        <v>66</v>
      </c>
      <c r="C50" t="s">
        <v>67</v>
      </c>
      <c r="D50" t="s">
        <v>68</v>
      </c>
      <c r="E50" t="s">
        <v>69</v>
      </c>
      <c r="F50" t="s">
        <v>70</v>
      </c>
      <c r="G50" t="s">
        <v>71</v>
      </c>
      <c r="H50" t="s">
        <v>70</v>
      </c>
      <c r="I50" t="str">
        <f t="shared" si="0"/>
        <v>1010</v>
      </c>
      <c r="J50" t="str">
        <f t="shared" si="1"/>
        <v>05</v>
      </c>
      <c r="K50" t="s">
        <v>68</v>
      </c>
      <c r="L50" t="s">
        <v>72</v>
      </c>
      <c r="M50" t="s">
        <v>68</v>
      </c>
      <c r="N50" t="s">
        <v>205</v>
      </c>
      <c r="O50" t="s">
        <v>206</v>
      </c>
      <c r="P50" t="str">
        <f>"3020619262"</f>
        <v>3020619262</v>
      </c>
      <c r="R50" t="str">
        <f>"00030206192629"</f>
        <v>00030206192629</v>
      </c>
      <c r="S50" s="1">
        <v>41135</v>
      </c>
      <c r="T50" s="1">
        <v>41135</v>
      </c>
      <c r="U50" t="str">
        <f>"3020619262"</f>
        <v>3020619262</v>
      </c>
      <c r="V50" t="str">
        <f t="shared" si="10"/>
        <v>1510</v>
      </c>
      <c r="W50" t="str">
        <f t="shared" si="3"/>
        <v>11</v>
      </c>
      <c r="X50" t="s">
        <v>75</v>
      </c>
      <c r="Y50" t="s">
        <v>76</v>
      </c>
      <c r="Z50" t="s">
        <v>77</v>
      </c>
      <c r="AA50" t="s">
        <v>78</v>
      </c>
      <c r="AB50" t="s">
        <v>79</v>
      </c>
      <c r="AD50" t="s">
        <v>80</v>
      </c>
      <c r="AE50" t="s">
        <v>81</v>
      </c>
      <c r="AF50" t="s">
        <v>82</v>
      </c>
      <c r="AG50" t="s">
        <v>83</v>
      </c>
      <c r="AH50" t="s">
        <v>84</v>
      </c>
      <c r="AI50" t="str">
        <f t="shared" si="8"/>
        <v>01</v>
      </c>
      <c r="AJ50" t="str">
        <f t="shared" si="7"/>
        <v>1</v>
      </c>
      <c r="AK50" t="s">
        <v>207</v>
      </c>
      <c r="AL50" t="s">
        <v>162</v>
      </c>
      <c r="AM50" t="s">
        <v>208</v>
      </c>
      <c r="AN50" t="str">
        <f t="shared" si="9"/>
        <v>.9700</v>
      </c>
      <c r="AO50" t="str">
        <f>"5.99"</f>
        <v>5.99</v>
      </c>
      <c r="AP50" t="s">
        <v>209</v>
      </c>
      <c r="AQ50" t="str">
        <f>"5.99"</f>
        <v>5.99</v>
      </c>
      <c r="AR50">
        <v>4</v>
      </c>
      <c r="AS50">
        <v>0</v>
      </c>
      <c r="AT50">
        <v>4</v>
      </c>
      <c r="AU50">
        <v>23.96</v>
      </c>
      <c r="AV50">
        <v>0</v>
      </c>
      <c r="AW50">
        <v>23.96</v>
      </c>
      <c r="AX50">
        <v>0</v>
      </c>
      <c r="AY50">
        <v>23.96</v>
      </c>
      <c r="AZ50">
        <v>0</v>
      </c>
    </row>
    <row r="51" spans="1:52">
      <c r="A51" t="s">
        <v>65</v>
      </c>
      <c r="B51" t="s">
        <v>66</v>
      </c>
      <c r="C51" t="s">
        <v>67</v>
      </c>
      <c r="D51" t="s">
        <v>68</v>
      </c>
      <c r="E51" t="s">
        <v>69</v>
      </c>
      <c r="F51" t="s">
        <v>70</v>
      </c>
      <c r="G51" t="s">
        <v>71</v>
      </c>
      <c r="H51" t="s">
        <v>70</v>
      </c>
      <c r="I51" t="str">
        <f t="shared" si="0"/>
        <v>1010</v>
      </c>
      <c r="J51" t="str">
        <f t="shared" si="1"/>
        <v>05</v>
      </c>
      <c r="K51" t="s">
        <v>68</v>
      </c>
      <c r="L51" t="s">
        <v>72</v>
      </c>
      <c r="M51" t="s">
        <v>68</v>
      </c>
      <c r="N51" t="s">
        <v>210</v>
      </c>
      <c r="O51" t="s">
        <v>211</v>
      </c>
      <c r="P51" t="str">
        <f>"3020619912"</f>
        <v>3020619912</v>
      </c>
      <c r="R51" t="str">
        <f>"00030206199123"</f>
        <v>00030206199123</v>
      </c>
      <c r="S51" s="1">
        <v>40764</v>
      </c>
      <c r="T51" s="1">
        <v>40750</v>
      </c>
      <c r="U51" t="str">
        <f>"3020619912"</f>
        <v>3020619912</v>
      </c>
      <c r="V51" t="str">
        <f t="shared" si="10"/>
        <v>1510</v>
      </c>
      <c r="W51" t="str">
        <f t="shared" si="3"/>
        <v>11</v>
      </c>
      <c r="X51" t="s">
        <v>75</v>
      </c>
      <c r="Y51" t="s">
        <v>76</v>
      </c>
      <c r="Z51" t="s">
        <v>91</v>
      </c>
      <c r="AA51" t="s">
        <v>92</v>
      </c>
      <c r="AB51" t="s">
        <v>79</v>
      </c>
      <c r="AD51" t="s">
        <v>80</v>
      </c>
      <c r="AE51" t="s">
        <v>81</v>
      </c>
      <c r="AF51" t="s">
        <v>82</v>
      </c>
      <c r="AG51" t="s">
        <v>83</v>
      </c>
      <c r="AH51" t="s">
        <v>84</v>
      </c>
      <c r="AI51" t="str">
        <f t="shared" si="8"/>
        <v>01</v>
      </c>
      <c r="AJ51" t="str">
        <f t="shared" si="7"/>
        <v>1</v>
      </c>
      <c r="AK51" t="s">
        <v>85</v>
      </c>
      <c r="AL51" t="s">
        <v>86</v>
      </c>
      <c r="AM51" t="s">
        <v>87</v>
      </c>
      <c r="AN51" t="str">
        <f t="shared" si="9"/>
        <v>.9700</v>
      </c>
      <c r="AO51" t="str">
        <f>"7.50"</f>
        <v>7.50</v>
      </c>
      <c r="AP51" t="s">
        <v>88</v>
      </c>
      <c r="AQ51" t="str">
        <f>"7.50"</f>
        <v>7.50</v>
      </c>
      <c r="AR51">
        <v>2</v>
      </c>
      <c r="AS51">
        <v>-1</v>
      </c>
      <c r="AT51">
        <v>1</v>
      </c>
      <c r="AU51">
        <v>15</v>
      </c>
      <c r="AV51">
        <v>1.5</v>
      </c>
      <c r="AW51">
        <v>13.5</v>
      </c>
      <c r="AX51">
        <v>-6.5</v>
      </c>
      <c r="AY51">
        <v>7</v>
      </c>
      <c r="AZ51">
        <v>0</v>
      </c>
    </row>
    <row r="52" spans="1:52">
      <c r="A52" t="s">
        <v>65</v>
      </c>
      <c r="B52" t="s">
        <v>66</v>
      </c>
      <c r="C52" t="s">
        <v>67</v>
      </c>
      <c r="D52" t="s">
        <v>68</v>
      </c>
      <c r="E52" t="s">
        <v>69</v>
      </c>
      <c r="F52" t="s">
        <v>70</v>
      </c>
      <c r="G52" t="s">
        <v>71</v>
      </c>
      <c r="H52" t="s">
        <v>70</v>
      </c>
      <c r="I52" t="str">
        <f t="shared" si="0"/>
        <v>1010</v>
      </c>
      <c r="J52" t="str">
        <f t="shared" si="1"/>
        <v>05</v>
      </c>
      <c r="K52" t="s">
        <v>68</v>
      </c>
      <c r="L52" t="s">
        <v>72</v>
      </c>
      <c r="M52" t="s">
        <v>68</v>
      </c>
      <c r="N52" t="s">
        <v>212</v>
      </c>
      <c r="O52" t="s">
        <v>213</v>
      </c>
      <c r="P52" t="str">
        <f>"3020618342"</f>
        <v>3020618342</v>
      </c>
      <c r="R52" t="str">
        <f>"00030206183429"</f>
        <v>00030206183429</v>
      </c>
      <c r="S52" s="1">
        <v>40344</v>
      </c>
      <c r="T52" s="1">
        <v>40344</v>
      </c>
      <c r="U52" t="str">
        <f>"3020618342"</f>
        <v>3020618342</v>
      </c>
      <c r="V52" t="str">
        <f t="shared" si="10"/>
        <v>1510</v>
      </c>
      <c r="W52" t="str">
        <f t="shared" si="3"/>
        <v>11</v>
      </c>
      <c r="X52" t="s">
        <v>75</v>
      </c>
      <c r="Y52" t="s">
        <v>76</v>
      </c>
      <c r="Z52" t="s">
        <v>105</v>
      </c>
      <c r="AA52" t="s">
        <v>106</v>
      </c>
      <c r="AB52" t="s">
        <v>79</v>
      </c>
      <c r="AD52" t="s">
        <v>80</v>
      </c>
      <c r="AE52" t="s">
        <v>81</v>
      </c>
      <c r="AF52" t="s">
        <v>82</v>
      </c>
      <c r="AG52" t="s">
        <v>83</v>
      </c>
      <c r="AH52" t="s">
        <v>84</v>
      </c>
      <c r="AI52" t="str">
        <f t="shared" si="8"/>
        <v>01</v>
      </c>
      <c r="AJ52" t="str">
        <f t="shared" si="7"/>
        <v>1</v>
      </c>
      <c r="AK52" t="s">
        <v>85</v>
      </c>
      <c r="AL52" t="s">
        <v>86</v>
      </c>
      <c r="AM52" t="s">
        <v>87</v>
      </c>
      <c r="AN52" t="str">
        <f t="shared" si="9"/>
        <v>.9700</v>
      </c>
      <c r="AO52" t="str">
        <f>"7.50"</f>
        <v>7.50</v>
      </c>
      <c r="AP52" t="s">
        <v>88</v>
      </c>
      <c r="AQ52" t="str">
        <f>"7.50"</f>
        <v>7.50</v>
      </c>
      <c r="AR52">
        <v>3</v>
      </c>
      <c r="AS52">
        <v>0</v>
      </c>
      <c r="AT52">
        <v>3</v>
      </c>
      <c r="AU52">
        <v>22.5</v>
      </c>
      <c r="AV52">
        <v>1.5</v>
      </c>
      <c r="AW52">
        <v>21</v>
      </c>
      <c r="AX52">
        <v>0</v>
      </c>
      <c r="AY52">
        <v>21</v>
      </c>
      <c r="AZ52">
        <v>0</v>
      </c>
    </row>
    <row r="53" spans="1:52">
      <c r="A53" t="s">
        <v>65</v>
      </c>
      <c r="B53" t="s">
        <v>66</v>
      </c>
      <c r="C53" t="s">
        <v>67</v>
      </c>
      <c r="D53" t="s">
        <v>68</v>
      </c>
      <c r="E53" t="s">
        <v>69</v>
      </c>
      <c r="F53" t="s">
        <v>70</v>
      </c>
      <c r="G53" t="s">
        <v>71</v>
      </c>
      <c r="H53" t="s">
        <v>70</v>
      </c>
      <c r="I53" t="str">
        <f t="shared" si="0"/>
        <v>1010</v>
      </c>
      <c r="J53" t="str">
        <f t="shared" si="1"/>
        <v>05</v>
      </c>
      <c r="K53" t="s">
        <v>68</v>
      </c>
      <c r="L53" t="s">
        <v>72</v>
      </c>
      <c r="M53" t="s">
        <v>68</v>
      </c>
      <c r="N53" t="s">
        <v>214</v>
      </c>
      <c r="O53" t="s">
        <v>215</v>
      </c>
      <c r="P53" t="str">
        <f>"3020617992"</f>
        <v>3020617992</v>
      </c>
      <c r="R53" t="str">
        <f>"00030206179927"</f>
        <v>00030206179927</v>
      </c>
      <c r="S53" s="1">
        <v>40127</v>
      </c>
      <c r="T53" s="1">
        <v>40127</v>
      </c>
      <c r="U53" t="str">
        <f>"3020617992"</f>
        <v>3020617992</v>
      </c>
      <c r="V53" t="str">
        <f t="shared" si="10"/>
        <v>1510</v>
      </c>
      <c r="W53" t="str">
        <f t="shared" si="3"/>
        <v>11</v>
      </c>
      <c r="X53" t="s">
        <v>75</v>
      </c>
      <c r="Y53" t="s">
        <v>76</v>
      </c>
      <c r="Z53" t="s">
        <v>91</v>
      </c>
      <c r="AA53" t="s">
        <v>92</v>
      </c>
      <c r="AB53" t="s">
        <v>79</v>
      </c>
      <c r="AD53" t="s">
        <v>80</v>
      </c>
      <c r="AE53" t="s">
        <v>81</v>
      </c>
      <c r="AF53" t="s">
        <v>82</v>
      </c>
      <c r="AG53" t="s">
        <v>83</v>
      </c>
      <c r="AH53" t="s">
        <v>84</v>
      </c>
      <c r="AI53" t="str">
        <f t="shared" si="8"/>
        <v>01</v>
      </c>
      <c r="AJ53" t="str">
        <f t="shared" si="7"/>
        <v>1</v>
      </c>
      <c r="AK53" t="s">
        <v>85</v>
      </c>
      <c r="AL53" t="s">
        <v>94</v>
      </c>
      <c r="AM53" t="s">
        <v>87</v>
      </c>
      <c r="AN53" t="str">
        <f t="shared" si="9"/>
        <v>.9700</v>
      </c>
      <c r="AO53" t="str">
        <f>"7.50"</f>
        <v>7.50</v>
      </c>
      <c r="AP53" t="s">
        <v>88</v>
      </c>
      <c r="AQ53" t="str">
        <f>"7.50"</f>
        <v>7.50</v>
      </c>
      <c r="AR53">
        <v>14</v>
      </c>
      <c r="AS53">
        <v>-1</v>
      </c>
      <c r="AT53">
        <v>13</v>
      </c>
      <c r="AU53">
        <v>105</v>
      </c>
      <c r="AV53">
        <v>11.7</v>
      </c>
      <c r="AW53">
        <v>93.3</v>
      </c>
      <c r="AX53">
        <v>-6.79</v>
      </c>
      <c r="AY53">
        <v>86.51</v>
      </c>
      <c r="AZ53">
        <v>0</v>
      </c>
    </row>
    <row r="54" spans="1:52">
      <c r="A54" t="s">
        <v>65</v>
      </c>
      <c r="B54" t="s">
        <v>66</v>
      </c>
      <c r="C54" t="s">
        <v>67</v>
      </c>
      <c r="D54" t="s">
        <v>68</v>
      </c>
      <c r="E54" t="s">
        <v>69</v>
      </c>
      <c r="F54" t="s">
        <v>70</v>
      </c>
      <c r="G54" t="s">
        <v>71</v>
      </c>
      <c r="H54" t="s">
        <v>70</v>
      </c>
      <c r="I54" t="str">
        <f t="shared" si="0"/>
        <v>1010</v>
      </c>
      <c r="J54" t="str">
        <f t="shared" si="1"/>
        <v>05</v>
      </c>
      <c r="K54" t="s">
        <v>68</v>
      </c>
      <c r="L54" t="s">
        <v>72</v>
      </c>
      <c r="M54" t="s">
        <v>68</v>
      </c>
      <c r="N54" t="s">
        <v>216</v>
      </c>
      <c r="O54" t="s">
        <v>104</v>
      </c>
      <c r="P54" t="str">
        <f>"3020618902"</f>
        <v>3020618902</v>
      </c>
      <c r="R54" t="str">
        <f>"00030206189025"</f>
        <v>00030206189025</v>
      </c>
      <c r="S54" s="1">
        <v>40736</v>
      </c>
      <c r="T54" s="1">
        <v>40736</v>
      </c>
      <c r="U54" t="str">
        <f>"3020618902"</f>
        <v>3020618902</v>
      </c>
      <c r="V54" t="str">
        <f t="shared" si="10"/>
        <v>1510</v>
      </c>
      <c r="W54" t="str">
        <f t="shared" si="3"/>
        <v>11</v>
      </c>
      <c r="X54" t="s">
        <v>75</v>
      </c>
      <c r="Y54" t="s">
        <v>76</v>
      </c>
      <c r="Z54" t="s">
        <v>77</v>
      </c>
      <c r="AA54" t="s">
        <v>78</v>
      </c>
      <c r="AB54" t="s">
        <v>79</v>
      </c>
      <c r="AD54" t="s">
        <v>80</v>
      </c>
      <c r="AE54" t="s">
        <v>81</v>
      </c>
      <c r="AF54" t="s">
        <v>82</v>
      </c>
      <c r="AG54" t="s">
        <v>83</v>
      </c>
      <c r="AH54" t="s">
        <v>84</v>
      </c>
      <c r="AI54" t="str">
        <f t="shared" si="8"/>
        <v>01</v>
      </c>
      <c r="AJ54" t="str">
        <f t="shared" si="7"/>
        <v>1</v>
      </c>
      <c r="AK54" t="s">
        <v>114</v>
      </c>
      <c r="AL54" t="s">
        <v>162</v>
      </c>
      <c r="AM54" t="s">
        <v>87</v>
      </c>
      <c r="AN54" t="str">
        <f t="shared" si="9"/>
        <v>.9700</v>
      </c>
      <c r="AO54" t="str">
        <f>"7.00"</f>
        <v>7.00</v>
      </c>
      <c r="AP54" t="s">
        <v>115</v>
      </c>
      <c r="AQ54" t="str">
        <f>"7.00"</f>
        <v>7.00</v>
      </c>
      <c r="AR54">
        <v>0</v>
      </c>
      <c r="AS54">
        <v>-1</v>
      </c>
      <c r="AT54">
        <v>-1</v>
      </c>
      <c r="AU54">
        <v>0</v>
      </c>
      <c r="AV54">
        <v>0</v>
      </c>
      <c r="AW54">
        <v>0</v>
      </c>
      <c r="AX54">
        <v>-5.95</v>
      </c>
      <c r="AY54">
        <v>-5.95</v>
      </c>
      <c r="AZ54">
        <v>0</v>
      </c>
    </row>
    <row r="55" spans="1:52">
      <c r="A55" t="s">
        <v>65</v>
      </c>
      <c r="B55" t="s">
        <v>66</v>
      </c>
      <c r="C55" t="s">
        <v>67</v>
      </c>
      <c r="D55" t="s">
        <v>68</v>
      </c>
      <c r="E55" t="s">
        <v>69</v>
      </c>
      <c r="F55" t="s">
        <v>70</v>
      </c>
      <c r="G55" t="s">
        <v>71</v>
      </c>
      <c r="H55" t="s">
        <v>70</v>
      </c>
      <c r="I55" t="str">
        <f t="shared" si="0"/>
        <v>1010</v>
      </c>
      <c r="J55" t="str">
        <f t="shared" si="1"/>
        <v>05</v>
      </c>
      <c r="K55" t="s">
        <v>68</v>
      </c>
      <c r="L55" t="s">
        <v>72</v>
      </c>
      <c r="M55" t="s">
        <v>68</v>
      </c>
      <c r="N55" t="s">
        <v>217</v>
      </c>
      <c r="O55" t="s">
        <v>218</v>
      </c>
      <c r="P55" t="str">
        <f>"3020619082"</f>
        <v>3020619082</v>
      </c>
      <c r="R55" t="str">
        <f>"00030206190823"</f>
        <v>00030206190823</v>
      </c>
      <c r="S55" s="1">
        <v>40988</v>
      </c>
      <c r="T55" s="1">
        <v>40988</v>
      </c>
      <c r="U55" t="str">
        <f>"3020619082"</f>
        <v>3020619082</v>
      </c>
      <c r="V55" t="str">
        <f t="shared" si="10"/>
        <v>1510</v>
      </c>
      <c r="W55" t="str">
        <f t="shared" si="3"/>
        <v>11</v>
      </c>
      <c r="X55" t="s">
        <v>75</v>
      </c>
      <c r="Y55" t="s">
        <v>76</v>
      </c>
      <c r="Z55" t="s">
        <v>105</v>
      </c>
      <c r="AA55" t="s">
        <v>106</v>
      </c>
      <c r="AB55" t="s">
        <v>79</v>
      </c>
      <c r="AD55" t="s">
        <v>80</v>
      </c>
      <c r="AE55" t="s">
        <v>81</v>
      </c>
      <c r="AF55" t="s">
        <v>82</v>
      </c>
      <c r="AG55" t="s">
        <v>83</v>
      </c>
      <c r="AH55" t="s">
        <v>84</v>
      </c>
      <c r="AI55" t="str">
        <f>"02"</f>
        <v>02</v>
      </c>
      <c r="AJ55" t="str">
        <f>"2"</f>
        <v>2</v>
      </c>
      <c r="AK55" t="s">
        <v>194</v>
      </c>
      <c r="AL55" t="s">
        <v>94</v>
      </c>
      <c r="AM55" t="s">
        <v>95</v>
      </c>
      <c r="AN55" t="str">
        <f t="shared" si="9"/>
        <v>.9700</v>
      </c>
      <c r="AO55" t="str">
        <f>"9.75"</f>
        <v>9.75</v>
      </c>
      <c r="AP55" t="s">
        <v>195</v>
      </c>
      <c r="AQ55" t="str">
        <f>"9.75"</f>
        <v>9.75</v>
      </c>
      <c r="AR55">
        <v>1</v>
      </c>
      <c r="AS55">
        <v>-1</v>
      </c>
      <c r="AT55">
        <v>0</v>
      </c>
      <c r="AU55">
        <v>9.76</v>
      </c>
      <c r="AV55">
        <v>0.98</v>
      </c>
      <c r="AW55">
        <v>8.7799999999999994</v>
      </c>
      <c r="AX55">
        <v>-8.43</v>
      </c>
      <c r="AY55">
        <v>0.35</v>
      </c>
      <c r="AZ55">
        <v>0</v>
      </c>
    </row>
    <row r="56" spans="1:52">
      <c r="A56" t="s">
        <v>65</v>
      </c>
      <c r="B56" t="s">
        <v>66</v>
      </c>
      <c r="C56" t="s">
        <v>67</v>
      </c>
      <c r="D56" t="s">
        <v>68</v>
      </c>
      <c r="E56" t="s">
        <v>69</v>
      </c>
      <c r="F56" t="s">
        <v>70</v>
      </c>
      <c r="G56" t="s">
        <v>71</v>
      </c>
      <c r="H56" t="s">
        <v>70</v>
      </c>
      <c r="I56" t="str">
        <f t="shared" si="0"/>
        <v>1010</v>
      </c>
      <c r="J56" t="str">
        <f t="shared" si="1"/>
        <v>05</v>
      </c>
      <c r="K56" t="s">
        <v>68</v>
      </c>
      <c r="L56" t="s">
        <v>72</v>
      </c>
      <c r="M56" t="s">
        <v>68</v>
      </c>
      <c r="N56" t="s">
        <v>219</v>
      </c>
      <c r="O56" t="s">
        <v>220</v>
      </c>
      <c r="P56" t="str">
        <f>"3020619652"</f>
        <v>3020619652</v>
      </c>
      <c r="R56" t="str">
        <f>"00030206196528"</f>
        <v>00030206196528</v>
      </c>
      <c r="S56" s="1">
        <v>41492</v>
      </c>
      <c r="T56" s="1">
        <v>41492</v>
      </c>
      <c r="U56" t="str">
        <f>"3020619652"</f>
        <v>3020619652</v>
      </c>
      <c r="V56" t="str">
        <f>"1010"</f>
        <v>1010</v>
      </c>
      <c r="W56" t="str">
        <f t="shared" si="3"/>
        <v>11</v>
      </c>
      <c r="X56" t="s">
        <v>75</v>
      </c>
      <c r="Y56" t="s">
        <v>173</v>
      </c>
      <c r="Z56" t="s">
        <v>105</v>
      </c>
      <c r="AA56" t="s">
        <v>106</v>
      </c>
      <c r="AB56" t="s">
        <v>79</v>
      </c>
      <c r="AD56" t="s">
        <v>80</v>
      </c>
      <c r="AE56" t="s">
        <v>81</v>
      </c>
      <c r="AF56" t="s">
        <v>82</v>
      </c>
      <c r="AG56" t="s">
        <v>83</v>
      </c>
      <c r="AH56" t="s">
        <v>84</v>
      </c>
      <c r="AJ56" t="str">
        <f>"1"</f>
        <v>1</v>
      </c>
      <c r="AK56" t="s">
        <v>114</v>
      </c>
      <c r="AL56" t="s">
        <v>143</v>
      </c>
      <c r="AM56" t="s">
        <v>87</v>
      </c>
      <c r="AN56" t="str">
        <f t="shared" si="9"/>
        <v>.9700</v>
      </c>
      <c r="AO56" t="str">
        <f>"7.00"</f>
        <v>7.00</v>
      </c>
      <c r="AP56" t="s">
        <v>115</v>
      </c>
      <c r="AQ56" t="str">
        <f>"7.00"</f>
        <v>7.00</v>
      </c>
      <c r="AR56">
        <v>26</v>
      </c>
      <c r="AS56">
        <v>-1</v>
      </c>
      <c r="AT56">
        <v>25</v>
      </c>
      <c r="AU56">
        <v>182</v>
      </c>
      <c r="AV56">
        <v>14.7</v>
      </c>
      <c r="AW56">
        <v>167.3</v>
      </c>
      <c r="AX56">
        <v>-5.95</v>
      </c>
      <c r="AY56">
        <v>161.35</v>
      </c>
      <c r="AZ56">
        <v>0</v>
      </c>
    </row>
    <row r="57" spans="1:52">
      <c r="A57" t="s">
        <v>65</v>
      </c>
      <c r="B57" t="s">
        <v>66</v>
      </c>
      <c r="C57" t="s">
        <v>67</v>
      </c>
      <c r="D57" t="s">
        <v>68</v>
      </c>
      <c r="E57" t="s">
        <v>69</v>
      </c>
      <c r="F57" t="s">
        <v>70</v>
      </c>
      <c r="G57" t="s">
        <v>71</v>
      </c>
      <c r="H57" t="s">
        <v>70</v>
      </c>
      <c r="I57" t="str">
        <f t="shared" si="0"/>
        <v>1010</v>
      </c>
      <c r="J57" t="str">
        <f t="shared" si="1"/>
        <v>05</v>
      </c>
      <c r="K57" t="s">
        <v>68</v>
      </c>
      <c r="L57" t="s">
        <v>72</v>
      </c>
      <c r="M57" t="s">
        <v>68</v>
      </c>
      <c r="N57" t="s">
        <v>221</v>
      </c>
      <c r="O57" t="s">
        <v>222</v>
      </c>
      <c r="P57" t="str">
        <f>"3020671942"</f>
        <v>3020671942</v>
      </c>
      <c r="R57" t="str">
        <f>"00030206719420"</f>
        <v>00030206719420</v>
      </c>
      <c r="S57" s="1">
        <v>41387</v>
      </c>
      <c r="T57" s="1">
        <v>41380</v>
      </c>
      <c r="U57" t="str">
        <f>"3020671942"</f>
        <v>3020671942</v>
      </c>
      <c r="V57" t="str">
        <f>"1010"</f>
        <v>1010</v>
      </c>
      <c r="W57" t="str">
        <f t="shared" si="3"/>
        <v>11</v>
      </c>
      <c r="X57" t="s">
        <v>75</v>
      </c>
      <c r="Y57" t="s">
        <v>173</v>
      </c>
      <c r="Z57" t="s">
        <v>180</v>
      </c>
      <c r="AA57" t="s">
        <v>181</v>
      </c>
      <c r="AB57" t="s">
        <v>79</v>
      </c>
      <c r="AD57" t="s">
        <v>80</v>
      </c>
      <c r="AE57" t="s">
        <v>81</v>
      </c>
      <c r="AF57" t="s">
        <v>82</v>
      </c>
      <c r="AG57" t="s">
        <v>83</v>
      </c>
      <c r="AH57" t="s">
        <v>84</v>
      </c>
      <c r="AJ57" t="str">
        <f>"1"</f>
        <v>1</v>
      </c>
      <c r="AK57" t="s">
        <v>93</v>
      </c>
      <c r="AL57" t="s">
        <v>143</v>
      </c>
      <c r="AM57" t="s">
        <v>95</v>
      </c>
      <c r="AN57" t="str">
        <f t="shared" si="9"/>
        <v>.9700</v>
      </c>
      <c r="AO57" t="str">
        <f>"11.41"</f>
        <v>11.41</v>
      </c>
      <c r="AP57" t="s">
        <v>96</v>
      </c>
      <c r="AQ57" t="str">
        <f>"11.41"</f>
        <v>11.41</v>
      </c>
      <c r="AR57">
        <v>6</v>
      </c>
      <c r="AS57">
        <v>-22</v>
      </c>
      <c r="AT57">
        <v>-16</v>
      </c>
      <c r="AU57">
        <v>68.459999999999994</v>
      </c>
      <c r="AV57">
        <v>0</v>
      </c>
      <c r="AW57">
        <v>68.459999999999994</v>
      </c>
      <c r="AX57">
        <v>-230.78</v>
      </c>
      <c r="AY57">
        <v>-162.32</v>
      </c>
      <c r="AZ57">
        <v>0</v>
      </c>
    </row>
    <row r="58" spans="1:52">
      <c r="A58" t="s">
        <v>65</v>
      </c>
      <c r="B58" t="s">
        <v>66</v>
      </c>
      <c r="C58" t="s">
        <v>67</v>
      </c>
      <c r="D58" t="s">
        <v>68</v>
      </c>
      <c r="E58" t="s">
        <v>69</v>
      </c>
      <c r="F58" t="s">
        <v>70</v>
      </c>
      <c r="G58" t="s">
        <v>71</v>
      </c>
      <c r="H58" t="s">
        <v>70</v>
      </c>
      <c r="I58" t="str">
        <f t="shared" si="0"/>
        <v>1010</v>
      </c>
      <c r="J58" t="str">
        <f t="shared" si="1"/>
        <v>05</v>
      </c>
      <c r="K58" t="s">
        <v>68</v>
      </c>
      <c r="L58" t="s">
        <v>72</v>
      </c>
      <c r="M58" t="s">
        <v>68</v>
      </c>
      <c r="N58" t="s">
        <v>223</v>
      </c>
      <c r="O58" t="s">
        <v>224</v>
      </c>
      <c r="P58" t="str">
        <f>"3020618012"</f>
        <v>3020618012</v>
      </c>
      <c r="R58" t="str">
        <f>"00030206180121"</f>
        <v>00030206180121</v>
      </c>
      <c r="S58" s="1">
        <v>40168</v>
      </c>
      <c r="T58" s="1">
        <v>40155</v>
      </c>
      <c r="U58" t="str">
        <f>"3020618012"</f>
        <v>3020618012</v>
      </c>
      <c r="V58" t="str">
        <f>"1510"</f>
        <v>1510</v>
      </c>
      <c r="W58" t="str">
        <f t="shared" si="3"/>
        <v>11</v>
      </c>
      <c r="X58" t="s">
        <v>75</v>
      </c>
      <c r="Y58" t="s">
        <v>76</v>
      </c>
      <c r="Z58" t="s">
        <v>169</v>
      </c>
      <c r="AA58" t="s">
        <v>170</v>
      </c>
      <c r="AB58" t="s">
        <v>79</v>
      </c>
      <c r="AD58" t="s">
        <v>80</v>
      </c>
      <c r="AE58" t="s">
        <v>81</v>
      </c>
      <c r="AF58" t="s">
        <v>82</v>
      </c>
      <c r="AG58" t="s">
        <v>83</v>
      </c>
      <c r="AH58" t="s">
        <v>84</v>
      </c>
      <c r="AI58" t="str">
        <f>"02"</f>
        <v>02</v>
      </c>
      <c r="AJ58" t="str">
        <f>"2"</f>
        <v>2</v>
      </c>
      <c r="AK58" t="s">
        <v>98</v>
      </c>
      <c r="AL58" t="s">
        <v>94</v>
      </c>
      <c r="AM58" t="s">
        <v>95</v>
      </c>
      <c r="AN58" t="str">
        <f t="shared" si="9"/>
        <v>.9700</v>
      </c>
      <c r="AO58" t="str">
        <f>"8.00"</f>
        <v>8.00</v>
      </c>
      <c r="AP58" t="s">
        <v>99</v>
      </c>
      <c r="AQ58" t="str">
        <f>"8.00"</f>
        <v>8.00</v>
      </c>
      <c r="AR58">
        <v>94</v>
      </c>
      <c r="AS58">
        <v>-2</v>
      </c>
      <c r="AT58">
        <v>92</v>
      </c>
      <c r="AU58">
        <v>750.8</v>
      </c>
      <c r="AV58">
        <v>89.28</v>
      </c>
      <c r="AW58">
        <v>661.52</v>
      </c>
      <c r="AX58">
        <v>-12.28</v>
      </c>
      <c r="AY58">
        <v>649.24</v>
      </c>
      <c r="AZ58">
        <v>0</v>
      </c>
    </row>
    <row r="59" spans="1:52">
      <c r="A59" t="s">
        <v>65</v>
      </c>
      <c r="B59" t="s">
        <v>66</v>
      </c>
      <c r="C59" t="s">
        <v>67</v>
      </c>
      <c r="D59" t="s">
        <v>68</v>
      </c>
      <c r="E59" t="s">
        <v>69</v>
      </c>
      <c r="F59" t="s">
        <v>70</v>
      </c>
      <c r="G59" t="s">
        <v>71</v>
      </c>
      <c r="H59" t="s">
        <v>70</v>
      </c>
      <c r="I59" t="str">
        <f t="shared" si="0"/>
        <v>1010</v>
      </c>
      <c r="J59" t="str">
        <f t="shared" si="1"/>
        <v>05</v>
      </c>
      <c r="K59" t="s">
        <v>68</v>
      </c>
      <c r="L59" t="s">
        <v>72</v>
      </c>
      <c r="M59" t="s">
        <v>68</v>
      </c>
      <c r="N59" t="s">
        <v>225</v>
      </c>
      <c r="O59" t="s">
        <v>226</v>
      </c>
      <c r="P59" t="str">
        <f>"3020672048"</f>
        <v>3020672048</v>
      </c>
      <c r="R59" t="str">
        <f>"00030206720488"</f>
        <v>00030206720488</v>
      </c>
      <c r="S59" s="1">
        <v>41520</v>
      </c>
      <c r="T59" s="1">
        <v>41520</v>
      </c>
      <c r="U59" t="str">
        <f>"3020672048"</f>
        <v>3020672048</v>
      </c>
      <c r="V59" t="str">
        <f>"1010"</f>
        <v>1010</v>
      </c>
      <c r="W59" t="str">
        <f t="shared" si="3"/>
        <v>11</v>
      </c>
      <c r="X59" t="s">
        <v>75</v>
      </c>
      <c r="Y59" t="s">
        <v>173</v>
      </c>
      <c r="Z59" t="s">
        <v>105</v>
      </c>
      <c r="AA59" t="s">
        <v>106</v>
      </c>
      <c r="AB59" t="s">
        <v>79</v>
      </c>
      <c r="AD59" t="s">
        <v>80</v>
      </c>
      <c r="AE59" t="s">
        <v>81</v>
      </c>
      <c r="AF59" t="s">
        <v>82</v>
      </c>
      <c r="AG59" t="s">
        <v>83</v>
      </c>
      <c r="AH59" t="s">
        <v>84</v>
      </c>
      <c r="AJ59" t="str">
        <f>"2"</f>
        <v>2</v>
      </c>
      <c r="AK59" t="s">
        <v>118</v>
      </c>
      <c r="AL59" t="s">
        <v>143</v>
      </c>
      <c r="AM59" t="s">
        <v>95</v>
      </c>
      <c r="AN59" t="str">
        <f t="shared" si="9"/>
        <v>.9700</v>
      </c>
      <c r="AO59" t="str">
        <f>"10.32"</f>
        <v>10.32</v>
      </c>
      <c r="AP59" t="s">
        <v>119</v>
      </c>
      <c r="AQ59" t="str">
        <f>"10.32"</f>
        <v>10.32</v>
      </c>
      <c r="AR59">
        <v>10</v>
      </c>
      <c r="AS59">
        <v>-3</v>
      </c>
      <c r="AT59">
        <v>7</v>
      </c>
      <c r="AU59">
        <v>103.2</v>
      </c>
      <c r="AV59">
        <v>0</v>
      </c>
      <c r="AW59">
        <v>103.2</v>
      </c>
      <c r="AX59">
        <v>-27.75</v>
      </c>
      <c r="AY59">
        <v>75.45</v>
      </c>
      <c r="AZ59">
        <v>0</v>
      </c>
    </row>
    <row r="60" spans="1:52">
      <c r="A60" t="s">
        <v>65</v>
      </c>
      <c r="B60" t="s">
        <v>66</v>
      </c>
      <c r="C60" t="s">
        <v>67</v>
      </c>
      <c r="D60" t="s">
        <v>68</v>
      </c>
      <c r="E60" t="s">
        <v>69</v>
      </c>
      <c r="F60" t="s">
        <v>70</v>
      </c>
      <c r="G60" t="s">
        <v>71</v>
      </c>
      <c r="H60" t="s">
        <v>70</v>
      </c>
      <c r="I60" t="str">
        <f t="shared" si="0"/>
        <v>1010</v>
      </c>
      <c r="J60" t="str">
        <f t="shared" si="1"/>
        <v>05</v>
      </c>
      <c r="K60" t="s">
        <v>68</v>
      </c>
      <c r="L60" t="s">
        <v>72</v>
      </c>
      <c r="M60" t="s">
        <v>68</v>
      </c>
      <c r="N60" t="s">
        <v>227</v>
      </c>
      <c r="O60" t="s">
        <v>228</v>
      </c>
      <c r="P60" t="str">
        <f>"3020619952"</f>
        <v>3020619952</v>
      </c>
      <c r="R60" t="str">
        <f>"00030206199529"</f>
        <v>00030206199529</v>
      </c>
      <c r="S60" s="1">
        <v>41618</v>
      </c>
      <c r="T60" s="1">
        <v>41618</v>
      </c>
      <c r="U60" t="str">
        <f>"3020619952"</f>
        <v>3020619952</v>
      </c>
      <c r="V60" t="str">
        <f>"1010"</f>
        <v>1010</v>
      </c>
      <c r="W60" t="str">
        <f t="shared" si="3"/>
        <v>11</v>
      </c>
      <c r="X60" t="s">
        <v>75</v>
      </c>
      <c r="Y60" t="s">
        <v>173</v>
      </c>
      <c r="Z60" t="s">
        <v>105</v>
      </c>
      <c r="AA60" t="s">
        <v>106</v>
      </c>
      <c r="AB60" t="s">
        <v>79</v>
      </c>
      <c r="AD60" t="s">
        <v>80</v>
      </c>
      <c r="AE60" t="s">
        <v>81</v>
      </c>
      <c r="AF60" t="s">
        <v>82</v>
      </c>
      <c r="AG60" t="s">
        <v>83</v>
      </c>
      <c r="AH60" t="s">
        <v>84</v>
      </c>
      <c r="AJ60" t="str">
        <f>"1"</f>
        <v>1</v>
      </c>
      <c r="AK60" t="s">
        <v>85</v>
      </c>
      <c r="AL60" t="s">
        <v>86</v>
      </c>
      <c r="AM60" t="s">
        <v>87</v>
      </c>
      <c r="AN60" t="str">
        <f t="shared" si="9"/>
        <v>.9700</v>
      </c>
      <c r="AO60" t="str">
        <f>"7.50"</f>
        <v>7.50</v>
      </c>
      <c r="AP60" t="s">
        <v>88</v>
      </c>
      <c r="AQ60" t="str">
        <f>"7.50"</f>
        <v>7.50</v>
      </c>
      <c r="AR60">
        <v>3</v>
      </c>
      <c r="AS60">
        <v>-3</v>
      </c>
      <c r="AT60">
        <v>0</v>
      </c>
      <c r="AU60">
        <v>22.5</v>
      </c>
      <c r="AV60">
        <v>1.5</v>
      </c>
      <c r="AW60">
        <v>21</v>
      </c>
      <c r="AX60">
        <v>-18.09</v>
      </c>
      <c r="AY60">
        <v>2.91</v>
      </c>
      <c r="AZ60">
        <v>0</v>
      </c>
    </row>
    <row r="61" spans="1:52">
      <c r="A61" t="s">
        <v>65</v>
      </c>
      <c r="B61" t="s">
        <v>66</v>
      </c>
      <c r="C61" t="s">
        <v>67</v>
      </c>
      <c r="D61" t="s">
        <v>68</v>
      </c>
      <c r="E61" t="s">
        <v>69</v>
      </c>
      <c r="F61" t="s">
        <v>70</v>
      </c>
      <c r="G61" t="s">
        <v>71</v>
      </c>
      <c r="H61" t="s">
        <v>70</v>
      </c>
      <c r="I61" t="str">
        <f t="shared" si="0"/>
        <v>1010</v>
      </c>
      <c r="J61" t="str">
        <f t="shared" si="1"/>
        <v>05</v>
      </c>
      <c r="K61" t="s">
        <v>68</v>
      </c>
      <c r="L61" t="s">
        <v>72</v>
      </c>
      <c r="M61" t="s">
        <v>68</v>
      </c>
      <c r="N61" t="s">
        <v>229</v>
      </c>
      <c r="O61" t="s">
        <v>230</v>
      </c>
      <c r="P61" t="str">
        <f>"3020672538"</f>
        <v>3020672538</v>
      </c>
      <c r="R61" t="str">
        <f>"00030206725384"</f>
        <v>00030206725384</v>
      </c>
      <c r="S61" s="1">
        <v>41709</v>
      </c>
      <c r="T61" s="1">
        <v>41702</v>
      </c>
      <c r="U61" t="str">
        <f>"3020672538"</f>
        <v>3020672538</v>
      </c>
      <c r="V61" t="str">
        <f>"1010"</f>
        <v>1010</v>
      </c>
      <c r="W61" t="str">
        <f t="shared" si="3"/>
        <v>11</v>
      </c>
      <c r="X61" t="s">
        <v>75</v>
      </c>
      <c r="Y61" t="s">
        <v>139</v>
      </c>
      <c r="Z61" t="s">
        <v>105</v>
      </c>
      <c r="AA61" t="s">
        <v>106</v>
      </c>
      <c r="AB61" t="s">
        <v>79</v>
      </c>
      <c r="AD61" t="s">
        <v>80</v>
      </c>
      <c r="AE61" t="s">
        <v>81</v>
      </c>
      <c r="AF61" t="s">
        <v>82</v>
      </c>
      <c r="AG61" t="s">
        <v>83</v>
      </c>
      <c r="AH61" t="s">
        <v>84</v>
      </c>
      <c r="AJ61" t="str">
        <f>"1"</f>
        <v>1</v>
      </c>
      <c r="AK61" t="s">
        <v>85</v>
      </c>
      <c r="AL61" t="s">
        <v>86</v>
      </c>
      <c r="AM61" t="s">
        <v>87</v>
      </c>
      <c r="AN61" t="str">
        <f t="shared" si="9"/>
        <v>.9700</v>
      </c>
      <c r="AO61" t="str">
        <f>"7.50"</f>
        <v>7.50</v>
      </c>
      <c r="AP61" t="s">
        <v>88</v>
      </c>
      <c r="AQ61" t="str">
        <f>"7.50"</f>
        <v>7.50</v>
      </c>
      <c r="AR61">
        <v>86</v>
      </c>
      <c r="AS61">
        <v>-270</v>
      </c>
      <c r="AT61">
        <v>-184</v>
      </c>
      <c r="AU61">
        <v>585</v>
      </c>
      <c r="AV61">
        <v>0</v>
      </c>
      <c r="AW61">
        <v>585</v>
      </c>
      <c r="AX61">
        <v>-1243.72</v>
      </c>
      <c r="AY61">
        <v>-658.72</v>
      </c>
      <c r="AZ61">
        <v>0</v>
      </c>
    </row>
    <row r="62" spans="1:52">
      <c r="A62" t="s">
        <v>65</v>
      </c>
      <c r="B62" t="s">
        <v>66</v>
      </c>
      <c r="C62" t="s">
        <v>67</v>
      </c>
      <c r="D62" t="s">
        <v>68</v>
      </c>
      <c r="E62" t="s">
        <v>69</v>
      </c>
      <c r="F62" t="s">
        <v>70</v>
      </c>
      <c r="G62" t="s">
        <v>71</v>
      </c>
      <c r="H62" t="s">
        <v>70</v>
      </c>
      <c r="I62" t="str">
        <f t="shared" si="0"/>
        <v>1010</v>
      </c>
      <c r="J62" t="str">
        <f t="shared" si="1"/>
        <v>05</v>
      </c>
      <c r="K62" t="s">
        <v>68</v>
      </c>
      <c r="L62" t="s">
        <v>72</v>
      </c>
      <c r="M62" t="s">
        <v>68</v>
      </c>
      <c r="N62" t="s">
        <v>231</v>
      </c>
      <c r="O62" t="s">
        <v>232</v>
      </c>
      <c r="P62" t="str">
        <f>"3020618622"</f>
        <v>3020618622</v>
      </c>
      <c r="R62" t="str">
        <f>"00030206186222"</f>
        <v>00030206186222</v>
      </c>
      <c r="S62" s="1">
        <v>40519</v>
      </c>
      <c r="T62" s="1">
        <v>40519</v>
      </c>
      <c r="U62" t="str">
        <f>"3020618622"</f>
        <v>3020618622</v>
      </c>
      <c r="V62" t="str">
        <f>"1510"</f>
        <v>1510</v>
      </c>
      <c r="W62" t="str">
        <f t="shared" si="3"/>
        <v>11</v>
      </c>
      <c r="X62" t="s">
        <v>75</v>
      </c>
      <c r="Y62" t="s">
        <v>76</v>
      </c>
      <c r="Z62" t="s">
        <v>105</v>
      </c>
      <c r="AA62" t="s">
        <v>106</v>
      </c>
      <c r="AB62" t="s">
        <v>79</v>
      </c>
      <c r="AD62" t="s">
        <v>80</v>
      </c>
      <c r="AE62" t="s">
        <v>81</v>
      </c>
      <c r="AF62" t="s">
        <v>82</v>
      </c>
      <c r="AG62" t="s">
        <v>83</v>
      </c>
      <c r="AH62" t="s">
        <v>84</v>
      </c>
      <c r="AI62" t="str">
        <f>"01"</f>
        <v>01</v>
      </c>
      <c r="AJ62" t="str">
        <f>"1"</f>
        <v>1</v>
      </c>
      <c r="AK62" t="s">
        <v>98</v>
      </c>
      <c r="AL62" t="s">
        <v>86</v>
      </c>
      <c r="AM62" t="s">
        <v>95</v>
      </c>
      <c r="AN62" t="str">
        <f t="shared" si="9"/>
        <v>.9700</v>
      </c>
      <c r="AO62" t="str">
        <f>"8.00"</f>
        <v>8.00</v>
      </c>
      <c r="AP62" t="s">
        <v>99</v>
      </c>
      <c r="AQ62" t="str">
        <f>"8.00"</f>
        <v>8.00</v>
      </c>
      <c r="AR62">
        <v>5</v>
      </c>
      <c r="AS62">
        <v>0</v>
      </c>
      <c r="AT62">
        <v>5</v>
      </c>
      <c r="AU62">
        <v>40</v>
      </c>
      <c r="AV62">
        <v>0</v>
      </c>
      <c r="AW62">
        <v>40</v>
      </c>
      <c r="AX62">
        <v>0</v>
      </c>
      <c r="AY62">
        <v>40</v>
      </c>
      <c r="AZ62">
        <v>0</v>
      </c>
    </row>
    <row r="63" spans="1:52">
      <c r="A63" t="s">
        <v>65</v>
      </c>
      <c r="B63" t="s">
        <v>66</v>
      </c>
      <c r="C63" t="s">
        <v>67</v>
      </c>
      <c r="D63" t="s">
        <v>68</v>
      </c>
      <c r="E63" t="s">
        <v>69</v>
      </c>
      <c r="F63" t="s">
        <v>70</v>
      </c>
      <c r="G63" t="s">
        <v>71</v>
      </c>
      <c r="H63" t="s">
        <v>70</v>
      </c>
      <c r="I63" t="str">
        <f t="shared" si="0"/>
        <v>1010</v>
      </c>
      <c r="J63" t="str">
        <f t="shared" si="1"/>
        <v>05</v>
      </c>
      <c r="K63" t="s">
        <v>68</v>
      </c>
      <c r="L63" t="s">
        <v>72</v>
      </c>
      <c r="M63" t="s">
        <v>68</v>
      </c>
      <c r="N63" t="s">
        <v>233</v>
      </c>
      <c r="O63" t="s">
        <v>234</v>
      </c>
      <c r="P63" t="str">
        <f>"3020615682"</f>
        <v>3020615682</v>
      </c>
      <c r="R63" t="str">
        <f>"00030206156829"</f>
        <v>00030206156829</v>
      </c>
      <c r="S63" s="1">
        <v>38853</v>
      </c>
      <c r="T63" s="1">
        <v>38846</v>
      </c>
      <c r="U63" t="str">
        <f>"3020615682"</f>
        <v>3020615682</v>
      </c>
      <c r="V63" t="str">
        <f>"1510"</f>
        <v>1510</v>
      </c>
      <c r="W63" t="str">
        <f t="shared" si="3"/>
        <v>11</v>
      </c>
      <c r="X63" t="s">
        <v>75</v>
      </c>
      <c r="Y63" t="s">
        <v>76</v>
      </c>
      <c r="Z63" t="s">
        <v>105</v>
      </c>
      <c r="AA63" t="s">
        <v>106</v>
      </c>
      <c r="AB63" t="s">
        <v>79</v>
      </c>
      <c r="AD63" t="s">
        <v>80</v>
      </c>
      <c r="AE63" t="s">
        <v>81</v>
      </c>
      <c r="AF63" t="s">
        <v>82</v>
      </c>
      <c r="AG63" t="s">
        <v>83</v>
      </c>
      <c r="AH63" t="s">
        <v>84</v>
      </c>
      <c r="AI63" t="str">
        <f>"01"</f>
        <v>01</v>
      </c>
      <c r="AJ63" t="str">
        <f>"1"</f>
        <v>1</v>
      </c>
      <c r="AK63" t="s">
        <v>154</v>
      </c>
      <c r="AL63" t="s">
        <v>86</v>
      </c>
      <c r="AM63" t="s">
        <v>87</v>
      </c>
      <c r="AN63" t="str">
        <f t="shared" si="9"/>
        <v>.9700</v>
      </c>
      <c r="AO63" t="str">
        <f>"7.25"</f>
        <v>7.25</v>
      </c>
      <c r="AP63" t="s">
        <v>156</v>
      </c>
      <c r="AQ63" t="str">
        <f>"7.25"</f>
        <v>7.25</v>
      </c>
      <c r="AR63">
        <v>3</v>
      </c>
      <c r="AS63">
        <v>0</v>
      </c>
      <c r="AT63">
        <v>3</v>
      </c>
      <c r="AU63">
        <v>21.77</v>
      </c>
      <c r="AV63">
        <v>2.1800000000000002</v>
      </c>
      <c r="AW63">
        <v>19.59</v>
      </c>
      <c r="AX63">
        <v>0</v>
      </c>
      <c r="AY63">
        <v>19.59</v>
      </c>
      <c r="AZ63">
        <v>0</v>
      </c>
    </row>
    <row r="64" spans="1:52">
      <c r="A64" t="s">
        <v>65</v>
      </c>
      <c r="B64" t="s">
        <v>66</v>
      </c>
      <c r="C64" t="s">
        <v>67</v>
      </c>
      <c r="D64" t="s">
        <v>68</v>
      </c>
      <c r="E64" t="s">
        <v>69</v>
      </c>
      <c r="F64" t="s">
        <v>70</v>
      </c>
      <c r="G64" t="s">
        <v>71</v>
      </c>
      <c r="H64" t="s">
        <v>70</v>
      </c>
      <c r="I64" t="str">
        <f t="shared" si="0"/>
        <v>1010</v>
      </c>
      <c r="J64" t="str">
        <f t="shared" si="1"/>
        <v>05</v>
      </c>
      <c r="K64" t="s">
        <v>68</v>
      </c>
      <c r="L64" t="s">
        <v>72</v>
      </c>
      <c r="M64" t="s">
        <v>68</v>
      </c>
      <c r="N64" t="s">
        <v>233</v>
      </c>
      <c r="O64" t="s">
        <v>164</v>
      </c>
      <c r="P64" t="str">
        <f>"3020618242"</f>
        <v>3020618242</v>
      </c>
      <c r="R64" t="str">
        <f>"00030206182422"</f>
        <v>00030206182422</v>
      </c>
      <c r="S64" s="1">
        <v>40295</v>
      </c>
      <c r="T64" s="1">
        <v>40295</v>
      </c>
      <c r="U64" t="str">
        <f>"3020618242"</f>
        <v>3020618242</v>
      </c>
      <c r="V64" t="str">
        <f>"1510"</f>
        <v>1510</v>
      </c>
      <c r="W64" t="str">
        <f t="shared" si="3"/>
        <v>11</v>
      </c>
      <c r="X64" t="s">
        <v>75</v>
      </c>
      <c r="Y64" t="s">
        <v>76</v>
      </c>
      <c r="Z64" t="s">
        <v>105</v>
      </c>
      <c r="AA64" t="s">
        <v>106</v>
      </c>
      <c r="AB64" t="s">
        <v>79</v>
      </c>
      <c r="AD64" t="s">
        <v>80</v>
      </c>
      <c r="AE64" t="s">
        <v>81</v>
      </c>
      <c r="AF64" t="s">
        <v>82</v>
      </c>
      <c r="AG64" t="s">
        <v>83</v>
      </c>
      <c r="AH64" t="s">
        <v>84</v>
      </c>
      <c r="AI64" t="str">
        <f>"02"</f>
        <v>02</v>
      </c>
      <c r="AJ64" t="str">
        <f>"2"</f>
        <v>2</v>
      </c>
      <c r="AK64" t="s">
        <v>194</v>
      </c>
      <c r="AL64" t="s">
        <v>94</v>
      </c>
      <c r="AM64" t="s">
        <v>95</v>
      </c>
      <c r="AN64" t="str">
        <f t="shared" si="9"/>
        <v>.9700</v>
      </c>
      <c r="AO64" t="str">
        <f>"9.75"</f>
        <v>9.75</v>
      </c>
      <c r="AP64" t="s">
        <v>195</v>
      </c>
      <c r="AQ64" t="str">
        <f>"9.75"</f>
        <v>9.75</v>
      </c>
      <c r="AR64">
        <v>161</v>
      </c>
      <c r="AS64">
        <v>-1</v>
      </c>
      <c r="AT64">
        <v>160</v>
      </c>
      <c r="AU64">
        <v>1566.86</v>
      </c>
      <c r="AV64">
        <v>151.72999999999999</v>
      </c>
      <c r="AW64">
        <v>1415.13</v>
      </c>
      <c r="AX64">
        <v>-8.9</v>
      </c>
      <c r="AY64">
        <v>1406.23</v>
      </c>
      <c r="AZ64">
        <v>0</v>
      </c>
    </row>
    <row r="65" spans="1:52">
      <c r="A65" t="s">
        <v>65</v>
      </c>
      <c r="B65" t="s">
        <v>66</v>
      </c>
      <c r="C65" t="s">
        <v>67</v>
      </c>
      <c r="D65" t="s">
        <v>68</v>
      </c>
      <c r="E65" t="s">
        <v>69</v>
      </c>
      <c r="F65" t="s">
        <v>70</v>
      </c>
      <c r="G65" t="s">
        <v>71</v>
      </c>
      <c r="H65" t="s">
        <v>70</v>
      </c>
      <c r="I65" t="str">
        <f t="shared" si="0"/>
        <v>1010</v>
      </c>
      <c r="J65" t="str">
        <f t="shared" si="1"/>
        <v>05</v>
      </c>
      <c r="K65" t="s">
        <v>68</v>
      </c>
      <c r="L65" t="s">
        <v>72</v>
      </c>
      <c r="M65" t="s">
        <v>68</v>
      </c>
      <c r="N65" t="s">
        <v>233</v>
      </c>
      <c r="O65" t="s">
        <v>235</v>
      </c>
      <c r="P65" t="str">
        <f>"3020617722"</f>
        <v>3020617722</v>
      </c>
      <c r="R65" t="str">
        <f>"00030206177220"</f>
        <v>00030206177220</v>
      </c>
      <c r="S65" s="1">
        <v>39987</v>
      </c>
      <c r="T65" s="1">
        <v>39973</v>
      </c>
      <c r="U65" t="str">
        <f>"3020617722"</f>
        <v>3020617722</v>
      </c>
      <c r="V65" t="str">
        <f>"1510"</f>
        <v>1510</v>
      </c>
      <c r="W65" t="str">
        <f t="shared" si="3"/>
        <v>11</v>
      </c>
      <c r="X65" t="s">
        <v>75</v>
      </c>
      <c r="Y65" t="s">
        <v>76</v>
      </c>
      <c r="Z65" t="s">
        <v>140</v>
      </c>
      <c r="AA65" t="s">
        <v>236</v>
      </c>
      <c r="AB65" t="s">
        <v>79</v>
      </c>
      <c r="AD65" t="s">
        <v>80</v>
      </c>
      <c r="AE65" t="s">
        <v>81</v>
      </c>
      <c r="AF65" t="s">
        <v>82</v>
      </c>
      <c r="AG65" t="s">
        <v>83</v>
      </c>
      <c r="AH65" t="s">
        <v>84</v>
      </c>
      <c r="AI65" t="str">
        <f>"01"</f>
        <v>01</v>
      </c>
      <c r="AJ65" t="str">
        <f>"1"</f>
        <v>1</v>
      </c>
      <c r="AK65" t="s">
        <v>114</v>
      </c>
      <c r="AL65" t="s">
        <v>86</v>
      </c>
      <c r="AM65" t="s">
        <v>87</v>
      </c>
      <c r="AN65" t="str">
        <f t="shared" si="9"/>
        <v>.9700</v>
      </c>
      <c r="AO65" t="str">
        <f>"7.00"</f>
        <v>7.00</v>
      </c>
      <c r="AP65" t="s">
        <v>115</v>
      </c>
      <c r="AQ65" t="str">
        <f>"7.00"</f>
        <v>7.00</v>
      </c>
      <c r="AR65">
        <v>13</v>
      </c>
      <c r="AS65">
        <v>0</v>
      </c>
      <c r="AT65">
        <v>13</v>
      </c>
      <c r="AU65">
        <v>91</v>
      </c>
      <c r="AV65">
        <v>8.4</v>
      </c>
      <c r="AW65">
        <v>82.6</v>
      </c>
      <c r="AX65">
        <v>0</v>
      </c>
      <c r="AY65">
        <v>82.6</v>
      </c>
      <c r="AZ65">
        <v>0</v>
      </c>
    </row>
    <row r="66" spans="1:52">
      <c r="A66" t="s">
        <v>65</v>
      </c>
      <c r="B66" t="s">
        <v>66</v>
      </c>
      <c r="C66" t="s">
        <v>67</v>
      </c>
      <c r="D66" t="s">
        <v>68</v>
      </c>
      <c r="E66" t="s">
        <v>69</v>
      </c>
      <c r="F66" t="s">
        <v>70</v>
      </c>
      <c r="G66" t="s">
        <v>71</v>
      </c>
      <c r="H66" t="s">
        <v>70</v>
      </c>
      <c r="I66" t="str">
        <f t="shared" si="0"/>
        <v>1010</v>
      </c>
      <c r="J66" t="str">
        <f t="shared" si="1"/>
        <v>05</v>
      </c>
      <c r="K66" t="s">
        <v>68</v>
      </c>
      <c r="L66" t="s">
        <v>72</v>
      </c>
      <c r="M66" t="s">
        <v>68</v>
      </c>
      <c r="N66" t="s">
        <v>233</v>
      </c>
      <c r="O66" t="s">
        <v>237</v>
      </c>
      <c r="P66" t="str">
        <f>"3020619802"</f>
        <v>3020619802</v>
      </c>
      <c r="R66" t="str">
        <f>"00030206198027"</f>
        <v>00030206198027</v>
      </c>
      <c r="S66" s="1">
        <v>41562</v>
      </c>
      <c r="T66" s="1">
        <v>41562</v>
      </c>
      <c r="U66" t="str">
        <f>"3020619802"</f>
        <v>3020619802</v>
      </c>
      <c r="V66" t="str">
        <f>"1010"</f>
        <v>1010</v>
      </c>
      <c r="W66" t="str">
        <f t="shared" si="3"/>
        <v>11</v>
      </c>
      <c r="X66" t="s">
        <v>75</v>
      </c>
      <c r="Y66" t="s">
        <v>173</v>
      </c>
      <c r="Z66" t="s">
        <v>105</v>
      </c>
      <c r="AA66" t="s">
        <v>106</v>
      </c>
      <c r="AB66" t="s">
        <v>79</v>
      </c>
      <c r="AD66" t="s">
        <v>80</v>
      </c>
      <c r="AE66" t="s">
        <v>81</v>
      </c>
      <c r="AF66" t="s">
        <v>82</v>
      </c>
      <c r="AG66" t="s">
        <v>83</v>
      </c>
      <c r="AH66" t="s">
        <v>84</v>
      </c>
      <c r="AJ66" t="str">
        <f>"1"</f>
        <v>1</v>
      </c>
      <c r="AK66" t="s">
        <v>114</v>
      </c>
      <c r="AL66" t="s">
        <v>86</v>
      </c>
      <c r="AM66" t="s">
        <v>87</v>
      </c>
      <c r="AN66" t="str">
        <f t="shared" si="9"/>
        <v>.9700</v>
      </c>
      <c r="AO66" t="str">
        <f>"7.00"</f>
        <v>7.00</v>
      </c>
      <c r="AP66" t="s">
        <v>115</v>
      </c>
      <c r="AQ66" t="str">
        <f>"7.00"</f>
        <v>7.00</v>
      </c>
      <c r="AR66">
        <v>39</v>
      </c>
      <c r="AS66">
        <v>-54</v>
      </c>
      <c r="AT66">
        <v>-15</v>
      </c>
      <c r="AU66">
        <v>273</v>
      </c>
      <c r="AV66">
        <v>23.8</v>
      </c>
      <c r="AW66">
        <v>249.2</v>
      </c>
      <c r="AX66">
        <v>-322</v>
      </c>
      <c r="AY66">
        <v>-72.8</v>
      </c>
      <c r="AZ66">
        <v>0</v>
      </c>
    </row>
    <row r="67" spans="1:52">
      <c r="A67" t="s">
        <v>65</v>
      </c>
      <c r="B67" t="s">
        <v>66</v>
      </c>
      <c r="C67" t="s">
        <v>67</v>
      </c>
      <c r="D67" t="s">
        <v>68</v>
      </c>
      <c r="E67" t="s">
        <v>69</v>
      </c>
      <c r="F67" t="s">
        <v>70</v>
      </c>
      <c r="G67" t="s">
        <v>71</v>
      </c>
      <c r="H67" t="s">
        <v>70</v>
      </c>
      <c r="I67" t="str">
        <f t="shared" si="0"/>
        <v>1010</v>
      </c>
      <c r="J67" t="str">
        <f t="shared" si="1"/>
        <v>05</v>
      </c>
      <c r="K67" t="s">
        <v>68</v>
      </c>
      <c r="L67" t="s">
        <v>72</v>
      </c>
      <c r="M67" t="s">
        <v>68</v>
      </c>
      <c r="N67" t="s">
        <v>238</v>
      </c>
      <c r="O67" t="s">
        <v>239</v>
      </c>
      <c r="P67" t="str">
        <f>"3020619372"</f>
        <v>3020619372</v>
      </c>
      <c r="R67" t="str">
        <f>"00030206193725"</f>
        <v>00030206193725</v>
      </c>
      <c r="S67" s="1">
        <v>41198</v>
      </c>
      <c r="T67" s="1">
        <v>41198</v>
      </c>
      <c r="U67" t="str">
        <f>"3020619372"</f>
        <v>3020619372</v>
      </c>
      <c r="V67" t="str">
        <f>"1010"</f>
        <v>1010</v>
      </c>
      <c r="W67" t="str">
        <f t="shared" si="3"/>
        <v>11</v>
      </c>
      <c r="X67" t="s">
        <v>75</v>
      </c>
      <c r="Y67" t="s">
        <v>76</v>
      </c>
      <c r="Z67" t="s">
        <v>105</v>
      </c>
      <c r="AA67" t="s">
        <v>106</v>
      </c>
      <c r="AB67" t="s">
        <v>79</v>
      </c>
      <c r="AD67" t="s">
        <v>80</v>
      </c>
      <c r="AE67" t="s">
        <v>81</v>
      </c>
      <c r="AF67" t="s">
        <v>82</v>
      </c>
      <c r="AG67" t="s">
        <v>83</v>
      </c>
      <c r="AH67" t="s">
        <v>84</v>
      </c>
      <c r="AI67" t="str">
        <f>"02"</f>
        <v>02</v>
      </c>
      <c r="AJ67" t="str">
        <f>"2"</f>
        <v>2</v>
      </c>
      <c r="AK67" t="s">
        <v>240</v>
      </c>
      <c r="AL67" t="s">
        <v>94</v>
      </c>
      <c r="AM67" t="s">
        <v>95</v>
      </c>
      <c r="AN67" t="str">
        <f>"1.9400"</f>
        <v>1.9400</v>
      </c>
      <c r="AO67" t="str">
        <f>"12.65"</f>
        <v>12.65</v>
      </c>
      <c r="AP67" t="s">
        <v>241</v>
      </c>
      <c r="AQ67" t="str">
        <f>"12.65"</f>
        <v>12.65</v>
      </c>
      <c r="AR67">
        <v>5</v>
      </c>
      <c r="AS67">
        <v>0</v>
      </c>
      <c r="AT67">
        <v>5</v>
      </c>
      <c r="AU67">
        <v>63.28</v>
      </c>
      <c r="AV67">
        <v>6.33</v>
      </c>
      <c r="AW67">
        <v>56.95</v>
      </c>
      <c r="AX67">
        <v>0</v>
      </c>
      <c r="AY67">
        <v>56.95</v>
      </c>
      <c r="AZ67">
        <v>0</v>
      </c>
    </row>
    <row r="68" spans="1:52">
      <c r="A68" t="s">
        <v>65</v>
      </c>
      <c r="B68" t="s">
        <v>66</v>
      </c>
      <c r="C68" t="s">
        <v>67</v>
      </c>
      <c r="D68" t="s">
        <v>68</v>
      </c>
      <c r="E68" t="s">
        <v>69</v>
      </c>
      <c r="F68" t="s">
        <v>70</v>
      </c>
      <c r="G68" t="s">
        <v>71</v>
      </c>
      <c r="H68" t="s">
        <v>70</v>
      </c>
      <c r="I68" t="str">
        <f t="shared" si="0"/>
        <v>1010</v>
      </c>
      <c r="J68" t="str">
        <f t="shared" si="1"/>
        <v>05</v>
      </c>
      <c r="K68" t="s">
        <v>68</v>
      </c>
      <c r="L68" t="s">
        <v>72</v>
      </c>
      <c r="M68" t="s">
        <v>68</v>
      </c>
      <c r="N68" t="s">
        <v>242</v>
      </c>
      <c r="O68" t="s">
        <v>243</v>
      </c>
      <c r="P68" t="str">
        <f>"3020618282"</f>
        <v>3020618282</v>
      </c>
      <c r="R68" t="str">
        <f>"00030206182828"</f>
        <v>00030206182828</v>
      </c>
      <c r="S68" s="1">
        <v>40323</v>
      </c>
      <c r="T68" s="1">
        <v>40309</v>
      </c>
      <c r="U68" t="str">
        <f>"3020618282"</f>
        <v>3020618282</v>
      </c>
      <c r="V68" t="str">
        <f t="shared" ref="V68:V74" si="11">"1510"</f>
        <v>1510</v>
      </c>
      <c r="W68" t="str">
        <f t="shared" si="3"/>
        <v>11</v>
      </c>
      <c r="X68" t="s">
        <v>75</v>
      </c>
      <c r="Y68" t="s">
        <v>76</v>
      </c>
      <c r="Z68" t="s">
        <v>105</v>
      </c>
      <c r="AA68" t="s">
        <v>106</v>
      </c>
      <c r="AB68" t="s">
        <v>79</v>
      </c>
      <c r="AD68" t="s">
        <v>80</v>
      </c>
      <c r="AE68" t="s">
        <v>81</v>
      </c>
      <c r="AF68" t="s">
        <v>82</v>
      </c>
      <c r="AG68" t="s">
        <v>83</v>
      </c>
      <c r="AH68" t="s">
        <v>84</v>
      </c>
      <c r="AI68" t="str">
        <f>"01"</f>
        <v>01</v>
      </c>
      <c r="AJ68" t="str">
        <f>"1"</f>
        <v>1</v>
      </c>
      <c r="AK68" t="s">
        <v>98</v>
      </c>
      <c r="AL68" t="s">
        <v>86</v>
      </c>
      <c r="AM68" t="s">
        <v>95</v>
      </c>
      <c r="AN68" t="str">
        <f t="shared" ref="AN68:AN80" si="12">".9700"</f>
        <v>.9700</v>
      </c>
      <c r="AO68" t="str">
        <f>"8.00"</f>
        <v>8.00</v>
      </c>
      <c r="AP68" t="s">
        <v>99</v>
      </c>
      <c r="AQ68" t="str">
        <f>"8.00"</f>
        <v>8.00</v>
      </c>
      <c r="AR68">
        <v>0</v>
      </c>
      <c r="AS68">
        <v>-1</v>
      </c>
      <c r="AT68">
        <v>-1</v>
      </c>
      <c r="AU68">
        <v>0</v>
      </c>
      <c r="AV68">
        <v>0</v>
      </c>
      <c r="AW68">
        <v>0</v>
      </c>
      <c r="AX68">
        <v>-6.82</v>
      </c>
      <c r="AY68">
        <v>-6.82</v>
      </c>
      <c r="AZ68">
        <v>0</v>
      </c>
    </row>
    <row r="69" spans="1:52">
      <c r="A69" t="s">
        <v>65</v>
      </c>
      <c r="B69" t="s">
        <v>66</v>
      </c>
      <c r="C69" t="s">
        <v>67</v>
      </c>
      <c r="D69" t="s">
        <v>68</v>
      </c>
      <c r="E69" t="s">
        <v>69</v>
      </c>
      <c r="F69" t="s">
        <v>70</v>
      </c>
      <c r="G69" t="s">
        <v>71</v>
      </c>
      <c r="H69" t="s">
        <v>70</v>
      </c>
      <c r="I69" t="str">
        <f t="shared" si="0"/>
        <v>1010</v>
      </c>
      <c r="J69" t="str">
        <f t="shared" si="1"/>
        <v>05</v>
      </c>
      <c r="K69" t="s">
        <v>68</v>
      </c>
      <c r="L69" t="s">
        <v>72</v>
      </c>
      <c r="M69" t="s">
        <v>68</v>
      </c>
      <c r="N69" t="s">
        <v>244</v>
      </c>
      <c r="O69" t="s">
        <v>245</v>
      </c>
      <c r="P69" t="str">
        <f>"3020618292"</f>
        <v>3020618292</v>
      </c>
      <c r="R69" t="str">
        <f>"00030206182927"</f>
        <v>00030206182927</v>
      </c>
      <c r="S69" s="1">
        <v>40323</v>
      </c>
      <c r="T69" s="1">
        <v>40267</v>
      </c>
      <c r="U69" t="str">
        <f>"3020618292"</f>
        <v>3020618292</v>
      </c>
      <c r="V69" t="str">
        <f t="shared" si="11"/>
        <v>1510</v>
      </c>
      <c r="W69" t="str">
        <f t="shared" si="3"/>
        <v>11</v>
      </c>
      <c r="X69" t="s">
        <v>75</v>
      </c>
      <c r="Y69" t="s">
        <v>76</v>
      </c>
      <c r="Z69" t="s">
        <v>169</v>
      </c>
      <c r="AA69" t="s">
        <v>170</v>
      </c>
      <c r="AB69" t="s">
        <v>79</v>
      </c>
      <c r="AD69" t="s">
        <v>80</v>
      </c>
      <c r="AE69" t="s">
        <v>81</v>
      </c>
      <c r="AF69" t="s">
        <v>82</v>
      </c>
      <c r="AG69" t="s">
        <v>83</v>
      </c>
      <c r="AH69" t="s">
        <v>84</v>
      </c>
      <c r="AI69" t="str">
        <f>"02"</f>
        <v>02</v>
      </c>
      <c r="AJ69" t="str">
        <f>"2"</f>
        <v>2</v>
      </c>
      <c r="AK69" t="s">
        <v>107</v>
      </c>
      <c r="AL69" t="s">
        <v>94</v>
      </c>
      <c r="AM69" t="s">
        <v>95</v>
      </c>
      <c r="AN69" t="str">
        <f t="shared" si="12"/>
        <v>.9700</v>
      </c>
      <c r="AO69" t="str">
        <f>"10.78"</f>
        <v>10.78</v>
      </c>
      <c r="AP69" t="s">
        <v>108</v>
      </c>
      <c r="AQ69" t="str">
        <f>"10.78"</f>
        <v>10.78</v>
      </c>
      <c r="AR69">
        <v>30</v>
      </c>
      <c r="AS69">
        <v>-4</v>
      </c>
      <c r="AT69">
        <v>26</v>
      </c>
      <c r="AU69">
        <v>323.52</v>
      </c>
      <c r="AV69">
        <v>38.82</v>
      </c>
      <c r="AW69">
        <v>284.7</v>
      </c>
      <c r="AX69">
        <v>-28.25</v>
      </c>
      <c r="AY69">
        <v>256.45</v>
      </c>
      <c r="AZ69">
        <v>0</v>
      </c>
    </row>
    <row r="70" spans="1:52">
      <c r="A70" t="s">
        <v>65</v>
      </c>
      <c r="B70" t="s">
        <v>66</v>
      </c>
      <c r="C70" t="s">
        <v>67</v>
      </c>
      <c r="D70" t="s">
        <v>68</v>
      </c>
      <c r="E70" t="s">
        <v>69</v>
      </c>
      <c r="F70" t="s">
        <v>70</v>
      </c>
      <c r="G70" t="s">
        <v>71</v>
      </c>
      <c r="H70" t="s">
        <v>70</v>
      </c>
      <c r="I70" t="str">
        <f t="shared" si="0"/>
        <v>1010</v>
      </c>
      <c r="J70" t="str">
        <f t="shared" si="1"/>
        <v>05</v>
      </c>
      <c r="K70" t="s">
        <v>68</v>
      </c>
      <c r="L70" t="s">
        <v>72</v>
      </c>
      <c r="M70" t="s">
        <v>68</v>
      </c>
      <c r="N70" t="s">
        <v>246</v>
      </c>
      <c r="O70" t="s">
        <v>149</v>
      </c>
      <c r="P70" t="str">
        <f>"3020616242"</f>
        <v>3020616242</v>
      </c>
      <c r="R70" t="str">
        <f>"00030206162424"</f>
        <v>00030206162424</v>
      </c>
      <c r="S70" s="1">
        <v>39028</v>
      </c>
      <c r="T70" s="1">
        <v>39028</v>
      </c>
      <c r="U70" t="str">
        <f>"3020616242"</f>
        <v>3020616242</v>
      </c>
      <c r="V70" t="str">
        <f t="shared" si="11"/>
        <v>1510</v>
      </c>
      <c r="W70" t="str">
        <f t="shared" si="3"/>
        <v>11</v>
      </c>
      <c r="X70" t="s">
        <v>75</v>
      </c>
      <c r="Y70" t="s">
        <v>76</v>
      </c>
      <c r="Z70" t="s">
        <v>247</v>
      </c>
      <c r="AA70" t="s">
        <v>248</v>
      </c>
      <c r="AB70" t="s">
        <v>79</v>
      </c>
      <c r="AD70" t="s">
        <v>80</v>
      </c>
      <c r="AE70" t="s">
        <v>81</v>
      </c>
      <c r="AF70" t="s">
        <v>82</v>
      </c>
      <c r="AG70" t="s">
        <v>83</v>
      </c>
      <c r="AH70" t="s">
        <v>84</v>
      </c>
      <c r="AI70" t="str">
        <f>"01"</f>
        <v>01</v>
      </c>
      <c r="AJ70" t="str">
        <f t="shared" ref="AJ70:AJ78" si="13">"1"</f>
        <v>1</v>
      </c>
      <c r="AK70" t="s">
        <v>198</v>
      </c>
      <c r="AL70" t="s">
        <v>162</v>
      </c>
      <c r="AM70" t="s">
        <v>87</v>
      </c>
      <c r="AN70" t="str">
        <f t="shared" si="12"/>
        <v>.9700</v>
      </c>
      <c r="AO70" t="str">
        <f>"4.40"</f>
        <v>4.40</v>
      </c>
      <c r="AP70" t="s">
        <v>199</v>
      </c>
      <c r="AQ70" t="str">
        <f>"4.40"</f>
        <v>4.40</v>
      </c>
      <c r="AR70">
        <v>10</v>
      </c>
      <c r="AS70">
        <v>0</v>
      </c>
      <c r="AT70">
        <v>10</v>
      </c>
      <c r="AU70">
        <v>44</v>
      </c>
      <c r="AV70">
        <v>4.4000000000000004</v>
      </c>
      <c r="AW70">
        <v>39.6</v>
      </c>
      <c r="AX70">
        <v>0</v>
      </c>
      <c r="AY70">
        <v>39.6</v>
      </c>
      <c r="AZ70">
        <v>0</v>
      </c>
    </row>
    <row r="71" spans="1:52">
      <c r="A71" t="s">
        <v>65</v>
      </c>
      <c r="B71" t="s">
        <v>66</v>
      </c>
      <c r="C71" t="s">
        <v>67</v>
      </c>
      <c r="D71" t="s">
        <v>68</v>
      </c>
      <c r="E71" t="s">
        <v>69</v>
      </c>
      <c r="F71" t="s">
        <v>70</v>
      </c>
      <c r="G71" t="s">
        <v>71</v>
      </c>
      <c r="H71" t="s">
        <v>70</v>
      </c>
      <c r="I71" t="str">
        <f t="shared" si="0"/>
        <v>1010</v>
      </c>
      <c r="J71" t="str">
        <f t="shared" si="1"/>
        <v>05</v>
      </c>
      <c r="K71" t="s">
        <v>68</v>
      </c>
      <c r="L71" t="s">
        <v>72</v>
      </c>
      <c r="M71" t="s">
        <v>68</v>
      </c>
      <c r="N71" t="s">
        <v>249</v>
      </c>
      <c r="O71" t="s">
        <v>250</v>
      </c>
      <c r="P71" t="str">
        <f>"3020618222"</f>
        <v>3020618222</v>
      </c>
      <c r="R71" t="str">
        <f>"00030206182224"</f>
        <v>00030206182224</v>
      </c>
      <c r="S71" s="1">
        <v>40274</v>
      </c>
      <c r="T71" s="1">
        <v>40274</v>
      </c>
      <c r="U71" t="str">
        <f>"3020618222"</f>
        <v>3020618222</v>
      </c>
      <c r="V71" t="str">
        <f t="shared" si="11"/>
        <v>1510</v>
      </c>
      <c r="W71" t="str">
        <f t="shared" si="3"/>
        <v>11</v>
      </c>
      <c r="X71" t="s">
        <v>75</v>
      </c>
      <c r="Y71" t="s">
        <v>76</v>
      </c>
      <c r="Z71" t="s">
        <v>91</v>
      </c>
      <c r="AA71" t="s">
        <v>92</v>
      </c>
      <c r="AB71" t="s">
        <v>79</v>
      </c>
      <c r="AD71" t="s">
        <v>80</v>
      </c>
      <c r="AE71" t="s">
        <v>81</v>
      </c>
      <c r="AF71" t="s">
        <v>82</v>
      </c>
      <c r="AG71" t="s">
        <v>83</v>
      </c>
      <c r="AH71" t="s">
        <v>84</v>
      </c>
      <c r="AI71" t="str">
        <f>"01"</f>
        <v>01</v>
      </c>
      <c r="AJ71" t="str">
        <f t="shared" si="13"/>
        <v>1</v>
      </c>
      <c r="AK71" t="s">
        <v>114</v>
      </c>
      <c r="AL71" t="s">
        <v>86</v>
      </c>
      <c r="AM71" t="s">
        <v>87</v>
      </c>
      <c r="AN71" t="str">
        <f t="shared" si="12"/>
        <v>.9700</v>
      </c>
      <c r="AO71" t="str">
        <f>"7.00"</f>
        <v>7.00</v>
      </c>
      <c r="AP71" t="s">
        <v>115</v>
      </c>
      <c r="AQ71" t="str">
        <f>"7.00"</f>
        <v>7.00</v>
      </c>
      <c r="AR71">
        <v>6</v>
      </c>
      <c r="AS71">
        <v>-1</v>
      </c>
      <c r="AT71">
        <v>5</v>
      </c>
      <c r="AU71">
        <v>42</v>
      </c>
      <c r="AV71">
        <v>5.04</v>
      </c>
      <c r="AW71">
        <v>36.96</v>
      </c>
      <c r="AX71">
        <v>-5.09</v>
      </c>
      <c r="AY71">
        <v>31.87</v>
      </c>
      <c r="AZ71">
        <v>0</v>
      </c>
    </row>
    <row r="72" spans="1:52">
      <c r="A72" t="s">
        <v>65</v>
      </c>
      <c r="B72" t="s">
        <v>66</v>
      </c>
      <c r="C72" t="s">
        <v>67</v>
      </c>
      <c r="D72" t="s">
        <v>68</v>
      </c>
      <c r="E72" t="s">
        <v>69</v>
      </c>
      <c r="F72" t="s">
        <v>70</v>
      </c>
      <c r="G72" t="s">
        <v>71</v>
      </c>
      <c r="H72" t="s">
        <v>70</v>
      </c>
      <c r="I72" t="str">
        <f t="shared" si="0"/>
        <v>1010</v>
      </c>
      <c r="J72" t="str">
        <f t="shared" si="1"/>
        <v>05</v>
      </c>
      <c r="K72" t="s">
        <v>68</v>
      </c>
      <c r="L72" t="s">
        <v>72</v>
      </c>
      <c r="M72" t="s">
        <v>68</v>
      </c>
      <c r="N72" t="s">
        <v>251</v>
      </c>
      <c r="O72" t="s">
        <v>252</v>
      </c>
      <c r="P72" t="str">
        <f>"3020618062"</f>
        <v>3020618062</v>
      </c>
      <c r="R72" t="str">
        <f>"00030206180626"</f>
        <v>00030206180626</v>
      </c>
      <c r="S72" s="1">
        <v>40197</v>
      </c>
      <c r="T72" s="1">
        <v>40197</v>
      </c>
      <c r="U72" t="str">
        <f>"3020618062"</f>
        <v>3020618062</v>
      </c>
      <c r="V72" t="str">
        <f t="shared" si="11"/>
        <v>1510</v>
      </c>
      <c r="W72" t="str">
        <f t="shared" si="3"/>
        <v>11</v>
      </c>
      <c r="X72" t="s">
        <v>75</v>
      </c>
      <c r="Y72" t="s">
        <v>76</v>
      </c>
      <c r="Z72" t="s">
        <v>105</v>
      </c>
      <c r="AA72" t="s">
        <v>106</v>
      </c>
      <c r="AB72" t="s">
        <v>79</v>
      </c>
      <c r="AD72" t="s">
        <v>80</v>
      </c>
      <c r="AE72" t="s">
        <v>81</v>
      </c>
      <c r="AF72" t="s">
        <v>82</v>
      </c>
      <c r="AG72" t="s">
        <v>83</v>
      </c>
      <c r="AH72" t="s">
        <v>84</v>
      </c>
      <c r="AI72" t="str">
        <f>"01"</f>
        <v>01</v>
      </c>
      <c r="AJ72" t="str">
        <f t="shared" si="13"/>
        <v>1</v>
      </c>
      <c r="AK72" t="s">
        <v>207</v>
      </c>
      <c r="AL72" t="s">
        <v>162</v>
      </c>
      <c r="AM72" t="s">
        <v>208</v>
      </c>
      <c r="AN72" t="str">
        <f t="shared" si="12"/>
        <v>.9700</v>
      </c>
      <c r="AO72" t="str">
        <f>"5.99"</f>
        <v>5.99</v>
      </c>
      <c r="AP72" t="s">
        <v>209</v>
      </c>
      <c r="AQ72" t="str">
        <f>"5.99"</f>
        <v>5.99</v>
      </c>
      <c r="AR72">
        <v>19</v>
      </c>
      <c r="AS72">
        <v>-2</v>
      </c>
      <c r="AT72">
        <v>17</v>
      </c>
      <c r="AU72">
        <v>113.79</v>
      </c>
      <c r="AV72">
        <v>10.78</v>
      </c>
      <c r="AW72">
        <v>103.01</v>
      </c>
      <c r="AX72">
        <v>-10.62</v>
      </c>
      <c r="AY72">
        <v>92.39</v>
      </c>
      <c r="AZ72">
        <v>0</v>
      </c>
    </row>
    <row r="73" spans="1:52">
      <c r="A73" t="s">
        <v>65</v>
      </c>
      <c r="B73" t="s">
        <v>66</v>
      </c>
      <c r="C73" t="s">
        <v>67</v>
      </c>
      <c r="D73" t="s">
        <v>68</v>
      </c>
      <c r="E73" t="s">
        <v>69</v>
      </c>
      <c r="F73" t="s">
        <v>70</v>
      </c>
      <c r="G73" t="s">
        <v>71</v>
      </c>
      <c r="H73" t="s">
        <v>70</v>
      </c>
      <c r="I73" t="str">
        <f t="shared" si="0"/>
        <v>1010</v>
      </c>
      <c r="J73" t="str">
        <f t="shared" si="1"/>
        <v>05</v>
      </c>
      <c r="K73" t="s">
        <v>68</v>
      </c>
      <c r="L73" t="s">
        <v>72</v>
      </c>
      <c r="M73" t="s">
        <v>68</v>
      </c>
      <c r="N73" t="s">
        <v>253</v>
      </c>
      <c r="O73" t="s">
        <v>149</v>
      </c>
      <c r="P73" t="str">
        <f>"3020618422"</f>
        <v>3020618422</v>
      </c>
      <c r="R73" t="str">
        <f>"00030206184228"</f>
        <v>00030206184228</v>
      </c>
      <c r="S73" s="1">
        <v>40400</v>
      </c>
      <c r="T73" s="1">
        <v>40386</v>
      </c>
      <c r="U73" t="str">
        <f>"3020618422"</f>
        <v>3020618422</v>
      </c>
      <c r="V73" t="str">
        <f t="shared" si="11"/>
        <v>1510</v>
      </c>
      <c r="W73" t="str">
        <f t="shared" si="3"/>
        <v>11</v>
      </c>
      <c r="X73" t="s">
        <v>75</v>
      </c>
      <c r="Y73" t="s">
        <v>76</v>
      </c>
      <c r="Z73" t="s">
        <v>254</v>
      </c>
      <c r="AA73" t="s">
        <v>255</v>
      </c>
      <c r="AB73" t="s">
        <v>79</v>
      </c>
      <c r="AD73" t="s">
        <v>80</v>
      </c>
      <c r="AE73" t="s">
        <v>81</v>
      </c>
      <c r="AF73" t="s">
        <v>82</v>
      </c>
      <c r="AG73" t="s">
        <v>83</v>
      </c>
      <c r="AH73" t="s">
        <v>84</v>
      </c>
      <c r="AI73" t="str">
        <f>"01"</f>
        <v>01</v>
      </c>
      <c r="AJ73" t="str">
        <f t="shared" si="13"/>
        <v>1</v>
      </c>
      <c r="AK73" t="s">
        <v>154</v>
      </c>
      <c r="AL73" t="s">
        <v>86</v>
      </c>
      <c r="AM73" t="s">
        <v>87</v>
      </c>
      <c r="AN73" t="str">
        <f t="shared" si="12"/>
        <v>.9700</v>
      </c>
      <c r="AO73" t="str">
        <f>"7.25"</f>
        <v>7.25</v>
      </c>
      <c r="AP73" t="s">
        <v>156</v>
      </c>
      <c r="AQ73" t="str">
        <f>"7.25"</f>
        <v>7.25</v>
      </c>
      <c r="AR73">
        <v>19</v>
      </c>
      <c r="AS73">
        <v>0</v>
      </c>
      <c r="AT73">
        <v>19</v>
      </c>
      <c r="AU73">
        <v>137.85</v>
      </c>
      <c r="AV73">
        <v>12.34</v>
      </c>
      <c r="AW73">
        <v>125.51</v>
      </c>
      <c r="AX73">
        <v>0</v>
      </c>
      <c r="AY73">
        <v>125.51</v>
      </c>
      <c r="AZ73">
        <v>0</v>
      </c>
    </row>
    <row r="74" spans="1:52">
      <c r="A74" t="s">
        <v>65</v>
      </c>
      <c r="B74" t="s">
        <v>66</v>
      </c>
      <c r="C74" t="s">
        <v>67</v>
      </c>
      <c r="D74" t="s">
        <v>68</v>
      </c>
      <c r="E74" t="s">
        <v>69</v>
      </c>
      <c r="F74" t="s">
        <v>70</v>
      </c>
      <c r="G74" t="s">
        <v>71</v>
      </c>
      <c r="H74" t="s">
        <v>70</v>
      </c>
      <c r="I74" t="str">
        <f t="shared" ref="I74:I137" si="14">"1010"</f>
        <v>1010</v>
      </c>
      <c r="J74" t="str">
        <f t="shared" ref="J74:J137" si="15">"05"</f>
        <v>05</v>
      </c>
      <c r="K74" t="s">
        <v>68</v>
      </c>
      <c r="L74" t="s">
        <v>72</v>
      </c>
      <c r="M74" t="s">
        <v>68</v>
      </c>
      <c r="N74" t="s">
        <v>256</v>
      </c>
      <c r="O74" t="s">
        <v>149</v>
      </c>
      <c r="P74" t="str">
        <f>"3020618592"</f>
        <v>3020618592</v>
      </c>
      <c r="R74" t="str">
        <f>"00030206185928"</f>
        <v>00030206185928</v>
      </c>
      <c r="S74" s="1">
        <v>40498</v>
      </c>
      <c r="T74" s="1">
        <v>40498</v>
      </c>
      <c r="U74" t="str">
        <f>"3020618592"</f>
        <v>3020618592</v>
      </c>
      <c r="V74" t="str">
        <f t="shared" si="11"/>
        <v>1510</v>
      </c>
      <c r="W74" t="str">
        <f t="shared" ref="W74:W137" si="16">"11"</f>
        <v>11</v>
      </c>
      <c r="X74" t="s">
        <v>75</v>
      </c>
      <c r="Y74" t="s">
        <v>76</v>
      </c>
      <c r="Z74" t="s">
        <v>105</v>
      </c>
      <c r="AA74" t="s">
        <v>106</v>
      </c>
      <c r="AB74" t="s">
        <v>79</v>
      </c>
      <c r="AD74" t="s">
        <v>80</v>
      </c>
      <c r="AE74" t="s">
        <v>81</v>
      </c>
      <c r="AF74" t="s">
        <v>82</v>
      </c>
      <c r="AG74" t="s">
        <v>83</v>
      </c>
      <c r="AH74" t="s">
        <v>84</v>
      </c>
      <c r="AI74" t="str">
        <f>"01"</f>
        <v>01</v>
      </c>
      <c r="AJ74" t="str">
        <f t="shared" si="13"/>
        <v>1</v>
      </c>
      <c r="AK74" t="s">
        <v>98</v>
      </c>
      <c r="AL74" t="s">
        <v>86</v>
      </c>
      <c r="AM74" t="s">
        <v>95</v>
      </c>
      <c r="AN74" t="str">
        <f t="shared" si="12"/>
        <v>.9700</v>
      </c>
      <c r="AO74" t="str">
        <f>"8.00"</f>
        <v>8.00</v>
      </c>
      <c r="AP74" t="s">
        <v>99</v>
      </c>
      <c r="AQ74" t="str">
        <f>"8.00"</f>
        <v>8.00</v>
      </c>
      <c r="AR74">
        <v>42</v>
      </c>
      <c r="AS74">
        <v>0</v>
      </c>
      <c r="AT74">
        <v>42</v>
      </c>
      <c r="AU74">
        <v>336</v>
      </c>
      <c r="AV74">
        <v>28.32</v>
      </c>
      <c r="AW74">
        <v>307.68</v>
      </c>
      <c r="AX74">
        <v>0</v>
      </c>
      <c r="AY74">
        <v>307.68</v>
      </c>
      <c r="AZ74">
        <v>0</v>
      </c>
    </row>
    <row r="75" spans="1:52">
      <c r="A75" t="s">
        <v>65</v>
      </c>
      <c r="B75" t="s">
        <v>66</v>
      </c>
      <c r="C75" t="s">
        <v>67</v>
      </c>
      <c r="D75" t="s">
        <v>68</v>
      </c>
      <c r="E75" t="s">
        <v>69</v>
      </c>
      <c r="F75" t="s">
        <v>70</v>
      </c>
      <c r="G75" t="s">
        <v>71</v>
      </c>
      <c r="H75" t="s">
        <v>70</v>
      </c>
      <c r="I75" t="str">
        <f t="shared" si="14"/>
        <v>1010</v>
      </c>
      <c r="J75" t="str">
        <f t="shared" si="15"/>
        <v>05</v>
      </c>
      <c r="K75" t="s">
        <v>68</v>
      </c>
      <c r="L75" t="s">
        <v>72</v>
      </c>
      <c r="M75" t="s">
        <v>68</v>
      </c>
      <c r="N75" t="s">
        <v>257</v>
      </c>
      <c r="O75" t="s">
        <v>104</v>
      </c>
      <c r="P75" t="str">
        <f>"3020619532"</f>
        <v>3020619532</v>
      </c>
      <c r="R75" t="str">
        <f>"00030206195323"</f>
        <v>00030206195323</v>
      </c>
      <c r="S75" s="1">
        <v>41408</v>
      </c>
      <c r="T75" s="1">
        <v>41408</v>
      </c>
      <c r="U75" t="str">
        <f>"3020619532"</f>
        <v>3020619532</v>
      </c>
      <c r="V75" t="str">
        <f>"1010"</f>
        <v>1010</v>
      </c>
      <c r="W75" t="str">
        <f t="shared" si="16"/>
        <v>11</v>
      </c>
      <c r="X75" t="s">
        <v>75</v>
      </c>
      <c r="Y75" t="s">
        <v>173</v>
      </c>
      <c r="Z75" t="s">
        <v>105</v>
      </c>
      <c r="AA75" t="s">
        <v>106</v>
      </c>
      <c r="AB75" t="s">
        <v>79</v>
      </c>
      <c r="AD75" t="s">
        <v>80</v>
      </c>
      <c r="AE75" t="s">
        <v>81</v>
      </c>
      <c r="AF75" t="s">
        <v>82</v>
      </c>
      <c r="AG75" t="s">
        <v>83</v>
      </c>
      <c r="AH75" t="s">
        <v>84</v>
      </c>
      <c r="AJ75" t="str">
        <f t="shared" si="13"/>
        <v>1</v>
      </c>
      <c r="AK75" t="s">
        <v>85</v>
      </c>
      <c r="AL75" t="s">
        <v>143</v>
      </c>
      <c r="AM75" t="s">
        <v>87</v>
      </c>
      <c r="AN75" t="str">
        <f t="shared" si="12"/>
        <v>.9700</v>
      </c>
      <c r="AO75" t="str">
        <f>"7.50"</f>
        <v>7.50</v>
      </c>
      <c r="AP75" t="s">
        <v>88</v>
      </c>
      <c r="AQ75" t="str">
        <f>"7.50"</f>
        <v>7.50</v>
      </c>
      <c r="AR75">
        <v>10</v>
      </c>
      <c r="AS75">
        <v>-1</v>
      </c>
      <c r="AT75">
        <v>9</v>
      </c>
      <c r="AU75">
        <v>75</v>
      </c>
      <c r="AV75">
        <v>7.5</v>
      </c>
      <c r="AW75">
        <v>67.5</v>
      </c>
      <c r="AX75">
        <v>-6.03</v>
      </c>
      <c r="AY75">
        <v>61.47</v>
      </c>
      <c r="AZ75">
        <v>0</v>
      </c>
    </row>
    <row r="76" spans="1:52">
      <c r="A76" t="s">
        <v>65</v>
      </c>
      <c r="B76" t="s">
        <v>66</v>
      </c>
      <c r="C76" t="s">
        <v>67</v>
      </c>
      <c r="D76" t="s">
        <v>68</v>
      </c>
      <c r="E76" t="s">
        <v>69</v>
      </c>
      <c r="F76" t="s">
        <v>70</v>
      </c>
      <c r="G76" t="s">
        <v>71</v>
      </c>
      <c r="H76" t="s">
        <v>70</v>
      </c>
      <c r="I76" t="str">
        <f t="shared" si="14"/>
        <v>1010</v>
      </c>
      <c r="J76" t="str">
        <f t="shared" si="15"/>
        <v>05</v>
      </c>
      <c r="K76" t="s">
        <v>68</v>
      </c>
      <c r="L76" t="s">
        <v>72</v>
      </c>
      <c r="M76" t="s">
        <v>68</v>
      </c>
      <c r="N76" t="s">
        <v>258</v>
      </c>
      <c r="O76" t="s">
        <v>259</v>
      </c>
      <c r="P76" t="str">
        <f>"3020617362"</f>
        <v>3020617362</v>
      </c>
      <c r="R76" t="str">
        <f>"00030206173628"</f>
        <v>00030206173628</v>
      </c>
      <c r="S76" s="1">
        <v>39686</v>
      </c>
      <c r="T76" s="1">
        <v>39686</v>
      </c>
      <c r="U76" t="str">
        <f>"3020617362"</f>
        <v>3020617362</v>
      </c>
      <c r="V76" t="str">
        <f>"1510"</f>
        <v>1510</v>
      </c>
      <c r="W76" t="str">
        <f t="shared" si="16"/>
        <v>11</v>
      </c>
      <c r="X76" t="s">
        <v>75</v>
      </c>
      <c r="Y76" t="s">
        <v>76</v>
      </c>
      <c r="Z76" t="s">
        <v>91</v>
      </c>
      <c r="AA76" t="s">
        <v>92</v>
      </c>
      <c r="AB76" t="s">
        <v>79</v>
      </c>
      <c r="AD76" t="s">
        <v>80</v>
      </c>
      <c r="AE76" t="s">
        <v>81</v>
      </c>
      <c r="AF76" t="s">
        <v>82</v>
      </c>
      <c r="AG76" t="s">
        <v>83</v>
      </c>
      <c r="AH76" t="s">
        <v>84</v>
      </c>
      <c r="AI76" t="str">
        <f>"01"</f>
        <v>01</v>
      </c>
      <c r="AJ76" t="str">
        <f t="shared" si="13"/>
        <v>1</v>
      </c>
      <c r="AK76" t="s">
        <v>154</v>
      </c>
      <c r="AL76" t="s">
        <v>94</v>
      </c>
      <c r="AM76" t="s">
        <v>87</v>
      </c>
      <c r="AN76" t="str">
        <f t="shared" si="12"/>
        <v>.9700</v>
      </c>
      <c r="AO76" t="str">
        <f>"7.25"</f>
        <v>7.25</v>
      </c>
      <c r="AP76" t="s">
        <v>156</v>
      </c>
      <c r="AQ76" t="str">
        <f>"7.25"</f>
        <v>7.25</v>
      </c>
      <c r="AR76">
        <v>24</v>
      </c>
      <c r="AS76">
        <v>-1</v>
      </c>
      <c r="AT76">
        <v>23</v>
      </c>
      <c r="AU76">
        <v>174.13</v>
      </c>
      <c r="AV76">
        <v>15.25</v>
      </c>
      <c r="AW76">
        <v>158.88</v>
      </c>
      <c r="AX76">
        <v>-6.08</v>
      </c>
      <c r="AY76">
        <v>152.80000000000001</v>
      </c>
      <c r="AZ76">
        <v>0</v>
      </c>
    </row>
    <row r="77" spans="1:52">
      <c r="A77" t="s">
        <v>65</v>
      </c>
      <c r="B77" t="s">
        <v>66</v>
      </c>
      <c r="C77" t="s">
        <v>67</v>
      </c>
      <c r="D77" t="s">
        <v>68</v>
      </c>
      <c r="E77" t="s">
        <v>69</v>
      </c>
      <c r="F77" t="s">
        <v>70</v>
      </c>
      <c r="G77" t="s">
        <v>71</v>
      </c>
      <c r="H77" t="s">
        <v>70</v>
      </c>
      <c r="I77" t="str">
        <f t="shared" si="14"/>
        <v>1010</v>
      </c>
      <c r="J77" t="str">
        <f t="shared" si="15"/>
        <v>05</v>
      </c>
      <c r="K77" t="s">
        <v>68</v>
      </c>
      <c r="L77" t="s">
        <v>72</v>
      </c>
      <c r="M77" t="s">
        <v>68</v>
      </c>
      <c r="N77" t="s">
        <v>260</v>
      </c>
      <c r="O77" t="s">
        <v>261</v>
      </c>
      <c r="P77" t="str">
        <f>"3020619942"</f>
        <v>3020619942</v>
      </c>
      <c r="R77" t="str">
        <f>"00030206199420"</f>
        <v>00030206199420</v>
      </c>
      <c r="S77" s="1">
        <v>41611</v>
      </c>
      <c r="T77" s="1">
        <v>41611</v>
      </c>
      <c r="U77" t="str">
        <f>"3020619942"</f>
        <v>3020619942</v>
      </c>
      <c r="V77" t="str">
        <f>"1010"</f>
        <v>1010</v>
      </c>
      <c r="W77" t="str">
        <f t="shared" si="16"/>
        <v>11</v>
      </c>
      <c r="X77" t="s">
        <v>75</v>
      </c>
      <c r="Y77" t="s">
        <v>173</v>
      </c>
      <c r="Z77" t="s">
        <v>105</v>
      </c>
      <c r="AA77" t="s">
        <v>106</v>
      </c>
      <c r="AB77" t="s">
        <v>79</v>
      </c>
      <c r="AD77" t="s">
        <v>80</v>
      </c>
      <c r="AE77" t="s">
        <v>81</v>
      </c>
      <c r="AF77" t="s">
        <v>82</v>
      </c>
      <c r="AG77" t="s">
        <v>83</v>
      </c>
      <c r="AH77" t="s">
        <v>84</v>
      </c>
      <c r="AJ77" t="str">
        <f t="shared" si="13"/>
        <v>1</v>
      </c>
      <c r="AK77" t="s">
        <v>114</v>
      </c>
      <c r="AL77" t="s">
        <v>86</v>
      </c>
      <c r="AM77" t="s">
        <v>87</v>
      </c>
      <c r="AN77" t="str">
        <f t="shared" si="12"/>
        <v>.9700</v>
      </c>
      <c r="AO77" t="str">
        <f>"7.00"</f>
        <v>7.00</v>
      </c>
      <c r="AP77" t="s">
        <v>115</v>
      </c>
      <c r="AQ77" t="str">
        <f>"7.00"</f>
        <v>7.00</v>
      </c>
      <c r="AR77">
        <v>76</v>
      </c>
      <c r="AS77">
        <v>-1</v>
      </c>
      <c r="AT77">
        <v>75</v>
      </c>
      <c r="AU77">
        <v>532</v>
      </c>
      <c r="AV77">
        <v>53.2</v>
      </c>
      <c r="AW77">
        <v>478.8</v>
      </c>
      <c r="AX77">
        <v>-6.12</v>
      </c>
      <c r="AY77">
        <v>472.68</v>
      </c>
      <c r="AZ77">
        <v>0</v>
      </c>
    </row>
    <row r="78" spans="1:52">
      <c r="A78" t="s">
        <v>65</v>
      </c>
      <c r="B78" t="s">
        <v>66</v>
      </c>
      <c r="C78" t="s">
        <v>67</v>
      </c>
      <c r="D78" t="s">
        <v>68</v>
      </c>
      <c r="E78" t="s">
        <v>69</v>
      </c>
      <c r="F78" t="s">
        <v>70</v>
      </c>
      <c r="G78" t="s">
        <v>71</v>
      </c>
      <c r="H78" t="s">
        <v>70</v>
      </c>
      <c r="I78" t="str">
        <f t="shared" si="14"/>
        <v>1010</v>
      </c>
      <c r="J78" t="str">
        <f t="shared" si="15"/>
        <v>05</v>
      </c>
      <c r="K78" t="s">
        <v>68</v>
      </c>
      <c r="L78" t="s">
        <v>72</v>
      </c>
      <c r="M78" t="s">
        <v>68</v>
      </c>
      <c r="N78" t="s">
        <v>262</v>
      </c>
      <c r="O78" t="s">
        <v>263</v>
      </c>
      <c r="P78" t="s">
        <v>264</v>
      </c>
      <c r="R78" t="str">
        <f>"00030206544626"</f>
        <v>00030206544626</v>
      </c>
      <c r="S78" s="1">
        <v>34240</v>
      </c>
      <c r="T78" s="1">
        <v>34240</v>
      </c>
      <c r="U78" t="s">
        <v>264</v>
      </c>
      <c r="V78" t="str">
        <f>"1510"</f>
        <v>1510</v>
      </c>
      <c r="W78" t="str">
        <f t="shared" si="16"/>
        <v>11</v>
      </c>
      <c r="X78" t="s">
        <v>75</v>
      </c>
      <c r="Y78" t="s">
        <v>76</v>
      </c>
      <c r="Z78" t="s">
        <v>180</v>
      </c>
      <c r="AA78" t="s">
        <v>181</v>
      </c>
      <c r="AB78" t="s">
        <v>79</v>
      </c>
      <c r="AD78" t="s">
        <v>80</v>
      </c>
      <c r="AE78" t="s">
        <v>81</v>
      </c>
      <c r="AF78" t="s">
        <v>82</v>
      </c>
      <c r="AG78" t="s">
        <v>83</v>
      </c>
      <c r="AH78" t="s">
        <v>84</v>
      </c>
      <c r="AI78" t="str">
        <f>"01"</f>
        <v>01</v>
      </c>
      <c r="AJ78" t="str">
        <f t="shared" si="13"/>
        <v>1</v>
      </c>
      <c r="AK78" t="s">
        <v>107</v>
      </c>
      <c r="AL78" t="s">
        <v>94</v>
      </c>
      <c r="AM78" t="s">
        <v>95</v>
      </c>
      <c r="AN78" t="str">
        <f t="shared" si="12"/>
        <v>.9700</v>
      </c>
      <c r="AO78" t="str">
        <f>"10.78"</f>
        <v>10.78</v>
      </c>
      <c r="AP78" t="s">
        <v>108</v>
      </c>
      <c r="AQ78" t="str">
        <f>"10.78"</f>
        <v>10.78</v>
      </c>
      <c r="AR78">
        <v>46</v>
      </c>
      <c r="AS78">
        <v>-1</v>
      </c>
      <c r="AT78">
        <v>45</v>
      </c>
      <c r="AU78">
        <v>493.93</v>
      </c>
      <c r="AV78">
        <v>44</v>
      </c>
      <c r="AW78">
        <v>449.93</v>
      </c>
      <c r="AX78">
        <v>-9.92</v>
      </c>
      <c r="AY78">
        <v>440.01</v>
      </c>
      <c r="AZ78">
        <v>0</v>
      </c>
    </row>
    <row r="79" spans="1:52">
      <c r="A79" t="s">
        <v>65</v>
      </c>
      <c r="B79" t="s">
        <v>66</v>
      </c>
      <c r="C79" t="s">
        <v>67</v>
      </c>
      <c r="D79" t="s">
        <v>68</v>
      </c>
      <c r="E79" t="s">
        <v>69</v>
      </c>
      <c r="F79" t="s">
        <v>70</v>
      </c>
      <c r="G79" t="s">
        <v>71</v>
      </c>
      <c r="H79" t="s">
        <v>70</v>
      </c>
      <c r="I79" t="str">
        <f t="shared" si="14"/>
        <v>1010</v>
      </c>
      <c r="J79" t="str">
        <f t="shared" si="15"/>
        <v>05</v>
      </c>
      <c r="K79" t="s">
        <v>68</v>
      </c>
      <c r="L79" t="s">
        <v>72</v>
      </c>
      <c r="M79" t="s">
        <v>68</v>
      </c>
      <c r="N79" t="s">
        <v>265</v>
      </c>
      <c r="O79" t="s">
        <v>266</v>
      </c>
      <c r="P79" t="str">
        <f>"3020617872"</f>
        <v>3020617872</v>
      </c>
      <c r="R79" t="str">
        <f>"00030206178722"</f>
        <v>00030206178722</v>
      </c>
      <c r="S79" s="1">
        <v>40078</v>
      </c>
      <c r="T79" s="1">
        <v>40064</v>
      </c>
      <c r="U79" t="str">
        <f>"3020617872"</f>
        <v>3020617872</v>
      </c>
      <c r="V79" t="str">
        <f>"1510"</f>
        <v>1510</v>
      </c>
      <c r="W79" t="str">
        <f t="shared" si="16"/>
        <v>11</v>
      </c>
      <c r="X79" t="s">
        <v>75</v>
      </c>
      <c r="Y79" t="s">
        <v>76</v>
      </c>
      <c r="Z79" t="s">
        <v>91</v>
      </c>
      <c r="AA79" t="s">
        <v>92</v>
      </c>
      <c r="AB79" t="s">
        <v>79</v>
      </c>
      <c r="AD79" t="s">
        <v>80</v>
      </c>
      <c r="AE79" t="s">
        <v>81</v>
      </c>
      <c r="AF79" t="s">
        <v>82</v>
      </c>
      <c r="AG79" t="s">
        <v>83</v>
      </c>
      <c r="AH79" t="s">
        <v>84</v>
      </c>
      <c r="AI79" t="str">
        <f>"02"</f>
        <v>02</v>
      </c>
      <c r="AJ79" t="str">
        <f>"2"</f>
        <v>2</v>
      </c>
      <c r="AK79" t="s">
        <v>107</v>
      </c>
      <c r="AL79" t="s">
        <v>94</v>
      </c>
      <c r="AM79" t="s">
        <v>95</v>
      </c>
      <c r="AN79" t="str">
        <f t="shared" si="12"/>
        <v>.9700</v>
      </c>
      <c r="AO79" t="str">
        <f>"10.78"</f>
        <v>10.78</v>
      </c>
      <c r="AP79" t="s">
        <v>108</v>
      </c>
      <c r="AQ79" t="str">
        <f>"10.78"</f>
        <v>10.78</v>
      </c>
      <c r="AR79">
        <v>7</v>
      </c>
      <c r="AS79">
        <v>0</v>
      </c>
      <c r="AT79">
        <v>7</v>
      </c>
      <c r="AU79">
        <v>75.44</v>
      </c>
      <c r="AV79">
        <v>7.54</v>
      </c>
      <c r="AW79">
        <v>67.900000000000006</v>
      </c>
      <c r="AX79">
        <v>0</v>
      </c>
      <c r="AY79">
        <v>67.900000000000006</v>
      </c>
      <c r="AZ79">
        <v>0</v>
      </c>
    </row>
    <row r="80" spans="1:52">
      <c r="A80" t="s">
        <v>65</v>
      </c>
      <c r="B80" t="s">
        <v>66</v>
      </c>
      <c r="C80" t="s">
        <v>67</v>
      </c>
      <c r="D80" t="s">
        <v>68</v>
      </c>
      <c r="E80" t="s">
        <v>69</v>
      </c>
      <c r="F80" t="s">
        <v>70</v>
      </c>
      <c r="G80" t="s">
        <v>71</v>
      </c>
      <c r="H80" t="s">
        <v>70</v>
      </c>
      <c r="I80" t="str">
        <f t="shared" si="14"/>
        <v>1010</v>
      </c>
      <c r="J80" t="str">
        <f t="shared" si="15"/>
        <v>05</v>
      </c>
      <c r="K80" t="s">
        <v>68</v>
      </c>
      <c r="L80" t="s">
        <v>72</v>
      </c>
      <c r="M80" t="s">
        <v>68</v>
      </c>
      <c r="N80" t="s">
        <v>267</v>
      </c>
      <c r="O80" t="s">
        <v>268</v>
      </c>
      <c r="P80" t="str">
        <f>"3020665892"</f>
        <v>3020665892</v>
      </c>
      <c r="R80" t="str">
        <f>"00030206658927"</f>
        <v>00030206658927</v>
      </c>
      <c r="S80" s="1">
        <v>38279</v>
      </c>
      <c r="T80" s="1">
        <v>38279</v>
      </c>
      <c r="U80" t="str">
        <f>"3020665892"</f>
        <v>3020665892</v>
      </c>
      <c r="V80" t="str">
        <f>"1510"</f>
        <v>1510</v>
      </c>
      <c r="W80" t="str">
        <f t="shared" si="16"/>
        <v>11</v>
      </c>
      <c r="X80" t="s">
        <v>75</v>
      </c>
      <c r="Y80" t="s">
        <v>76</v>
      </c>
      <c r="Z80" t="s">
        <v>105</v>
      </c>
      <c r="AA80" t="s">
        <v>106</v>
      </c>
      <c r="AB80" t="s">
        <v>79</v>
      </c>
      <c r="AD80" t="s">
        <v>80</v>
      </c>
      <c r="AE80" t="s">
        <v>81</v>
      </c>
      <c r="AF80" t="s">
        <v>82</v>
      </c>
      <c r="AG80" t="s">
        <v>83</v>
      </c>
      <c r="AH80" t="s">
        <v>84</v>
      </c>
      <c r="AI80" t="str">
        <f>"01"</f>
        <v>01</v>
      </c>
      <c r="AJ80" t="str">
        <f t="shared" ref="AJ80:AJ85" si="17">"1"</f>
        <v>1</v>
      </c>
      <c r="AK80" t="s">
        <v>154</v>
      </c>
      <c r="AL80" t="s">
        <v>155</v>
      </c>
      <c r="AM80" t="s">
        <v>87</v>
      </c>
      <c r="AN80" t="str">
        <f t="shared" si="12"/>
        <v>.9700</v>
      </c>
      <c r="AO80" t="str">
        <f>"7.25"</f>
        <v>7.25</v>
      </c>
      <c r="AP80" t="s">
        <v>156</v>
      </c>
      <c r="AQ80" t="str">
        <f>"7.25"</f>
        <v>7.25</v>
      </c>
      <c r="AR80">
        <v>38</v>
      </c>
      <c r="AS80">
        <v>0</v>
      </c>
      <c r="AT80">
        <v>38</v>
      </c>
      <c r="AU80">
        <v>275.5</v>
      </c>
      <c r="AV80">
        <v>29.58</v>
      </c>
      <c r="AW80">
        <v>245.92</v>
      </c>
      <c r="AX80">
        <v>0</v>
      </c>
      <c r="AY80">
        <v>245.92</v>
      </c>
      <c r="AZ80">
        <v>0</v>
      </c>
    </row>
    <row r="81" spans="1:52">
      <c r="A81" t="s">
        <v>65</v>
      </c>
      <c r="B81" t="s">
        <v>66</v>
      </c>
      <c r="C81" t="s">
        <v>67</v>
      </c>
      <c r="D81" t="s">
        <v>68</v>
      </c>
      <c r="E81" t="s">
        <v>69</v>
      </c>
      <c r="F81" t="s">
        <v>70</v>
      </c>
      <c r="G81" t="s">
        <v>71</v>
      </c>
      <c r="H81" t="s">
        <v>70</v>
      </c>
      <c r="I81" t="str">
        <f t="shared" si="14"/>
        <v>1010</v>
      </c>
      <c r="J81" t="str">
        <f t="shared" si="15"/>
        <v>05</v>
      </c>
      <c r="K81" t="s">
        <v>68</v>
      </c>
      <c r="L81" t="s">
        <v>72</v>
      </c>
      <c r="M81" t="s">
        <v>68</v>
      </c>
      <c r="N81" t="s">
        <v>269</v>
      </c>
      <c r="O81" t="s">
        <v>270</v>
      </c>
      <c r="P81" t="str">
        <f>"3020662291"</f>
        <v>3020662291</v>
      </c>
      <c r="R81" t="str">
        <f>"00030206622911"</f>
        <v>00030206622911</v>
      </c>
      <c r="S81" s="1">
        <v>41744</v>
      </c>
      <c r="T81" s="1">
        <v>41744</v>
      </c>
      <c r="U81" t="str">
        <f>"3020662291"</f>
        <v>3020662291</v>
      </c>
      <c r="V81" t="str">
        <f>"1010"</f>
        <v>1010</v>
      </c>
      <c r="W81" t="str">
        <f t="shared" si="16"/>
        <v>11</v>
      </c>
      <c r="X81" t="s">
        <v>75</v>
      </c>
      <c r="Y81" t="s">
        <v>139</v>
      </c>
      <c r="Z81" t="s">
        <v>105</v>
      </c>
      <c r="AA81" t="s">
        <v>106</v>
      </c>
      <c r="AB81" t="s">
        <v>79</v>
      </c>
      <c r="AD81" t="s">
        <v>80</v>
      </c>
      <c r="AE81" t="s">
        <v>81</v>
      </c>
      <c r="AF81" t="s">
        <v>82</v>
      </c>
      <c r="AG81" t="s">
        <v>140</v>
      </c>
      <c r="AH81" t="s">
        <v>141</v>
      </c>
      <c r="AJ81" t="str">
        <f t="shared" si="17"/>
        <v>1</v>
      </c>
      <c r="AK81" t="s">
        <v>142</v>
      </c>
      <c r="AL81" t="s">
        <v>94</v>
      </c>
      <c r="AM81" t="s">
        <v>95</v>
      </c>
      <c r="AO81" t="str">
        <f>"11.59"</f>
        <v>11.59</v>
      </c>
      <c r="AP81" t="s">
        <v>144</v>
      </c>
      <c r="AQ81" t="str">
        <f>"11.59"</f>
        <v>11.59</v>
      </c>
      <c r="AR81">
        <v>23</v>
      </c>
      <c r="AS81">
        <v>0</v>
      </c>
      <c r="AT81">
        <v>23</v>
      </c>
      <c r="AU81">
        <v>266.57</v>
      </c>
      <c r="AV81">
        <v>0</v>
      </c>
      <c r="AW81">
        <v>266.57</v>
      </c>
      <c r="AX81">
        <v>0</v>
      </c>
      <c r="AY81">
        <v>266.57</v>
      </c>
      <c r="AZ81">
        <v>0</v>
      </c>
    </row>
    <row r="82" spans="1:52">
      <c r="A82" t="s">
        <v>65</v>
      </c>
      <c r="B82" t="s">
        <v>66</v>
      </c>
      <c r="C82" t="s">
        <v>67</v>
      </c>
      <c r="D82" t="s">
        <v>68</v>
      </c>
      <c r="E82" t="s">
        <v>69</v>
      </c>
      <c r="F82" t="s">
        <v>70</v>
      </c>
      <c r="G82" t="s">
        <v>71</v>
      </c>
      <c r="H82" t="s">
        <v>70</v>
      </c>
      <c r="I82" t="str">
        <f t="shared" si="14"/>
        <v>1010</v>
      </c>
      <c r="J82" t="str">
        <f t="shared" si="15"/>
        <v>05</v>
      </c>
      <c r="K82" t="s">
        <v>68</v>
      </c>
      <c r="L82" t="s">
        <v>72</v>
      </c>
      <c r="M82" t="s">
        <v>68</v>
      </c>
      <c r="N82" t="s">
        <v>271</v>
      </c>
      <c r="O82" t="s">
        <v>272</v>
      </c>
      <c r="P82" t="str">
        <f>"3020619672"</f>
        <v>3020619672</v>
      </c>
      <c r="R82" t="str">
        <f>"00030206196726"</f>
        <v>00030206196726</v>
      </c>
      <c r="S82" s="1">
        <v>41506</v>
      </c>
      <c r="T82" s="1">
        <v>41506</v>
      </c>
      <c r="U82" t="str">
        <f>"3020619672"</f>
        <v>3020619672</v>
      </c>
      <c r="V82" t="str">
        <f>"1010"</f>
        <v>1010</v>
      </c>
      <c r="W82" t="str">
        <f t="shared" si="16"/>
        <v>11</v>
      </c>
      <c r="X82" t="s">
        <v>75</v>
      </c>
      <c r="Y82" t="s">
        <v>173</v>
      </c>
      <c r="Z82" t="s">
        <v>247</v>
      </c>
      <c r="AA82" t="s">
        <v>248</v>
      </c>
      <c r="AB82" t="s">
        <v>79</v>
      </c>
      <c r="AD82" t="s">
        <v>80</v>
      </c>
      <c r="AE82" t="s">
        <v>81</v>
      </c>
      <c r="AF82" t="s">
        <v>82</v>
      </c>
      <c r="AG82" t="s">
        <v>83</v>
      </c>
      <c r="AH82" t="s">
        <v>84</v>
      </c>
      <c r="AJ82" t="str">
        <f t="shared" si="17"/>
        <v>1</v>
      </c>
      <c r="AK82" t="s">
        <v>85</v>
      </c>
      <c r="AL82" t="s">
        <v>86</v>
      </c>
      <c r="AM82" t="s">
        <v>87</v>
      </c>
      <c r="AN82" t="str">
        <f t="shared" ref="AN82:AN113" si="18">".9700"</f>
        <v>.9700</v>
      </c>
      <c r="AO82" t="str">
        <f>"7.50"</f>
        <v>7.50</v>
      </c>
      <c r="AP82" t="s">
        <v>88</v>
      </c>
      <c r="AQ82" t="str">
        <f>"7.50"</f>
        <v>7.50</v>
      </c>
      <c r="AR82">
        <v>3</v>
      </c>
      <c r="AS82">
        <v>-2</v>
      </c>
      <c r="AT82">
        <v>1</v>
      </c>
      <c r="AU82">
        <v>22.5</v>
      </c>
      <c r="AV82">
        <v>2.25</v>
      </c>
      <c r="AW82">
        <v>20.25</v>
      </c>
      <c r="AX82">
        <v>-12.06</v>
      </c>
      <c r="AY82">
        <v>8.19</v>
      </c>
      <c r="AZ82">
        <v>0</v>
      </c>
    </row>
    <row r="83" spans="1:52">
      <c r="A83" t="s">
        <v>65</v>
      </c>
      <c r="B83" t="s">
        <v>66</v>
      </c>
      <c r="C83" t="s">
        <v>67</v>
      </c>
      <c r="D83" t="s">
        <v>68</v>
      </c>
      <c r="E83" t="s">
        <v>69</v>
      </c>
      <c r="F83" t="s">
        <v>70</v>
      </c>
      <c r="G83" t="s">
        <v>71</v>
      </c>
      <c r="H83" t="s">
        <v>70</v>
      </c>
      <c r="I83" t="str">
        <f t="shared" si="14"/>
        <v>1010</v>
      </c>
      <c r="J83" t="str">
        <f t="shared" si="15"/>
        <v>05</v>
      </c>
      <c r="K83" t="s">
        <v>68</v>
      </c>
      <c r="L83" t="s">
        <v>72</v>
      </c>
      <c r="M83" t="s">
        <v>68</v>
      </c>
      <c r="N83" t="s">
        <v>273</v>
      </c>
      <c r="O83" t="s">
        <v>274</v>
      </c>
      <c r="P83" t="str">
        <f>"3020619732"</f>
        <v>3020619732</v>
      </c>
      <c r="R83" t="str">
        <f>"00030206197327"</f>
        <v>00030206197327</v>
      </c>
      <c r="S83" s="1">
        <v>41534</v>
      </c>
      <c r="T83" s="1">
        <v>41534</v>
      </c>
      <c r="U83" t="str">
        <f>"3020619732"</f>
        <v>3020619732</v>
      </c>
      <c r="V83" t="str">
        <f>"1010"</f>
        <v>1010</v>
      </c>
      <c r="W83" t="str">
        <f t="shared" si="16"/>
        <v>11</v>
      </c>
      <c r="X83" t="s">
        <v>75</v>
      </c>
      <c r="Y83" t="s">
        <v>173</v>
      </c>
      <c r="Z83" t="s">
        <v>105</v>
      </c>
      <c r="AA83" t="s">
        <v>106</v>
      </c>
      <c r="AB83" t="s">
        <v>79</v>
      </c>
      <c r="AD83" t="s">
        <v>80</v>
      </c>
      <c r="AE83" t="s">
        <v>81</v>
      </c>
      <c r="AF83" t="s">
        <v>82</v>
      </c>
      <c r="AG83" t="s">
        <v>83</v>
      </c>
      <c r="AH83" t="s">
        <v>84</v>
      </c>
      <c r="AI83" t="str">
        <f>"01"</f>
        <v>01</v>
      </c>
      <c r="AJ83" t="str">
        <f t="shared" si="17"/>
        <v>1</v>
      </c>
      <c r="AK83" t="s">
        <v>114</v>
      </c>
      <c r="AL83" t="s">
        <v>86</v>
      </c>
      <c r="AM83" t="s">
        <v>87</v>
      </c>
      <c r="AN83" t="str">
        <f t="shared" si="18"/>
        <v>.9700</v>
      </c>
      <c r="AO83" t="str">
        <f>"7.00"</f>
        <v>7.00</v>
      </c>
      <c r="AP83" t="s">
        <v>115</v>
      </c>
      <c r="AQ83" t="str">
        <f>"7.00"</f>
        <v>7.00</v>
      </c>
      <c r="AR83">
        <v>14</v>
      </c>
      <c r="AS83">
        <v>-21</v>
      </c>
      <c r="AT83">
        <v>-7</v>
      </c>
      <c r="AU83">
        <v>98</v>
      </c>
      <c r="AV83">
        <v>7.7</v>
      </c>
      <c r="AW83">
        <v>90.3</v>
      </c>
      <c r="AX83">
        <v>-117.77</v>
      </c>
      <c r="AY83">
        <v>-27.47</v>
      </c>
      <c r="AZ83">
        <v>0</v>
      </c>
    </row>
    <row r="84" spans="1:52">
      <c r="A84" t="s">
        <v>65</v>
      </c>
      <c r="B84" t="s">
        <v>66</v>
      </c>
      <c r="C84" t="s">
        <v>67</v>
      </c>
      <c r="D84" t="s">
        <v>68</v>
      </c>
      <c r="E84" t="s">
        <v>69</v>
      </c>
      <c r="F84" t="s">
        <v>70</v>
      </c>
      <c r="G84" t="s">
        <v>71</v>
      </c>
      <c r="H84" t="s">
        <v>70</v>
      </c>
      <c r="I84" t="str">
        <f t="shared" si="14"/>
        <v>1010</v>
      </c>
      <c r="J84" t="str">
        <f t="shared" si="15"/>
        <v>05</v>
      </c>
      <c r="K84" t="s">
        <v>68</v>
      </c>
      <c r="L84" t="s">
        <v>72</v>
      </c>
      <c r="M84" t="s">
        <v>68</v>
      </c>
      <c r="N84" t="s">
        <v>275</v>
      </c>
      <c r="O84" t="s">
        <v>164</v>
      </c>
      <c r="P84" t="str">
        <f>"3020619332"</f>
        <v>3020619332</v>
      </c>
      <c r="R84" t="str">
        <f>"00030206193329"</f>
        <v>00030206193329</v>
      </c>
      <c r="S84" s="1">
        <v>41184</v>
      </c>
      <c r="T84" s="1">
        <v>41170</v>
      </c>
      <c r="U84" t="str">
        <f>"3020619332"</f>
        <v>3020619332</v>
      </c>
      <c r="V84" t="str">
        <f>"1010"</f>
        <v>1010</v>
      </c>
      <c r="W84" t="str">
        <f t="shared" si="16"/>
        <v>11</v>
      </c>
      <c r="X84" t="s">
        <v>75</v>
      </c>
      <c r="Y84" t="s">
        <v>76</v>
      </c>
      <c r="Z84" t="s">
        <v>105</v>
      </c>
      <c r="AA84" t="s">
        <v>106</v>
      </c>
      <c r="AB84" t="s">
        <v>79</v>
      </c>
      <c r="AD84" t="s">
        <v>80</v>
      </c>
      <c r="AE84" t="s">
        <v>81</v>
      </c>
      <c r="AF84" t="s">
        <v>82</v>
      </c>
      <c r="AG84" t="s">
        <v>83</v>
      </c>
      <c r="AH84" t="s">
        <v>84</v>
      </c>
      <c r="AI84" t="str">
        <f>"01"</f>
        <v>01</v>
      </c>
      <c r="AJ84" t="str">
        <f t="shared" si="17"/>
        <v>1</v>
      </c>
      <c r="AK84" t="s">
        <v>114</v>
      </c>
      <c r="AL84" t="s">
        <v>86</v>
      </c>
      <c r="AM84" t="s">
        <v>87</v>
      </c>
      <c r="AN84" t="str">
        <f t="shared" si="18"/>
        <v>.9700</v>
      </c>
      <c r="AO84" t="str">
        <f>"7.00"</f>
        <v>7.00</v>
      </c>
      <c r="AP84" t="s">
        <v>115</v>
      </c>
      <c r="AQ84" t="str">
        <f>"7.00"</f>
        <v>7.00</v>
      </c>
      <c r="AR84">
        <v>15</v>
      </c>
      <c r="AS84">
        <v>-2</v>
      </c>
      <c r="AT84">
        <v>13</v>
      </c>
      <c r="AU84">
        <v>105</v>
      </c>
      <c r="AV84">
        <v>10.5</v>
      </c>
      <c r="AW84">
        <v>94.5</v>
      </c>
      <c r="AX84">
        <v>-11.38</v>
      </c>
      <c r="AY84">
        <v>83.12</v>
      </c>
      <c r="AZ84">
        <v>0</v>
      </c>
    </row>
    <row r="85" spans="1:52">
      <c r="A85" t="s">
        <v>65</v>
      </c>
      <c r="B85" t="s">
        <v>66</v>
      </c>
      <c r="C85" t="s">
        <v>67</v>
      </c>
      <c r="D85" t="s">
        <v>68</v>
      </c>
      <c r="E85" t="s">
        <v>69</v>
      </c>
      <c r="F85" t="s">
        <v>70</v>
      </c>
      <c r="G85" t="s">
        <v>71</v>
      </c>
      <c r="H85" t="s">
        <v>70</v>
      </c>
      <c r="I85" t="str">
        <f t="shared" si="14"/>
        <v>1010</v>
      </c>
      <c r="J85" t="str">
        <f t="shared" si="15"/>
        <v>05</v>
      </c>
      <c r="K85" t="s">
        <v>68</v>
      </c>
      <c r="L85" t="s">
        <v>72</v>
      </c>
      <c r="M85" t="s">
        <v>68</v>
      </c>
      <c r="N85" t="s">
        <v>276</v>
      </c>
      <c r="O85" t="s">
        <v>277</v>
      </c>
      <c r="P85" t="str">
        <f>"3020672158"</f>
        <v>3020672158</v>
      </c>
      <c r="R85" t="str">
        <f>"00030206721584"</f>
        <v>00030206721584</v>
      </c>
      <c r="S85" s="1">
        <v>41520</v>
      </c>
      <c r="T85" s="1">
        <v>41520</v>
      </c>
      <c r="U85" t="str">
        <f>"3020672158"</f>
        <v>3020672158</v>
      </c>
      <c r="V85" t="str">
        <f>"1010"</f>
        <v>1010</v>
      </c>
      <c r="W85" t="str">
        <f t="shared" si="16"/>
        <v>11</v>
      </c>
      <c r="X85" t="s">
        <v>75</v>
      </c>
      <c r="Y85" t="s">
        <v>173</v>
      </c>
      <c r="Z85" t="s">
        <v>105</v>
      </c>
      <c r="AA85" t="s">
        <v>106</v>
      </c>
      <c r="AB85" t="s">
        <v>79</v>
      </c>
      <c r="AD85" t="s">
        <v>80</v>
      </c>
      <c r="AE85" t="s">
        <v>81</v>
      </c>
      <c r="AF85" t="s">
        <v>82</v>
      </c>
      <c r="AG85" t="s">
        <v>83</v>
      </c>
      <c r="AH85" t="s">
        <v>84</v>
      </c>
      <c r="AJ85" t="str">
        <f t="shared" si="17"/>
        <v>1</v>
      </c>
      <c r="AK85" t="s">
        <v>101</v>
      </c>
      <c r="AL85" t="s">
        <v>143</v>
      </c>
      <c r="AM85" t="s">
        <v>95</v>
      </c>
      <c r="AN85" t="str">
        <f t="shared" si="18"/>
        <v>.9700</v>
      </c>
      <c r="AO85" t="str">
        <f>"9.07"</f>
        <v>9.07</v>
      </c>
      <c r="AP85" t="s">
        <v>102</v>
      </c>
      <c r="AQ85" t="str">
        <f>"9.07"</f>
        <v>9.07</v>
      </c>
      <c r="AR85">
        <v>2</v>
      </c>
      <c r="AS85">
        <v>-11</v>
      </c>
      <c r="AT85">
        <v>-9</v>
      </c>
      <c r="AU85">
        <v>18.14</v>
      </c>
      <c r="AV85">
        <v>0</v>
      </c>
      <c r="AW85">
        <v>18.14</v>
      </c>
      <c r="AX85">
        <v>-92.01</v>
      </c>
      <c r="AY85">
        <v>-73.87</v>
      </c>
      <c r="AZ85">
        <v>0</v>
      </c>
    </row>
    <row r="86" spans="1:52">
      <c r="A86" t="s">
        <v>65</v>
      </c>
      <c r="B86" t="s">
        <v>66</v>
      </c>
      <c r="C86" t="s">
        <v>67</v>
      </c>
      <c r="D86" t="s">
        <v>68</v>
      </c>
      <c r="E86" t="s">
        <v>69</v>
      </c>
      <c r="F86" t="s">
        <v>70</v>
      </c>
      <c r="G86" t="s">
        <v>71</v>
      </c>
      <c r="H86" t="s">
        <v>70</v>
      </c>
      <c r="I86" t="str">
        <f t="shared" si="14"/>
        <v>1010</v>
      </c>
      <c r="J86" t="str">
        <f t="shared" si="15"/>
        <v>05</v>
      </c>
      <c r="K86" t="s">
        <v>68</v>
      </c>
      <c r="L86" t="s">
        <v>72</v>
      </c>
      <c r="M86" t="s">
        <v>68</v>
      </c>
      <c r="N86" t="s">
        <v>278</v>
      </c>
      <c r="O86" t="s">
        <v>279</v>
      </c>
      <c r="P86" t="str">
        <f>"3020617572"</f>
        <v>3020617572</v>
      </c>
      <c r="R86" t="str">
        <f>"00030206175721"</f>
        <v>00030206175721</v>
      </c>
      <c r="S86" s="1">
        <v>39868</v>
      </c>
      <c r="T86" s="1">
        <v>39868</v>
      </c>
      <c r="U86" t="str">
        <f>"3020617572"</f>
        <v>3020617572</v>
      </c>
      <c r="V86" t="str">
        <f t="shared" ref="V86:V102" si="19">"1510"</f>
        <v>1510</v>
      </c>
      <c r="W86" t="str">
        <f t="shared" si="16"/>
        <v>11</v>
      </c>
      <c r="X86" t="s">
        <v>75</v>
      </c>
      <c r="Y86" t="s">
        <v>76</v>
      </c>
      <c r="Z86" t="s">
        <v>77</v>
      </c>
      <c r="AA86" t="s">
        <v>78</v>
      </c>
      <c r="AB86" t="s">
        <v>79</v>
      </c>
      <c r="AD86" t="s">
        <v>80</v>
      </c>
      <c r="AE86" t="s">
        <v>81</v>
      </c>
      <c r="AF86" t="s">
        <v>82</v>
      </c>
      <c r="AG86" t="s">
        <v>83</v>
      </c>
      <c r="AH86" t="s">
        <v>84</v>
      </c>
      <c r="AI86" t="str">
        <f>"02"</f>
        <v>02</v>
      </c>
      <c r="AJ86" t="str">
        <f>"2"</f>
        <v>2</v>
      </c>
      <c r="AK86" t="s">
        <v>194</v>
      </c>
      <c r="AL86" t="s">
        <v>94</v>
      </c>
      <c r="AM86" t="s">
        <v>95</v>
      </c>
      <c r="AN86" t="str">
        <f t="shared" si="18"/>
        <v>.9700</v>
      </c>
      <c r="AO86" t="str">
        <f>"9.75"</f>
        <v>9.75</v>
      </c>
      <c r="AP86" t="s">
        <v>195</v>
      </c>
      <c r="AQ86" t="str">
        <f>"9.75"</f>
        <v>9.75</v>
      </c>
      <c r="AR86">
        <v>0</v>
      </c>
      <c r="AS86">
        <v>-1</v>
      </c>
      <c r="AT86">
        <v>-1</v>
      </c>
      <c r="AU86">
        <v>0</v>
      </c>
      <c r="AV86">
        <v>0</v>
      </c>
      <c r="AW86">
        <v>0</v>
      </c>
      <c r="AX86">
        <v>-8.6300000000000008</v>
      </c>
      <c r="AY86">
        <v>-8.6300000000000008</v>
      </c>
      <c r="AZ86">
        <v>0</v>
      </c>
    </row>
    <row r="87" spans="1:52">
      <c r="A87" t="s">
        <v>65</v>
      </c>
      <c r="B87" t="s">
        <v>66</v>
      </c>
      <c r="C87" t="s">
        <v>67</v>
      </c>
      <c r="D87" t="s">
        <v>68</v>
      </c>
      <c r="E87" t="s">
        <v>69</v>
      </c>
      <c r="F87" t="s">
        <v>70</v>
      </c>
      <c r="G87" t="s">
        <v>71</v>
      </c>
      <c r="H87" t="s">
        <v>70</v>
      </c>
      <c r="I87" t="str">
        <f t="shared" si="14"/>
        <v>1010</v>
      </c>
      <c r="J87" t="str">
        <f t="shared" si="15"/>
        <v>05</v>
      </c>
      <c r="K87" t="s">
        <v>68</v>
      </c>
      <c r="L87" t="s">
        <v>72</v>
      </c>
      <c r="M87" t="s">
        <v>68</v>
      </c>
      <c r="N87" t="s">
        <v>278</v>
      </c>
      <c r="O87" t="s">
        <v>280</v>
      </c>
      <c r="P87" t="str">
        <f>"3020619092"</f>
        <v>3020619092</v>
      </c>
      <c r="R87" t="str">
        <f>"00030206190922"</f>
        <v>00030206190922</v>
      </c>
      <c r="S87" s="1">
        <v>40988</v>
      </c>
      <c r="T87" s="1">
        <v>40988</v>
      </c>
      <c r="U87" t="str">
        <f>"3020619092"</f>
        <v>3020619092</v>
      </c>
      <c r="V87" t="str">
        <f t="shared" si="19"/>
        <v>1510</v>
      </c>
      <c r="W87" t="str">
        <f t="shared" si="16"/>
        <v>11</v>
      </c>
      <c r="X87" t="s">
        <v>75</v>
      </c>
      <c r="Y87" t="s">
        <v>76</v>
      </c>
      <c r="Z87" t="s">
        <v>77</v>
      </c>
      <c r="AA87" t="s">
        <v>78</v>
      </c>
      <c r="AB87" t="s">
        <v>79</v>
      </c>
      <c r="AD87" t="s">
        <v>80</v>
      </c>
      <c r="AE87" t="s">
        <v>81</v>
      </c>
      <c r="AF87" t="s">
        <v>82</v>
      </c>
      <c r="AG87" t="s">
        <v>83</v>
      </c>
      <c r="AH87" t="s">
        <v>84</v>
      </c>
      <c r="AI87" t="str">
        <f>"02"</f>
        <v>02</v>
      </c>
      <c r="AJ87" t="str">
        <f>"2"</f>
        <v>2</v>
      </c>
      <c r="AK87" t="s">
        <v>107</v>
      </c>
      <c r="AL87" t="s">
        <v>94</v>
      </c>
      <c r="AM87" t="s">
        <v>95</v>
      </c>
      <c r="AN87" t="str">
        <f t="shared" si="18"/>
        <v>.9700</v>
      </c>
      <c r="AO87" t="str">
        <f>"10.78"</f>
        <v>10.78</v>
      </c>
      <c r="AP87" t="s">
        <v>108</v>
      </c>
      <c r="AQ87" t="str">
        <f>"10.78"</f>
        <v>10.78</v>
      </c>
      <c r="AR87">
        <v>0</v>
      </c>
      <c r="AS87">
        <v>-5</v>
      </c>
      <c r="AT87">
        <v>-5</v>
      </c>
      <c r="AU87">
        <v>-3.62</v>
      </c>
      <c r="AV87">
        <v>0</v>
      </c>
      <c r="AW87">
        <v>-3.62</v>
      </c>
      <c r="AX87">
        <v>-47.82</v>
      </c>
      <c r="AY87">
        <v>-51.44</v>
      </c>
      <c r="AZ87">
        <v>0</v>
      </c>
    </row>
    <row r="88" spans="1:52">
      <c r="A88" t="s">
        <v>65</v>
      </c>
      <c r="B88" t="s">
        <v>66</v>
      </c>
      <c r="C88" t="s">
        <v>67</v>
      </c>
      <c r="D88" t="s">
        <v>68</v>
      </c>
      <c r="E88" t="s">
        <v>69</v>
      </c>
      <c r="F88" t="s">
        <v>70</v>
      </c>
      <c r="G88" t="s">
        <v>71</v>
      </c>
      <c r="H88" t="s">
        <v>70</v>
      </c>
      <c r="I88" t="str">
        <f t="shared" si="14"/>
        <v>1010</v>
      </c>
      <c r="J88" t="str">
        <f t="shared" si="15"/>
        <v>05</v>
      </c>
      <c r="K88" t="s">
        <v>68</v>
      </c>
      <c r="L88" t="s">
        <v>72</v>
      </c>
      <c r="M88" t="s">
        <v>68</v>
      </c>
      <c r="N88" t="s">
        <v>281</v>
      </c>
      <c r="O88" t="s">
        <v>245</v>
      </c>
      <c r="P88" t="str">
        <f>"3020618412"</f>
        <v>3020618412</v>
      </c>
      <c r="R88" t="str">
        <f>"00030206184129"</f>
        <v>00030206184129</v>
      </c>
      <c r="S88" s="1">
        <v>40386</v>
      </c>
      <c r="T88" s="1">
        <v>40379</v>
      </c>
      <c r="U88" t="str">
        <f>"3020618412"</f>
        <v>3020618412</v>
      </c>
      <c r="V88" t="str">
        <f t="shared" si="19"/>
        <v>1510</v>
      </c>
      <c r="W88" t="str">
        <f t="shared" si="16"/>
        <v>11</v>
      </c>
      <c r="X88" t="s">
        <v>75</v>
      </c>
      <c r="Y88" t="s">
        <v>76</v>
      </c>
      <c r="Z88" t="s">
        <v>282</v>
      </c>
      <c r="AA88" t="s">
        <v>283</v>
      </c>
      <c r="AB88" t="s">
        <v>79</v>
      </c>
      <c r="AD88" t="s">
        <v>80</v>
      </c>
      <c r="AE88" t="s">
        <v>81</v>
      </c>
      <c r="AF88" t="s">
        <v>82</v>
      </c>
      <c r="AG88" t="s">
        <v>83</v>
      </c>
      <c r="AH88" t="s">
        <v>84</v>
      </c>
      <c r="AI88" t="str">
        <f t="shared" ref="AI88:AI101" si="20">"01"</f>
        <v>01</v>
      </c>
      <c r="AJ88" t="str">
        <f>"1"</f>
        <v>1</v>
      </c>
      <c r="AK88" t="s">
        <v>154</v>
      </c>
      <c r="AL88" t="s">
        <v>86</v>
      </c>
      <c r="AM88" t="s">
        <v>87</v>
      </c>
      <c r="AN88" t="str">
        <f t="shared" si="18"/>
        <v>.9700</v>
      </c>
      <c r="AO88" t="str">
        <f>"7.25"</f>
        <v>7.25</v>
      </c>
      <c r="AP88" t="s">
        <v>156</v>
      </c>
      <c r="AQ88" t="str">
        <f>"7.25"</f>
        <v>7.25</v>
      </c>
      <c r="AR88">
        <v>15</v>
      </c>
      <c r="AS88">
        <v>-2</v>
      </c>
      <c r="AT88">
        <v>13</v>
      </c>
      <c r="AU88">
        <v>108.83</v>
      </c>
      <c r="AV88">
        <v>10.88</v>
      </c>
      <c r="AW88">
        <v>97.95</v>
      </c>
      <c r="AX88">
        <v>-13.43</v>
      </c>
      <c r="AY88">
        <v>84.52</v>
      </c>
      <c r="AZ88">
        <v>0</v>
      </c>
    </row>
    <row r="89" spans="1:52">
      <c r="A89" t="s">
        <v>65</v>
      </c>
      <c r="B89" t="s">
        <v>66</v>
      </c>
      <c r="C89" t="s">
        <v>67</v>
      </c>
      <c r="D89" t="s">
        <v>68</v>
      </c>
      <c r="E89" t="s">
        <v>69</v>
      </c>
      <c r="F89" t="s">
        <v>70</v>
      </c>
      <c r="G89" t="s">
        <v>71</v>
      </c>
      <c r="H89" t="s">
        <v>70</v>
      </c>
      <c r="I89" t="str">
        <f t="shared" si="14"/>
        <v>1010</v>
      </c>
      <c r="J89" t="str">
        <f t="shared" si="15"/>
        <v>05</v>
      </c>
      <c r="K89" t="s">
        <v>68</v>
      </c>
      <c r="L89" t="s">
        <v>72</v>
      </c>
      <c r="M89" t="s">
        <v>68</v>
      </c>
      <c r="N89" t="s">
        <v>284</v>
      </c>
      <c r="O89" t="s">
        <v>285</v>
      </c>
      <c r="P89" t="str">
        <f>"3020615112"</f>
        <v>3020615112</v>
      </c>
      <c r="R89" t="str">
        <f>"00030206151121"</f>
        <v>00030206151121</v>
      </c>
      <c r="S89" s="1">
        <v>38650</v>
      </c>
      <c r="T89" s="1">
        <v>38636</v>
      </c>
      <c r="U89" t="str">
        <f>"3020615112"</f>
        <v>3020615112</v>
      </c>
      <c r="V89" t="str">
        <f t="shared" si="19"/>
        <v>1510</v>
      </c>
      <c r="W89" t="str">
        <f t="shared" si="16"/>
        <v>11</v>
      </c>
      <c r="X89" t="s">
        <v>75</v>
      </c>
      <c r="Y89" t="s">
        <v>76</v>
      </c>
      <c r="Z89" t="s">
        <v>77</v>
      </c>
      <c r="AA89" t="s">
        <v>78</v>
      </c>
      <c r="AB89" t="s">
        <v>79</v>
      </c>
      <c r="AD89" t="s">
        <v>80</v>
      </c>
      <c r="AE89" t="s">
        <v>81</v>
      </c>
      <c r="AF89" t="s">
        <v>82</v>
      </c>
      <c r="AG89" t="s">
        <v>83</v>
      </c>
      <c r="AH89" t="s">
        <v>84</v>
      </c>
      <c r="AI89" t="str">
        <f t="shared" si="20"/>
        <v>01</v>
      </c>
      <c r="AJ89" t="str">
        <f>"1"</f>
        <v>1</v>
      </c>
      <c r="AK89" t="s">
        <v>98</v>
      </c>
      <c r="AL89" t="s">
        <v>94</v>
      </c>
      <c r="AM89" t="s">
        <v>95</v>
      </c>
      <c r="AN89" t="str">
        <f t="shared" si="18"/>
        <v>.9700</v>
      </c>
      <c r="AO89" t="str">
        <f>"8.00"</f>
        <v>8.00</v>
      </c>
      <c r="AP89" t="s">
        <v>99</v>
      </c>
      <c r="AQ89" t="str">
        <f>"8.00"</f>
        <v>8.00</v>
      </c>
      <c r="AR89">
        <v>0</v>
      </c>
      <c r="AS89">
        <v>-1</v>
      </c>
      <c r="AT89">
        <v>-1</v>
      </c>
      <c r="AU89">
        <v>0</v>
      </c>
      <c r="AV89">
        <v>0</v>
      </c>
      <c r="AW89">
        <v>0</v>
      </c>
      <c r="AX89">
        <v>-6.97</v>
      </c>
      <c r="AY89">
        <v>-6.97</v>
      </c>
      <c r="AZ89">
        <v>0</v>
      </c>
    </row>
    <row r="90" spans="1:52">
      <c r="A90" t="s">
        <v>65</v>
      </c>
      <c r="B90" t="s">
        <v>66</v>
      </c>
      <c r="C90" t="s">
        <v>67</v>
      </c>
      <c r="D90" t="s">
        <v>68</v>
      </c>
      <c r="E90" t="s">
        <v>69</v>
      </c>
      <c r="F90" t="s">
        <v>70</v>
      </c>
      <c r="G90" t="s">
        <v>71</v>
      </c>
      <c r="H90" t="s">
        <v>70</v>
      </c>
      <c r="I90" t="str">
        <f t="shared" si="14"/>
        <v>1010</v>
      </c>
      <c r="J90" t="str">
        <f t="shared" si="15"/>
        <v>05</v>
      </c>
      <c r="K90" t="s">
        <v>68</v>
      </c>
      <c r="L90" t="s">
        <v>72</v>
      </c>
      <c r="M90" t="s">
        <v>68</v>
      </c>
      <c r="N90" t="s">
        <v>286</v>
      </c>
      <c r="O90" t="s">
        <v>287</v>
      </c>
      <c r="P90" t="str">
        <f>"3020619022"</f>
        <v>3020619022</v>
      </c>
      <c r="R90" t="str">
        <f>"00030206190229"</f>
        <v>00030206190229</v>
      </c>
      <c r="S90" s="1">
        <v>40883</v>
      </c>
      <c r="T90" s="1">
        <v>40883</v>
      </c>
      <c r="U90" t="str">
        <f>"3020619022"</f>
        <v>3020619022</v>
      </c>
      <c r="V90" t="str">
        <f t="shared" si="19"/>
        <v>1510</v>
      </c>
      <c r="W90" t="str">
        <f t="shared" si="16"/>
        <v>11</v>
      </c>
      <c r="X90" t="s">
        <v>75</v>
      </c>
      <c r="Y90" t="s">
        <v>76</v>
      </c>
      <c r="Z90" t="s">
        <v>91</v>
      </c>
      <c r="AA90" t="s">
        <v>92</v>
      </c>
      <c r="AB90" t="s">
        <v>79</v>
      </c>
      <c r="AD90" t="s">
        <v>80</v>
      </c>
      <c r="AE90" t="s">
        <v>81</v>
      </c>
      <c r="AF90" t="s">
        <v>82</v>
      </c>
      <c r="AG90" t="s">
        <v>83</v>
      </c>
      <c r="AH90" t="s">
        <v>84</v>
      </c>
      <c r="AI90" t="str">
        <f t="shared" si="20"/>
        <v>01</v>
      </c>
      <c r="AJ90" t="str">
        <f>"1"</f>
        <v>1</v>
      </c>
      <c r="AK90" t="s">
        <v>114</v>
      </c>
      <c r="AL90" t="s">
        <v>86</v>
      </c>
      <c r="AM90" t="s">
        <v>87</v>
      </c>
      <c r="AN90" t="str">
        <f t="shared" si="18"/>
        <v>.9700</v>
      </c>
      <c r="AO90" t="str">
        <f>"7.00"</f>
        <v>7.00</v>
      </c>
      <c r="AP90" t="s">
        <v>115</v>
      </c>
      <c r="AQ90" t="str">
        <f>"7.00"</f>
        <v>7.00</v>
      </c>
      <c r="AR90">
        <v>16</v>
      </c>
      <c r="AS90">
        <v>-1</v>
      </c>
      <c r="AT90">
        <v>15</v>
      </c>
      <c r="AU90">
        <v>112</v>
      </c>
      <c r="AV90">
        <v>11.34</v>
      </c>
      <c r="AW90">
        <v>100.66</v>
      </c>
      <c r="AX90">
        <v>-5.78</v>
      </c>
      <c r="AY90">
        <v>94.88</v>
      </c>
      <c r="AZ90">
        <v>0</v>
      </c>
    </row>
    <row r="91" spans="1:52">
      <c r="A91" t="s">
        <v>65</v>
      </c>
      <c r="B91" t="s">
        <v>66</v>
      </c>
      <c r="C91" t="s">
        <v>67</v>
      </c>
      <c r="D91" t="s">
        <v>68</v>
      </c>
      <c r="E91" t="s">
        <v>69</v>
      </c>
      <c r="F91" t="s">
        <v>70</v>
      </c>
      <c r="G91" t="s">
        <v>71</v>
      </c>
      <c r="H91" t="s">
        <v>70</v>
      </c>
      <c r="I91" t="str">
        <f t="shared" si="14"/>
        <v>1010</v>
      </c>
      <c r="J91" t="str">
        <f t="shared" si="15"/>
        <v>05</v>
      </c>
      <c r="K91" t="s">
        <v>68</v>
      </c>
      <c r="L91" t="s">
        <v>72</v>
      </c>
      <c r="M91" t="s">
        <v>68</v>
      </c>
      <c r="N91" t="s">
        <v>288</v>
      </c>
      <c r="O91" t="s">
        <v>289</v>
      </c>
      <c r="P91" t="str">
        <f>"3020617222"</f>
        <v>3020617222</v>
      </c>
      <c r="R91" t="str">
        <f>"00030206172225"</f>
        <v>00030206172225</v>
      </c>
      <c r="S91" s="1">
        <v>39427</v>
      </c>
      <c r="T91" s="1">
        <v>39420</v>
      </c>
      <c r="U91" t="str">
        <f>"3020617222"</f>
        <v>3020617222</v>
      </c>
      <c r="V91" t="str">
        <f t="shared" si="19"/>
        <v>1510</v>
      </c>
      <c r="W91" t="str">
        <f t="shared" si="16"/>
        <v>11</v>
      </c>
      <c r="X91" t="s">
        <v>75</v>
      </c>
      <c r="Y91" t="s">
        <v>76</v>
      </c>
      <c r="Z91" t="s">
        <v>105</v>
      </c>
      <c r="AA91" t="s">
        <v>106</v>
      </c>
      <c r="AB91" t="s">
        <v>79</v>
      </c>
      <c r="AD91" t="s">
        <v>80</v>
      </c>
      <c r="AE91" t="s">
        <v>81</v>
      </c>
      <c r="AF91" t="s">
        <v>82</v>
      </c>
      <c r="AG91" t="s">
        <v>83</v>
      </c>
      <c r="AH91" t="s">
        <v>84</v>
      </c>
      <c r="AI91" t="str">
        <f t="shared" si="20"/>
        <v>01</v>
      </c>
      <c r="AJ91" t="str">
        <f>"1"</f>
        <v>1</v>
      </c>
      <c r="AK91" t="s">
        <v>114</v>
      </c>
      <c r="AL91" t="s">
        <v>162</v>
      </c>
      <c r="AM91" t="s">
        <v>87</v>
      </c>
      <c r="AN91" t="str">
        <f t="shared" si="18"/>
        <v>.9700</v>
      </c>
      <c r="AO91" t="str">
        <f>"7.00"</f>
        <v>7.00</v>
      </c>
      <c r="AP91" t="s">
        <v>115</v>
      </c>
      <c r="AQ91" t="str">
        <f>"7.00"</f>
        <v>7.00</v>
      </c>
      <c r="AR91">
        <v>5</v>
      </c>
      <c r="AS91">
        <v>-1</v>
      </c>
      <c r="AT91">
        <v>4</v>
      </c>
      <c r="AU91">
        <v>34</v>
      </c>
      <c r="AV91">
        <v>2.52</v>
      </c>
      <c r="AW91">
        <v>31.48</v>
      </c>
      <c r="AX91">
        <v>-6.44</v>
      </c>
      <c r="AY91">
        <v>25.04</v>
      </c>
      <c r="AZ91">
        <v>0</v>
      </c>
    </row>
    <row r="92" spans="1:52">
      <c r="A92" t="s">
        <v>65</v>
      </c>
      <c r="B92" t="s">
        <v>66</v>
      </c>
      <c r="C92" t="s">
        <v>67</v>
      </c>
      <c r="D92" t="s">
        <v>68</v>
      </c>
      <c r="E92" t="s">
        <v>69</v>
      </c>
      <c r="F92" t="s">
        <v>70</v>
      </c>
      <c r="G92" t="s">
        <v>71</v>
      </c>
      <c r="H92" t="s">
        <v>70</v>
      </c>
      <c r="I92" t="str">
        <f t="shared" si="14"/>
        <v>1010</v>
      </c>
      <c r="J92" t="str">
        <f t="shared" si="15"/>
        <v>05</v>
      </c>
      <c r="K92" t="s">
        <v>68</v>
      </c>
      <c r="L92" t="s">
        <v>72</v>
      </c>
      <c r="M92" t="s">
        <v>68</v>
      </c>
      <c r="N92" t="s">
        <v>290</v>
      </c>
      <c r="O92" t="s">
        <v>104</v>
      </c>
      <c r="P92" t="str">
        <f>"3020618232"</f>
        <v>3020618232</v>
      </c>
      <c r="R92" t="str">
        <f>"00030206182323"</f>
        <v>00030206182323</v>
      </c>
      <c r="S92" s="1">
        <v>40274</v>
      </c>
      <c r="T92" s="1">
        <v>40274</v>
      </c>
      <c r="U92" t="str">
        <f>"3020618232"</f>
        <v>3020618232</v>
      </c>
      <c r="V92" t="str">
        <f t="shared" si="19"/>
        <v>1510</v>
      </c>
      <c r="W92" t="str">
        <f t="shared" si="16"/>
        <v>11</v>
      </c>
      <c r="X92" t="s">
        <v>75</v>
      </c>
      <c r="Y92" t="s">
        <v>76</v>
      </c>
      <c r="Z92" t="s">
        <v>291</v>
      </c>
      <c r="AA92" t="s">
        <v>292</v>
      </c>
      <c r="AB92" t="s">
        <v>79</v>
      </c>
      <c r="AD92" t="s">
        <v>80</v>
      </c>
      <c r="AE92" t="s">
        <v>81</v>
      </c>
      <c r="AF92" t="s">
        <v>82</v>
      </c>
      <c r="AG92" t="s">
        <v>83</v>
      </c>
      <c r="AH92" t="s">
        <v>84</v>
      </c>
      <c r="AI92" t="str">
        <f t="shared" si="20"/>
        <v>01</v>
      </c>
      <c r="AJ92" t="str">
        <f>"1"</f>
        <v>1</v>
      </c>
      <c r="AK92" t="s">
        <v>114</v>
      </c>
      <c r="AL92" t="s">
        <v>86</v>
      </c>
      <c r="AM92" t="s">
        <v>87</v>
      </c>
      <c r="AN92" t="str">
        <f t="shared" si="18"/>
        <v>.9700</v>
      </c>
      <c r="AO92" t="str">
        <f>"7.00"</f>
        <v>7.00</v>
      </c>
      <c r="AP92" t="s">
        <v>115</v>
      </c>
      <c r="AQ92" t="str">
        <f>"7.00"</f>
        <v>7.00</v>
      </c>
      <c r="AR92">
        <v>0</v>
      </c>
      <c r="AS92">
        <v>-1</v>
      </c>
      <c r="AT92">
        <v>-1</v>
      </c>
      <c r="AU92">
        <v>0</v>
      </c>
      <c r="AV92">
        <v>0</v>
      </c>
      <c r="AW92">
        <v>0</v>
      </c>
      <c r="AX92">
        <v>-6.18</v>
      </c>
      <c r="AY92">
        <v>-6.18</v>
      </c>
      <c r="AZ92">
        <v>0</v>
      </c>
    </row>
    <row r="93" spans="1:52">
      <c r="A93" t="s">
        <v>65</v>
      </c>
      <c r="B93" t="s">
        <v>66</v>
      </c>
      <c r="C93" t="s">
        <v>67</v>
      </c>
      <c r="D93" t="s">
        <v>68</v>
      </c>
      <c r="E93" t="s">
        <v>69</v>
      </c>
      <c r="F93" t="s">
        <v>70</v>
      </c>
      <c r="G93" t="s">
        <v>71</v>
      </c>
      <c r="H93" t="s">
        <v>70</v>
      </c>
      <c r="I93" t="str">
        <f t="shared" si="14"/>
        <v>1010</v>
      </c>
      <c r="J93" t="str">
        <f t="shared" si="15"/>
        <v>05</v>
      </c>
      <c r="K93" t="s">
        <v>68</v>
      </c>
      <c r="L93" t="s">
        <v>72</v>
      </c>
      <c r="M93" t="s">
        <v>68</v>
      </c>
      <c r="N93" t="s">
        <v>293</v>
      </c>
      <c r="O93" t="s">
        <v>294</v>
      </c>
      <c r="P93" t="str">
        <f>"3020618032"</f>
        <v>3020618032</v>
      </c>
      <c r="R93" t="str">
        <f>"00030206180329"</f>
        <v>00030206180329</v>
      </c>
      <c r="S93" s="1">
        <v>40168</v>
      </c>
      <c r="T93" s="1">
        <v>40155</v>
      </c>
      <c r="U93" t="str">
        <f>"3020618032"</f>
        <v>3020618032</v>
      </c>
      <c r="V93" t="str">
        <f t="shared" si="19"/>
        <v>1510</v>
      </c>
      <c r="W93" t="str">
        <f t="shared" si="16"/>
        <v>11</v>
      </c>
      <c r="X93" t="s">
        <v>75</v>
      </c>
      <c r="Y93" t="s">
        <v>76</v>
      </c>
      <c r="Z93" t="s">
        <v>105</v>
      </c>
      <c r="AA93" t="s">
        <v>106</v>
      </c>
      <c r="AB93" t="s">
        <v>79</v>
      </c>
      <c r="AD93" t="s">
        <v>80</v>
      </c>
      <c r="AE93" t="s">
        <v>81</v>
      </c>
      <c r="AF93" t="s">
        <v>82</v>
      </c>
      <c r="AG93" t="s">
        <v>83</v>
      </c>
      <c r="AH93" t="s">
        <v>84</v>
      </c>
      <c r="AI93" t="str">
        <f t="shared" si="20"/>
        <v>01</v>
      </c>
      <c r="AJ93" t="str">
        <f>"2"</f>
        <v>2</v>
      </c>
      <c r="AK93" t="s">
        <v>85</v>
      </c>
      <c r="AL93" t="s">
        <v>94</v>
      </c>
      <c r="AM93" t="s">
        <v>87</v>
      </c>
      <c r="AN93" t="str">
        <f t="shared" si="18"/>
        <v>.9700</v>
      </c>
      <c r="AO93" t="str">
        <f>"7.50"</f>
        <v>7.50</v>
      </c>
      <c r="AP93" t="s">
        <v>88</v>
      </c>
      <c r="AQ93" t="str">
        <f>"7.50"</f>
        <v>7.50</v>
      </c>
      <c r="AR93">
        <v>2</v>
      </c>
      <c r="AS93">
        <v>0</v>
      </c>
      <c r="AT93">
        <v>2</v>
      </c>
      <c r="AU93">
        <v>15</v>
      </c>
      <c r="AV93">
        <v>1.5</v>
      </c>
      <c r="AW93">
        <v>13.5</v>
      </c>
      <c r="AX93">
        <v>0</v>
      </c>
      <c r="AY93">
        <v>13.5</v>
      </c>
      <c r="AZ93">
        <v>0</v>
      </c>
    </row>
    <row r="94" spans="1:52">
      <c r="A94" t="s">
        <v>65</v>
      </c>
      <c r="B94" t="s">
        <v>66</v>
      </c>
      <c r="C94" t="s">
        <v>67</v>
      </c>
      <c r="D94" t="s">
        <v>68</v>
      </c>
      <c r="E94" t="s">
        <v>69</v>
      </c>
      <c r="F94" t="s">
        <v>70</v>
      </c>
      <c r="G94" t="s">
        <v>71</v>
      </c>
      <c r="H94" t="s">
        <v>70</v>
      </c>
      <c r="I94" t="str">
        <f t="shared" si="14"/>
        <v>1010</v>
      </c>
      <c r="J94" t="str">
        <f t="shared" si="15"/>
        <v>05</v>
      </c>
      <c r="K94" t="s">
        <v>68</v>
      </c>
      <c r="L94" t="s">
        <v>72</v>
      </c>
      <c r="M94" t="s">
        <v>68</v>
      </c>
      <c r="N94" t="s">
        <v>295</v>
      </c>
      <c r="O94" t="s">
        <v>296</v>
      </c>
      <c r="P94" t="str">
        <f>"3020664032"</f>
        <v>3020664032</v>
      </c>
      <c r="R94" t="str">
        <f>"00030206640328"</f>
        <v>00030206640328</v>
      </c>
      <c r="S94" s="1">
        <v>37544</v>
      </c>
      <c r="T94" s="1">
        <v>37544</v>
      </c>
      <c r="U94" t="str">
        <f>"3020664032"</f>
        <v>3020664032</v>
      </c>
      <c r="V94" t="str">
        <f t="shared" si="19"/>
        <v>1510</v>
      </c>
      <c r="W94" t="str">
        <f t="shared" si="16"/>
        <v>11</v>
      </c>
      <c r="X94" t="s">
        <v>75</v>
      </c>
      <c r="Y94" t="s">
        <v>76</v>
      </c>
      <c r="Z94" t="s">
        <v>110</v>
      </c>
      <c r="AA94" t="s">
        <v>111</v>
      </c>
      <c r="AB94" t="s">
        <v>79</v>
      </c>
      <c r="AD94" t="s">
        <v>80</v>
      </c>
      <c r="AE94" t="s">
        <v>81</v>
      </c>
      <c r="AF94" t="s">
        <v>82</v>
      </c>
      <c r="AG94" t="s">
        <v>83</v>
      </c>
      <c r="AH94" t="s">
        <v>84</v>
      </c>
      <c r="AI94" t="str">
        <f t="shared" si="20"/>
        <v>01</v>
      </c>
      <c r="AJ94" t="str">
        <f t="shared" ref="AJ94:AJ101" si="21">"1"</f>
        <v>1</v>
      </c>
      <c r="AK94" t="s">
        <v>101</v>
      </c>
      <c r="AL94" t="s">
        <v>94</v>
      </c>
      <c r="AM94" t="s">
        <v>95</v>
      </c>
      <c r="AN94" t="str">
        <f t="shared" si="18"/>
        <v>.9700</v>
      </c>
      <c r="AO94" t="str">
        <f>"9.07"</f>
        <v>9.07</v>
      </c>
      <c r="AP94" t="s">
        <v>102</v>
      </c>
      <c r="AQ94" t="str">
        <f>"9.07"</f>
        <v>9.07</v>
      </c>
      <c r="AR94">
        <v>1</v>
      </c>
      <c r="AS94">
        <v>0</v>
      </c>
      <c r="AT94">
        <v>1</v>
      </c>
      <c r="AU94">
        <v>9.07</v>
      </c>
      <c r="AV94">
        <v>0</v>
      </c>
      <c r="AW94">
        <v>9.07</v>
      </c>
      <c r="AX94">
        <v>0</v>
      </c>
      <c r="AY94">
        <v>9.07</v>
      </c>
      <c r="AZ94">
        <v>0</v>
      </c>
    </row>
    <row r="95" spans="1:52">
      <c r="A95" t="s">
        <v>65</v>
      </c>
      <c r="B95" t="s">
        <v>66</v>
      </c>
      <c r="C95" t="s">
        <v>67</v>
      </c>
      <c r="D95" t="s">
        <v>68</v>
      </c>
      <c r="E95" t="s">
        <v>69</v>
      </c>
      <c r="F95" t="s">
        <v>70</v>
      </c>
      <c r="G95" t="s">
        <v>71</v>
      </c>
      <c r="H95" t="s">
        <v>70</v>
      </c>
      <c r="I95" t="str">
        <f t="shared" si="14"/>
        <v>1010</v>
      </c>
      <c r="J95" t="str">
        <f t="shared" si="15"/>
        <v>05</v>
      </c>
      <c r="K95" t="s">
        <v>68</v>
      </c>
      <c r="L95" t="s">
        <v>72</v>
      </c>
      <c r="M95" t="s">
        <v>68</v>
      </c>
      <c r="N95" t="s">
        <v>297</v>
      </c>
      <c r="O95" t="s">
        <v>298</v>
      </c>
      <c r="P95" t="str">
        <f>"3020618662"</f>
        <v>3020618662</v>
      </c>
      <c r="R95" t="str">
        <f>"00030206186628"</f>
        <v>00030206186628</v>
      </c>
      <c r="S95" s="1">
        <v>40554</v>
      </c>
      <c r="T95" s="1">
        <v>40554</v>
      </c>
      <c r="U95" t="str">
        <f>"3020618662"</f>
        <v>3020618662</v>
      </c>
      <c r="V95" t="str">
        <f t="shared" si="19"/>
        <v>1510</v>
      </c>
      <c r="W95" t="str">
        <f t="shared" si="16"/>
        <v>11</v>
      </c>
      <c r="X95" t="s">
        <v>75</v>
      </c>
      <c r="Y95" t="s">
        <v>76</v>
      </c>
      <c r="Z95" t="s">
        <v>77</v>
      </c>
      <c r="AA95" t="s">
        <v>78</v>
      </c>
      <c r="AB95" t="s">
        <v>79</v>
      </c>
      <c r="AD95" t="s">
        <v>80</v>
      </c>
      <c r="AE95" t="s">
        <v>81</v>
      </c>
      <c r="AF95" t="s">
        <v>82</v>
      </c>
      <c r="AG95" t="s">
        <v>83</v>
      </c>
      <c r="AH95" t="s">
        <v>84</v>
      </c>
      <c r="AI95" t="str">
        <f t="shared" si="20"/>
        <v>01</v>
      </c>
      <c r="AJ95" t="str">
        <f t="shared" si="21"/>
        <v>1</v>
      </c>
      <c r="AK95" t="s">
        <v>98</v>
      </c>
      <c r="AL95" t="s">
        <v>86</v>
      </c>
      <c r="AM95" t="s">
        <v>95</v>
      </c>
      <c r="AN95" t="str">
        <f t="shared" si="18"/>
        <v>.9700</v>
      </c>
      <c r="AO95" t="str">
        <f>"8.00"</f>
        <v>8.00</v>
      </c>
      <c r="AP95" t="s">
        <v>99</v>
      </c>
      <c r="AQ95" t="str">
        <f>"8.00"</f>
        <v>8.00</v>
      </c>
      <c r="AR95">
        <v>0</v>
      </c>
      <c r="AS95">
        <v>-1</v>
      </c>
      <c r="AT95">
        <v>-1</v>
      </c>
      <c r="AU95">
        <v>0</v>
      </c>
      <c r="AV95">
        <v>0</v>
      </c>
      <c r="AW95">
        <v>0</v>
      </c>
      <c r="AX95">
        <v>-7.05</v>
      </c>
      <c r="AY95">
        <v>-7.05</v>
      </c>
      <c r="AZ95">
        <v>0</v>
      </c>
    </row>
    <row r="96" spans="1:52">
      <c r="A96" t="s">
        <v>65</v>
      </c>
      <c r="B96" t="s">
        <v>66</v>
      </c>
      <c r="C96" t="s">
        <v>67</v>
      </c>
      <c r="D96" t="s">
        <v>68</v>
      </c>
      <c r="E96" t="s">
        <v>69</v>
      </c>
      <c r="F96" t="s">
        <v>70</v>
      </c>
      <c r="G96" t="s">
        <v>71</v>
      </c>
      <c r="H96" t="s">
        <v>70</v>
      </c>
      <c r="I96" t="str">
        <f t="shared" si="14"/>
        <v>1010</v>
      </c>
      <c r="J96" t="str">
        <f t="shared" si="15"/>
        <v>05</v>
      </c>
      <c r="K96" t="s">
        <v>68</v>
      </c>
      <c r="L96" t="s">
        <v>72</v>
      </c>
      <c r="M96" t="s">
        <v>68</v>
      </c>
      <c r="N96" t="s">
        <v>299</v>
      </c>
      <c r="O96" t="s">
        <v>300</v>
      </c>
      <c r="P96" t="str">
        <f>"3020619122"</f>
        <v>3020619122</v>
      </c>
      <c r="R96" t="str">
        <f>"00030206191226"</f>
        <v>00030206191226</v>
      </c>
      <c r="S96" s="1">
        <v>41037</v>
      </c>
      <c r="T96" s="1">
        <v>41037</v>
      </c>
      <c r="U96" t="str">
        <f>"3020619122"</f>
        <v>3020619122</v>
      </c>
      <c r="V96" t="str">
        <f t="shared" si="19"/>
        <v>1510</v>
      </c>
      <c r="W96" t="str">
        <f t="shared" si="16"/>
        <v>11</v>
      </c>
      <c r="X96" t="s">
        <v>75</v>
      </c>
      <c r="Y96" t="s">
        <v>76</v>
      </c>
      <c r="Z96" t="s">
        <v>77</v>
      </c>
      <c r="AA96" t="s">
        <v>78</v>
      </c>
      <c r="AB96" t="s">
        <v>79</v>
      </c>
      <c r="AD96" t="s">
        <v>80</v>
      </c>
      <c r="AE96" t="s">
        <v>81</v>
      </c>
      <c r="AF96" t="s">
        <v>82</v>
      </c>
      <c r="AG96" t="s">
        <v>83</v>
      </c>
      <c r="AH96" t="s">
        <v>84</v>
      </c>
      <c r="AI96" t="str">
        <f t="shared" si="20"/>
        <v>01</v>
      </c>
      <c r="AJ96" t="str">
        <f t="shared" si="21"/>
        <v>1</v>
      </c>
      <c r="AK96" t="s">
        <v>98</v>
      </c>
      <c r="AL96" t="s">
        <v>86</v>
      </c>
      <c r="AM96" t="s">
        <v>95</v>
      </c>
      <c r="AN96" t="str">
        <f t="shared" si="18"/>
        <v>.9700</v>
      </c>
      <c r="AO96" t="str">
        <f>"8.00"</f>
        <v>8.00</v>
      </c>
      <c r="AP96" t="s">
        <v>99</v>
      </c>
      <c r="AQ96" t="str">
        <f>"8.00"</f>
        <v>8.00</v>
      </c>
      <c r="AR96">
        <v>0</v>
      </c>
      <c r="AS96">
        <v>-3</v>
      </c>
      <c r="AT96">
        <v>-3</v>
      </c>
      <c r="AU96">
        <v>0</v>
      </c>
      <c r="AV96">
        <v>0</v>
      </c>
      <c r="AW96">
        <v>0</v>
      </c>
      <c r="AX96">
        <v>-20.88</v>
      </c>
      <c r="AY96">
        <v>-20.88</v>
      </c>
      <c r="AZ96">
        <v>0</v>
      </c>
    </row>
    <row r="97" spans="1:52">
      <c r="A97" t="s">
        <v>65</v>
      </c>
      <c r="B97" t="s">
        <v>66</v>
      </c>
      <c r="C97" t="s">
        <v>67</v>
      </c>
      <c r="D97" t="s">
        <v>68</v>
      </c>
      <c r="E97" t="s">
        <v>69</v>
      </c>
      <c r="F97" t="s">
        <v>70</v>
      </c>
      <c r="G97" t="s">
        <v>71</v>
      </c>
      <c r="H97" t="s">
        <v>70</v>
      </c>
      <c r="I97" t="str">
        <f t="shared" si="14"/>
        <v>1010</v>
      </c>
      <c r="J97" t="str">
        <f t="shared" si="15"/>
        <v>05</v>
      </c>
      <c r="K97" t="s">
        <v>68</v>
      </c>
      <c r="L97" t="s">
        <v>72</v>
      </c>
      <c r="M97" t="s">
        <v>68</v>
      </c>
      <c r="N97" t="s">
        <v>301</v>
      </c>
      <c r="O97" t="s">
        <v>302</v>
      </c>
      <c r="P97" t="str">
        <f>"3020619112"</f>
        <v>3020619112</v>
      </c>
      <c r="R97" t="str">
        <f>"00030206191127"</f>
        <v>00030206191127</v>
      </c>
      <c r="S97" s="1">
        <v>41044</v>
      </c>
      <c r="T97" s="1">
        <v>41023</v>
      </c>
      <c r="U97" t="str">
        <f>"3020619112"</f>
        <v>3020619112</v>
      </c>
      <c r="V97" t="str">
        <f t="shared" si="19"/>
        <v>1510</v>
      </c>
      <c r="W97" t="str">
        <f t="shared" si="16"/>
        <v>11</v>
      </c>
      <c r="X97" t="s">
        <v>75</v>
      </c>
      <c r="Y97" t="s">
        <v>76</v>
      </c>
      <c r="Z97" t="s">
        <v>105</v>
      </c>
      <c r="AA97" t="s">
        <v>106</v>
      </c>
      <c r="AB97" t="s">
        <v>79</v>
      </c>
      <c r="AD97" t="s">
        <v>80</v>
      </c>
      <c r="AE97" t="s">
        <v>81</v>
      </c>
      <c r="AF97" t="s">
        <v>82</v>
      </c>
      <c r="AG97" t="s">
        <v>83</v>
      </c>
      <c r="AH97" t="s">
        <v>84</v>
      </c>
      <c r="AI97" t="str">
        <f t="shared" si="20"/>
        <v>01</v>
      </c>
      <c r="AJ97" t="str">
        <f t="shared" si="21"/>
        <v>1</v>
      </c>
      <c r="AK97" t="s">
        <v>85</v>
      </c>
      <c r="AL97" t="s">
        <v>86</v>
      </c>
      <c r="AM97" t="s">
        <v>87</v>
      </c>
      <c r="AN97" t="str">
        <f t="shared" si="18"/>
        <v>.9700</v>
      </c>
      <c r="AO97" t="str">
        <f>"7.50"</f>
        <v>7.50</v>
      </c>
      <c r="AP97" t="s">
        <v>88</v>
      </c>
      <c r="AQ97" t="str">
        <f>"7.50"</f>
        <v>7.50</v>
      </c>
      <c r="AR97">
        <v>382</v>
      </c>
      <c r="AS97">
        <v>-5</v>
      </c>
      <c r="AT97">
        <v>377</v>
      </c>
      <c r="AU97">
        <v>2865</v>
      </c>
      <c r="AV97">
        <v>285</v>
      </c>
      <c r="AW97">
        <v>2580</v>
      </c>
      <c r="AX97">
        <v>-32.479999999999997</v>
      </c>
      <c r="AY97">
        <v>2547.52</v>
      </c>
      <c r="AZ97">
        <v>0</v>
      </c>
    </row>
    <row r="98" spans="1:52">
      <c r="A98" t="s">
        <v>65</v>
      </c>
      <c r="B98" t="s">
        <v>66</v>
      </c>
      <c r="C98" t="s">
        <v>67</v>
      </c>
      <c r="D98" t="s">
        <v>68</v>
      </c>
      <c r="E98" t="s">
        <v>69</v>
      </c>
      <c r="F98" t="s">
        <v>70</v>
      </c>
      <c r="G98" t="s">
        <v>71</v>
      </c>
      <c r="H98" t="s">
        <v>70</v>
      </c>
      <c r="I98" t="str">
        <f t="shared" si="14"/>
        <v>1010</v>
      </c>
      <c r="J98" t="str">
        <f t="shared" si="15"/>
        <v>05</v>
      </c>
      <c r="K98" t="s">
        <v>68</v>
      </c>
      <c r="L98" t="s">
        <v>72</v>
      </c>
      <c r="M98" t="s">
        <v>68</v>
      </c>
      <c r="N98" t="s">
        <v>303</v>
      </c>
      <c r="O98" t="s">
        <v>304</v>
      </c>
      <c r="P98" t="str">
        <f>"3020618672"</f>
        <v>3020618672</v>
      </c>
      <c r="R98" t="str">
        <f>"00030206186727"</f>
        <v>00030206186727</v>
      </c>
      <c r="S98" s="1">
        <v>40589</v>
      </c>
      <c r="T98" s="1">
        <v>40589</v>
      </c>
      <c r="U98" t="str">
        <f>"3020618672"</f>
        <v>3020618672</v>
      </c>
      <c r="V98" t="str">
        <f t="shared" si="19"/>
        <v>1510</v>
      </c>
      <c r="W98" t="str">
        <f t="shared" si="16"/>
        <v>11</v>
      </c>
      <c r="X98" t="s">
        <v>75</v>
      </c>
      <c r="Y98" t="s">
        <v>76</v>
      </c>
      <c r="Z98" t="s">
        <v>91</v>
      </c>
      <c r="AA98" t="s">
        <v>92</v>
      </c>
      <c r="AB98" t="s">
        <v>79</v>
      </c>
      <c r="AD98" t="s">
        <v>80</v>
      </c>
      <c r="AE98" t="s">
        <v>81</v>
      </c>
      <c r="AF98" t="s">
        <v>82</v>
      </c>
      <c r="AG98" t="s">
        <v>83</v>
      </c>
      <c r="AH98" t="s">
        <v>84</v>
      </c>
      <c r="AI98" t="str">
        <f t="shared" si="20"/>
        <v>01</v>
      </c>
      <c r="AJ98" t="str">
        <f t="shared" si="21"/>
        <v>1</v>
      </c>
      <c r="AK98" t="s">
        <v>98</v>
      </c>
      <c r="AL98" t="s">
        <v>86</v>
      </c>
      <c r="AM98" t="s">
        <v>95</v>
      </c>
      <c r="AN98" t="str">
        <f t="shared" si="18"/>
        <v>.9700</v>
      </c>
      <c r="AO98" t="str">
        <f>"8.00"</f>
        <v>8.00</v>
      </c>
      <c r="AP98" t="s">
        <v>99</v>
      </c>
      <c r="AQ98" t="str">
        <f>"8.00"</f>
        <v>8.00</v>
      </c>
      <c r="AR98">
        <v>4</v>
      </c>
      <c r="AS98">
        <v>0</v>
      </c>
      <c r="AT98">
        <v>4</v>
      </c>
      <c r="AU98">
        <v>32</v>
      </c>
      <c r="AV98">
        <v>2.4</v>
      </c>
      <c r="AW98">
        <v>29.6</v>
      </c>
      <c r="AX98">
        <v>0</v>
      </c>
      <c r="AY98">
        <v>29.6</v>
      </c>
      <c r="AZ98">
        <v>0</v>
      </c>
    </row>
    <row r="99" spans="1:52">
      <c r="A99" t="s">
        <v>65</v>
      </c>
      <c r="B99" t="s">
        <v>66</v>
      </c>
      <c r="C99" t="s">
        <v>67</v>
      </c>
      <c r="D99" t="s">
        <v>68</v>
      </c>
      <c r="E99" t="s">
        <v>69</v>
      </c>
      <c r="F99" t="s">
        <v>70</v>
      </c>
      <c r="G99" t="s">
        <v>71</v>
      </c>
      <c r="H99" t="s">
        <v>70</v>
      </c>
      <c r="I99" t="str">
        <f t="shared" si="14"/>
        <v>1010</v>
      </c>
      <c r="J99" t="str">
        <f t="shared" si="15"/>
        <v>05</v>
      </c>
      <c r="K99" t="s">
        <v>68</v>
      </c>
      <c r="L99" t="s">
        <v>72</v>
      </c>
      <c r="M99" t="s">
        <v>68</v>
      </c>
      <c r="N99" t="s">
        <v>303</v>
      </c>
      <c r="O99" t="s">
        <v>305</v>
      </c>
      <c r="P99" t="str">
        <f>"3020617382"</f>
        <v>3020617382</v>
      </c>
      <c r="R99" t="str">
        <f>"00030206173826"</f>
        <v>00030206173826</v>
      </c>
      <c r="S99" s="1">
        <v>39693</v>
      </c>
      <c r="T99" s="1">
        <v>39693</v>
      </c>
      <c r="U99" t="str">
        <f>"3020617382"</f>
        <v>3020617382</v>
      </c>
      <c r="V99" t="str">
        <f t="shared" si="19"/>
        <v>1510</v>
      </c>
      <c r="W99" t="str">
        <f t="shared" si="16"/>
        <v>11</v>
      </c>
      <c r="X99" t="s">
        <v>75</v>
      </c>
      <c r="Y99" t="s">
        <v>76</v>
      </c>
      <c r="Z99" t="s">
        <v>91</v>
      </c>
      <c r="AA99" t="s">
        <v>92</v>
      </c>
      <c r="AB99" t="s">
        <v>79</v>
      </c>
      <c r="AD99" t="s">
        <v>80</v>
      </c>
      <c r="AE99" t="s">
        <v>81</v>
      </c>
      <c r="AF99" t="s">
        <v>82</v>
      </c>
      <c r="AG99" t="s">
        <v>83</v>
      </c>
      <c r="AH99" t="s">
        <v>84</v>
      </c>
      <c r="AI99" t="str">
        <f t="shared" si="20"/>
        <v>01</v>
      </c>
      <c r="AJ99" t="str">
        <f t="shared" si="21"/>
        <v>1</v>
      </c>
      <c r="AK99" t="s">
        <v>107</v>
      </c>
      <c r="AL99" t="s">
        <v>94</v>
      </c>
      <c r="AM99" t="s">
        <v>95</v>
      </c>
      <c r="AN99" t="str">
        <f t="shared" si="18"/>
        <v>.9700</v>
      </c>
      <c r="AO99" t="str">
        <f>"10.78"</f>
        <v>10.78</v>
      </c>
      <c r="AP99" t="s">
        <v>108</v>
      </c>
      <c r="AQ99" t="str">
        <f>"10.78"</f>
        <v>10.78</v>
      </c>
      <c r="AR99">
        <v>11</v>
      </c>
      <c r="AS99">
        <v>0</v>
      </c>
      <c r="AT99">
        <v>11</v>
      </c>
      <c r="AU99">
        <v>118.62</v>
      </c>
      <c r="AV99">
        <v>14.23</v>
      </c>
      <c r="AW99">
        <v>104.39</v>
      </c>
      <c r="AX99">
        <v>0</v>
      </c>
      <c r="AY99">
        <v>104.39</v>
      </c>
      <c r="AZ99">
        <v>0</v>
      </c>
    </row>
    <row r="100" spans="1:52">
      <c r="A100" t="s">
        <v>65</v>
      </c>
      <c r="B100" t="s">
        <v>66</v>
      </c>
      <c r="C100" t="s">
        <v>67</v>
      </c>
      <c r="D100" t="s">
        <v>68</v>
      </c>
      <c r="E100" t="s">
        <v>69</v>
      </c>
      <c r="F100" t="s">
        <v>70</v>
      </c>
      <c r="G100" t="s">
        <v>71</v>
      </c>
      <c r="H100" t="s">
        <v>70</v>
      </c>
      <c r="I100" t="str">
        <f t="shared" si="14"/>
        <v>1010</v>
      </c>
      <c r="J100" t="str">
        <f t="shared" si="15"/>
        <v>05</v>
      </c>
      <c r="K100" t="s">
        <v>68</v>
      </c>
      <c r="L100" t="s">
        <v>72</v>
      </c>
      <c r="M100" t="s">
        <v>68</v>
      </c>
      <c r="N100" t="s">
        <v>306</v>
      </c>
      <c r="O100" t="s">
        <v>307</v>
      </c>
      <c r="P100" t="str">
        <f>"3020618482"</f>
        <v>3020618482</v>
      </c>
      <c r="R100" t="str">
        <f>"00030206184822"</f>
        <v>00030206184822</v>
      </c>
      <c r="S100" s="1">
        <v>40414</v>
      </c>
      <c r="T100" s="1">
        <v>40414</v>
      </c>
      <c r="U100" t="str">
        <f>"3020618482"</f>
        <v>3020618482</v>
      </c>
      <c r="V100" t="str">
        <f t="shared" si="19"/>
        <v>1510</v>
      </c>
      <c r="W100" t="str">
        <f t="shared" si="16"/>
        <v>11</v>
      </c>
      <c r="X100" t="s">
        <v>75</v>
      </c>
      <c r="Y100" t="s">
        <v>76</v>
      </c>
      <c r="Z100" t="s">
        <v>282</v>
      </c>
      <c r="AA100" t="s">
        <v>283</v>
      </c>
      <c r="AB100" t="s">
        <v>79</v>
      </c>
      <c r="AD100" t="s">
        <v>80</v>
      </c>
      <c r="AE100" t="s">
        <v>81</v>
      </c>
      <c r="AF100" t="s">
        <v>82</v>
      </c>
      <c r="AG100" t="s">
        <v>83</v>
      </c>
      <c r="AH100" t="s">
        <v>84</v>
      </c>
      <c r="AI100" t="str">
        <f t="shared" si="20"/>
        <v>01</v>
      </c>
      <c r="AJ100" t="str">
        <f t="shared" si="21"/>
        <v>1</v>
      </c>
      <c r="AK100" t="s">
        <v>101</v>
      </c>
      <c r="AL100" t="s">
        <v>94</v>
      </c>
      <c r="AM100" t="s">
        <v>95</v>
      </c>
      <c r="AN100" t="str">
        <f t="shared" si="18"/>
        <v>.9700</v>
      </c>
      <c r="AO100" t="str">
        <f>"9.07"</f>
        <v>9.07</v>
      </c>
      <c r="AP100" t="s">
        <v>102</v>
      </c>
      <c r="AQ100" t="str">
        <f>"9.07"</f>
        <v>9.07</v>
      </c>
      <c r="AR100">
        <v>5</v>
      </c>
      <c r="AS100">
        <v>-5</v>
      </c>
      <c r="AT100">
        <v>0</v>
      </c>
      <c r="AU100">
        <v>45.35</v>
      </c>
      <c r="AV100">
        <v>5.45</v>
      </c>
      <c r="AW100">
        <v>39.9</v>
      </c>
      <c r="AX100">
        <v>-35.67</v>
      </c>
      <c r="AY100">
        <v>4.2300000000000004</v>
      </c>
      <c r="AZ100">
        <v>0</v>
      </c>
    </row>
    <row r="101" spans="1:52">
      <c r="A101" t="s">
        <v>65</v>
      </c>
      <c r="B101" t="s">
        <v>66</v>
      </c>
      <c r="C101" t="s">
        <v>67</v>
      </c>
      <c r="D101" t="s">
        <v>68</v>
      </c>
      <c r="E101" t="s">
        <v>69</v>
      </c>
      <c r="F101" t="s">
        <v>70</v>
      </c>
      <c r="G101" t="s">
        <v>71</v>
      </c>
      <c r="H101" t="s">
        <v>70</v>
      </c>
      <c r="I101" t="str">
        <f t="shared" si="14"/>
        <v>1010</v>
      </c>
      <c r="J101" t="str">
        <f t="shared" si="15"/>
        <v>05</v>
      </c>
      <c r="K101" t="s">
        <v>68</v>
      </c>
      <c r="L101" t="s">
        <v>72</v>
      </c>
      <c r="M101" t="s">
        <v>68</v>
      </c>
      <c r="N101" t="s">
        <v>308</v>
      </c>
      <c r="O101" t="s">
        <v>309</v>
      </c>
      <c r="P101" t="str">
        <f>"3020668462"</f>
        <v>3020668462</v>
      </c>
      <c r="R101" t="str">
        <f>"00030206684629"</f>
        <v>00030206684629</v>
      </c>
      <c r="S101" s="1">
        <v>39343</v>
      </c>
      <c r="T101" s="1">
        <v>39343</v>
      </c>
      <c r="U101" t="str">
        <f>"3020668462"</f>
        <v>3020668462</v>
      </c>
      <c r="V101" t="str">
        <f t="shared" si="19"/>
        <v>1510</v>
      </c>
      <c r="W101" t="str">
        <f t="shared" si="16"/>
        <v>11</v>
      </c>
      <c r="X101" t="s">
        <v>75</v>
      </c>
      <c r="Y101" t="s">
        <v>76</v>
      </c>
      <c r="Z101" t="s">
        <v>105</v>
      </c>
      <c r="AA101" t="s">
        <v>106</v>
      </c>
      <c r="AB101" t="s">
        <v>79</v>
      </c>
      <c r="AD101" t="s">
        <v>80</v>
      </c>
      <c r="AE101" t="s">
        <v>81</v>
      </c>
      <c r="AF101" t="s">
        <v>82</v>
      </c>
      <c r="AG101" t="s">
        <v>83</v>
      </c>
      <c r="AH101" t="s">
        <v>84</v>
      </c>
      <c r="AI101" t="str">
        <f t="shared" si="20"/>
        <v>01</v>
      </c>
      <c r="AJ101" t="str">
        <f t="shared" si="21"/>
        <v>1</v>
      </c>
      <c r="AK101" t="s">
        <v>101</v>
      </c>
      <c r="AL101" t="s">
        <v>94</v>
      </c>
      <c r="AM101" t="s">
        <v>95</v>
      </c>
      <c r="AN101" t="str">
        <f t="shared" si="18"/>
        <v>.9700</v>
      </c>
      <c r="AO101" t="str">
        <f>"9.07"</f>
        <v>9.07</v>
      </c>
      <c r="AP101" t="s">
        <v>102</v>
      </c>
      <c r="AQ101" t="str">
        <f>"9.07"</f>
        <v>9.07</v>
      </c>
      <c r="AR101">
        <v>22</v>
      </c>
      <c r="AS101">
        <v>0</v>
      </c>
      <c r="AT101">
        <v>22</v>
      </c>
      <c r="AU101">
        <v>199.51</v>
      </c>
      <c r="AV101">
        <v>16.32</v>
      </c>
      <c r="AW101">
        <v>183.19</v>
      </c>
      <c r="AX101">
        <v>0</v>
      </c>
      <c r="AY101">
        <v>183.19</v>
      </c>
      <c r="AZ101">
        <v>0</v>
      </c>
    </row>
    <row r="102" spans="1:52">
      <c r="A102" t="s">
        <v>65</v>
      </c>
      <c r="B102" t="s">
        <v>66</v>
      </c>
      <c r="C102" t="s">
        <v>67</v>
      </c>
      <c r="D102" t="s">
        <v>68</v>
      </c>
      <c r="E102" t="s">
        <v>69</v>
      </c>
      <c r="F102" t="s">
        <v>70</v>
      </c>
      <c r="G102" t="s">
        <v>71</v>
      </c>
      <c r="H102" t="s">
        <v>70</v>
      </c>
      <c r="I102" t="str">
        <f t="shared" si="14"/>
        <v>1010</v>
      </c>
      <c r="J102" t="str">
        <f t="shared" si="15"/>
        <v>05</v>
      </c>
      <c r="K102" t="s">
        <v>68</v>
      </c>
      <c r="L102" t="s">
        <v>72</v>
      </c>
      <c r="M102" t="s">
        <v>68</v>
      </c>
      <c r="N102" t="s">
        <v>310</v>
      </c>
      <c r="O102" t="s">
        <v>311</v>
      </c>
      <c r="P102" t="str">
        <f>"3020618112"</f>
        <v>3020618112</v>
      </c>
      <c r="R102" t="str">
        <f>"00030206181128"</f>
        <v>00030206181128</v>
      </c>
      <c r="S102" s="1">
        <v>40232</v>
      </c>
      <c r="T102" s="1">
        <v>40218</v>
      </c>
      <c r="U102" t="str">
        <f>"3020618112"</f>
        <v>3020618112</v>
      </c>
      <c r="V102" t="str">
        <f t="shared" si="19"/>
        <v>1510</v>
      </c>
      <c r="W102" t="str">
        <f t="shared" si="16"/>
        <v>11</v>
      </c>
      <c r="X102" t="s">
        <v>75</v>
      </c>
      <c r="Y102" t="s">
        <v>76</v>
      </c>
      <c r="Z102" t="s">
        <v>91</v>
      </c>
      <c r="AA102" t="s">
        <v>92</v>
      </c>
      <c r="AB102" t="s">
        <v>79</v>
      </c>
      <c r="AD102" t="s">
        <v>80</v>
      </c>
      <c r="AE102" t="s">
        <v>81</v>
      </c>
      <c r="AF102" t="s">
        <v>82</v>
      </c>
      <c r="AG102" t="s">
        <v>83</v>
      </c>
      <c r="AH102" t="s">
        <v>84</v>
      </c>
      <c r="AI102" t="str">
        <f>"02"</f>
        <v>02</v>
      </c>
      <c r="AJ102" t="str">
        <f>"2"</f>
        <v>2</v>
      </c>
      <c r="AK102" t="s">
        <v>93</v>
      </c>
      <c r="AL102" t="s">
        <v>94</v>
      </c>
      <c r="AM102" t="s">
        <v>95</v>
      </c>
      <c r="AN102" t="str">
        <f t="shared" si="18"/>
        <v>.9700</v>
      </c>
      <c r="AO102" t="str">
        <f>"11.41"</f>
        <v>11.41</v>
      </c>
      <c r="AP102" t="s">
        <v>96</v>
      </c>
      <c r="AQ102" t="str">
        <f>"11.41"</f>
        <v>11.41</v>
      </c>
      <c r="AR102">
        <v>22</v>
      </c>
      <c r="AS102">
        <v>-2</v>
      </c>
      <c r="AT102">
        <v>20</v>
      </c>
      <c r="AU102">
        <v>251</v>
      </c>
      <c r="AV102">
        <v>28.75</v>
      </c>
      <c r="AW102">
        <v>222.25</v>
      </c>
      <c r="AX102">
        <v>-19.989999999999998</v>
      </c>
      <c r="AY102">
        <v>202.26</v>
      </c>
      <c r="AZ102">
        <v>0</v>
      </c>
    </row>
    <row r="103" spans="1:52">
      <c r="A103" t="s">
        <v>65</v>
      </c>
      <c r="B103" t="s">
        <v>66</v>
      </c>
      <c r="C103" t="s">
        <v>67</v>
      </c>
      <c r="D103" t="s">
        <v>68</v>
      </c>
      <c r="E103" t="s">
        <v>69</v>
      </c>
      <c r="F103" t="s">
        <v>70</v>
      </c>
      <c r="G103" t="s">
        <v>71</v>
      </c>
      <c r="H103" t="s">
        <v>70</v>
      </c>
      <c r="I103" t="str">
        <f t="shared" si="14"/>
        <v>1010</v>
      </c>
      <c r="J103" t="str">
        <f t="shared" si="15"/>
        <v>05</v>
      </c>
      <c r="K103" t="s">
        <v>68</v>
      </c>
      <c r="L103" t="s">
        <v>72</v>
      </c>
      <c r="M103" t="s">
        <v>68</v>
      </c>
      <c r="N103" t="s">
        <v>312</v>
      </c>
      <c r="O103" t="s">
        <v>313</v>
      </c>
      <c r="P103" t="str">
        <f>"3020619662"</f>
        <v>3020619662</v>
      </c>
      <c r="R103" t="str">
        <f>"00030206196627"</f>
        <v>00030206196627</v>
      </c>
      <c r="S103" s="1">
        <v>41492</v>
      </c>
      <c r="T103" s="1">
        <v>41492</v>
      </c>
      <c r="U103" t="str">
        <f>"3020619662"</f>
        <v>3020619662</v>
      </c>
      <c r="V103" t="str">
        <f>"1010"</f>
        <v>1010</v>
      </c>
      <c r="W103" t="str">
        <f t="shared" si="16"/>
        <v>11</v>
      </c>
      <c r="X103" t="s">
        <v>75</v>
      </c>
      <c r="Y103" t="s">
        <v>173</v>
      </c>
      <c r="Z103" t="s">
        <v>105</v>
      </c>
      <c r="AA103" t="s">
        <v>106</v>
      </c>
      <c r="AB103" t="s">
        <v>79</v>
      </c>
      <c r="AD103" t="s">
        <v>80</v>
      </c>
      <c r="AE103" t="s">
        <v>81</v>
      </c>
      <c r="AF103" t="s">
        <v>82</v>
      </c>
      <c r="AG103" t="s">
        <v>83</v>
      </c>
      <c r="AH103" t="s">
        <v>84</v>
      </c>
      <c r="AJ103" t="str">
        <f t="shared" ref="AJ103:AJ114" si="22">"1"</f>
        <v>1</v>
      </c>
      <c r="AK103" t="s">
        <v>114</v>
      </c>
      <c r="AL103" t="s">
        <v>143</v>
      </c>
      <c r="AM103" t="s">
        <v>87</v>
      </c>
      <c r="AN103" t="str">
        <f t="shared" si="18"/>
        <v>.9700</v>
      </c>
      <c r="AO103" t="str">
        <f>"7.00"</f>
        <v>7.00</v>
      </c>
      <c r="AP103" t="s">
        <v>115</v>
      </c>
      <c r="AQ103" t="str">
        <f>"7.00"</f>
        <v>7.00</v>
      </c>
      <c r="AR103">
        <v>5</v>
      </c>
      <c r="AS103">
        <v>-5</v>
      </c>
      <c r="AT103">
        <v>0</v>
      </c>
      <c r="AU103">
        <v>35</v>
      </c>
      <c r="AV103">
        <v>3.5</v>
      </c>
      <c r="AW103">
        <v>31.5</v>
      </c>
      <c r="AX103">
        <v>-28</v>
      </c>
      <c r="AY103">
        <v>3.5</v>
      </c>
      <c r="AZ103">
        <v>0</v>
      </c>
    </row>
    <row r="104" spans="1:52">
      <c r="A104" t="s">
        <v>65</v>
      </c>
      <c r="B104" t="s">
        <v>66</v>
      </c>
      <c r="C104" t="s">
        <v>67</v>
      </c>
      <c r="D104" t="s">
        <v>68</v>
      </c>
      <c r="E104" t="s">
        <v>69</v>
      </c>
      <c r="F104" t="s">
        <v>70</v>
      </c>
      <c r="G104" t="s">
        <v>71</v>
      </c>
      <c r="H104" t="s">
        <v>70</v>
      </c>
      <c r="I104" t="str">
        <f t="shared" si="14"/>
        <v>1010</v>
      </c>
      <c r="J104" t="str">
        <f t="shared" si="15"/>
        <v>05</v>
      </c>
      <c r="K104" t="s">
        <v>68</v>
      </c>
      <c r="L104" t="s">
        <v>72</v>
      </c>
      <c r="M104" t="s">
        <v>68</v>
      </c>
      <c r="N104" t="s">
        <v>314</v>
      </c>
      <c r="O104" t="s">
        <v>315</v>
      </c>
      <c r="P104" t="str">
        <f>"3020619162"</f>
        <v>3020619162</v>
      </c>
      <c r="R104" t="str">
        <f>"00030206191622"</f>
        <v>00030206191622</v>
      </c>
      <c r="S104" s="1">
        <v>41072</v>
      </c>
      <c r="T104" s="1">
        <v>41072</v>
      </c>
      <c r="U104" t="str">
        <f>"3020619162"</f>
        <v>3020619162</v>
      </c>
      <c r="V104" t="str">
        <f t="shared" ref="V104:V110" si="23">"1510"</f>
        <v>1510</v>
      </c>
      <c r="W104" t="str">
        <f t="shared" si="16"/>
        <v>11</v>
      </c>
      <c r="X104" t="s">
        <v>75</v>
      </c>
      <c r="Y104" t="s">
        <v>76</v>
      </c>
      <c r="Z104" t="s">
        <v>77</v>
      </c>
      <c r="AA104" t="s">
        <v>78</v>
      </c>
      <c r="AB104" t="s">
        <v>79</v>
      </c>
      <c r="AD104" t="s">
        <v>80</v>
      </c>
      <c r="AE104" t="s">
        <v>81</v>
      </c>
      <c r="AF104" t="s">
        <v>82</v>
      </c>
      <c r="AG104" t="s">
        <v>83</v>
      </c>
      <c r="AH104" t="s">
        <v>84</v>
      </c>
      <c r="AI104" t="str">
        <f t="shared" ref="AI104:AI110" si="24">"01"</f>
        <v>01</v>
      </c>
      <c r="AJ104" t="str">
        <f t="shared" si="22"/>
        <v>1</v>
      </c>
      <c r="AK104" t="s">
        <v>98</v>
      </c>
      <c r="AL104" t="s">
        <v>86</v>
      </c>
      <c r="AM104" t="s">
        <v>95</v>
      </c>
      <c r="AN104" t="str">
        <f t="shared" si="18"/>
        <v>.9700</v>
      </c>
      <c r="AO104" t="str">
        <f>"8.00"</f>
        <v>8.00</v>
      </c>
      <c r="AP104" t="s">
        <v>99</v>
      </c>
      <c r="AQ104" t="str">
        <f>"8.00"</f>
        <v>8.00</v>
      </c>
      <c r="AR104">
        <v>24</v>
      </c>
      <c r="AS104">
        <v>0</v>
      </c>
      <c r="AT104">
        <v>24</v>
      </c>
      <c r="AU104">
        <v>192</v>
      </c>
      <c r="AV104">
        <v>18.399999999999999</v>
      </c>
      <c r="AW104">
        <v>173.6</v>
      </c>
      <c r="AX104">
        <v>0</v>
      </c>
      <c r="AY104">
        <v>173.6</v>
      </c>
      <c r="AZ104">
        <v>0</v>
      </c>
    </row>
    <row r="105" spans="1:52">
      <c r="A105" t="s">
        <v>65</v>
      </c>
      <c r="B105" t="s">
        <v>66</v>
      </c>
      <c r="C105" t="s">
        <v>67</v>
      </c>
      <c r="D105" t="s">
        <v>68</v>
      </c>
      <c r="E105" t="s">
        <v>69</v>
      </c>
      <c r="F105" t="s">
        <v>70</v>
      </c>
      <c r="G105" t="s">
        <v>71</v>
      </c>
      <c r="H105" t="s">
        <v>70</v>
      </c>
      <c r="I105" t="str">
        <f t="shared" si="14"/>
        <v>1010</v>
      </c>
      <c r="J105" t="str">
        <f t="shared" si="15"/>
        <v>05</v>
      </c>
      <c r="K105" t="s">
        <v>68</v>
      </c>
      <c r="L105" t="s">
        <v>72</v>
      </c>
      <c r="M105" t="s">
        <v>68</v>
      </c>
      <c r="N105" t="s">
        <v>316</v>
      </c>
      <c r="O105" t="s">
        <v>317</v>
      </c>
      <c r="P105" t="str">
        <f>"3020618052"</f>
        <v>3020618052</v>
      </c>
      <c r="R105" t="str">
        <f>"00030206180527"</f>
        <v>00030206180527</v>
      </c>
      <c r="S105" s="1">
        <v>40197</v>
      </c>
      <c r="T105" s="1">
        <v>40197</v>
      </c>
      <c r="U105" t="str">
        <f>"3020618052"</f>
        <v>3020618052</v>
      </c>
      <c r="V105" t="str">
        <f t="shared" si="23"/>
        <v>1510</v>
      </c>
      <c r="W105" t="str">
        <f t="shared" si="16"/>
        <v>11</v>
      </c>
      <c r="X105" t="s">
        <v>75</v>
      </c>
      <c r="Y105" t="s">
        <v>76</v>
      </c>
      <c r="Z105" t="s">
        <v>77</v>
      </c>
      <c r="AA105" t="s">
        <v>78</v>
      </c>
      <c r="AB105" t="s">
        <v>79</v>
      </c>
      <c r="AD105" t="s">
        <v>80</v>
      </c>
      <c r="AE105" t="s">
        <v>81</v>
      </c>
      <c r="AF105" t="s">
        <v>82</v>
      </c>
      <c r="AG105" t="s">
        <v>83</v>
      </c>
      <c r="AH105" t="s">
        <v>84</v>
      </c>
      <c r="AI105" t="str">
        <f t="shared" si="24"/>
        <v>01</v>
      </c>
      <c r="AJ105" t="str">
        <f t="shared" si="22"/>
        <v>1</v>
      </c>
      <c r="AK105" t="s">
        <v>98</v>
      </c>
      <c r="AL105" t="s">
        <v>86</v>
      </c>
      <c r="AM105" t="s">
        <v>95</v>
      </c>
      <c r="AN105" t="str">
        <f t="shared" si="18"/>
        <v>.9700</v>
      </c>
      <c r="AO105" t="str">
        <f>"8.00"</f>
        <v>8.00</v>
      </c>
      <c r="AP105" t="s">
        <v>99</v>
      </c>
      <c r="AQ105" t="str">
        <f>"8.00"</f>
        <v>8.00</v>
      </c>
      <c r="AR105">
        <v>7</v>
      </c>
      <c r="AS105">
        <v>0</v>
      </c>
      <c r="AT105">
        <v>7</v>
      </c>
      <c r="AU105">
        <v>56</v>
      </c>
      <c r="AV105">
        <v>11.2</v>
      </c>
      <c r="AW105">
        <v>44.8</v>
      </c>
      <c r="AX105">
        <v>0</v>
      </c>
      <c r="AY105">
        <v>44.8</v>
      </c>
      <c r="AZ105">
        <v>0</v>
      </c>
    </row>
    <row r="106" spans="1:52">
      <c r="A106" t="s">
        <v>65</v>
      </c>
      <c r="B106" t="s">
        <v>66</v>
      </c>
      <c r="C106" t="s">
        <v>67</v>
      </c>
      <c r="D106" t="s">
        <v>68</v>
      </c>
      <c r="E106" t="s">
        <v>69</v>
      </c>
      <c r="F106" t="s">
        <v>70</v>
      </c>
      <c r="G106" t="s">
        <v>71</v>
      </c>
      <c r="H106" t="s">
        <v>70</v>
      </c>
      <c r="I106" t="str">
        <f t="shared" si="14"/>
        <v>1010</v>
      </c>
      <c r="J106" t="str">
        <f t="shared" si="15"/>
        <v>05</v>
      </c>
      <c r="K106" t="s">
        <v>68</v>
      </c>
      <c r="L106" t="s">
        <v>72</v>
      </c>
      <c r="M106" t="s">
        <v>68</v>
      </c>
      <c r="N106" t="s">
        <v>318</v>
      </c>
      <c r="O106" t="s">
        <v>104</v>
      </c>
      <c r="P106" t="str">
        <f>"3020610802"</f>
        <v>3020610802</v>
      </c>
      <c r="R106" t="str">
        <f>"00030206108026"</f>
        <v>00030206108026</v>
      </c>
      <c r="S106" s="1">
        <v>36802</v>
      </c>
      <c r="T106" s="1">
        <v>36802</v>
      </c>
      <c r="U106" t="str">
        <f>"3020610802"</f>
        <v>3020610802</v>
      </c>
      <c r="V106" t="str">
        <f t="shared" si="23"/>
        <v>1510</v>
      </c>
      <c r="W106" t="str">
        <f t="shared" si="16"/>
        <v>11</v>
      </c>
      <c r="X106" t="s">
        <v>75</v>
      </c>
      <c r="Y106" t="s">
        <v>76</v>
      </c>
      <c r="Z106" t="s">
        <v>77</v>
      </c>
      <c r="AA106" t="s">
        <v>78</v>
      </c>
      <c r="AB106" t="s">
        <v>79</v>
      </c>
      <c r="AD106" t="s">
        <v>80</v>
      </c>
      <c r="AE106" t="s">
        <v>81</v>
      </c>
      <c r="AF106" t="s">
        <v>82</v>
      </c>
      <c r="AG106" t="s">
        <v>83</v>
      </c>
      <c r="AH106" t="s">
        <v>84</v>
      </c>
      <c r="AI106" t="str">
        <f t="shared" si="24"/>
        <v>01</v>
      </c>
      <c r="AJ106" t="str">
        <f t="shared" si="22"/>
        <v>1</v>
      </c>
      <c r="AK106" t="s">
        <v>154</v>
      </c>
      <c r="AL106" t="s">
        <v>155</v>
      </c>
      <c r="AM106" t="s">
        <v>87</v>
      </c>
      <c r="AN106" t="str">
        <f t="shared" si="18"/>
        <v>.9700</v>
      </c>
      <c r="AO106" t="str">
        <f>"7.25"</f>
        <v>7.25</v>
      </c>
      <c r="AP106" t="s">
        <v>156</v>
      </c>
      <c r="AQ106" t="str">
        <f>"7.25"</f>
        <v>7.25</v>
      </c>
      <c r="AR106">
        <v>74</v>
      </c>
      <c r="AS106">
        <v>-9</v>
      </c>
      <c r="AT106">
        <v>65</v>
      </c>
      <c r="AU106">
        <v>536.91</v>
      </c>
      <c r="AV106">
        <v>52.97</v>
      </c>
      <c r="AW106">
        <v>483.94</v>
      </c>
      <c r="AX106">
        <v>-57.02</v>
      </c>
      <c r="AY106">
        <v>426.92</v>
      </c>
      <c r="AZ106">
        <v>0</v>
      </c>
    </row>
    <row r="107" spans="1:52">
      <c r="A107" t="s">
        <v>65</v>
      </c>
      <c r="B107" t="s">
        <v>66</v>
      </c>
      <c r="C107" t="s">
        <v>67</v>
      </c>
      <c r="D107" t="s">
        <v>68</v>
      </c>
      <c r="E107" t="s">
        <v>69</v>
      </c>
      <c r="F107" t="s">
        <v>70</v>
      </c>
      <c r="G107" t="s">
        <v>71</v>
      </c>
      <c r="H107" t="s">
        <v>70</v>
      </c>
      <c r="I107" t="str">
        <f t="shared" si="14"/>
        <v>1010</v>
      </c>
      <c r="J107" t="str">
        <f t="shared" si="15"/>
        <v>05</v>
      </c>
      <c r="K107" t="s">
        <v>68</v>
      </c>
      <c r="L107" t="s">
        <v>72</v>
      </c>
      <c r="M107" t="s">
        <v>68</v>
      </c>
      <c r="N107" t="s">
        <v>318</v>
      </c>
      <c r="O107" t="s">
        <v>319</v>
      </c>
      <c r="P107" t="str">
        <f>"3020618512"</f>
        <v>3020618512</v>
      </c>
      <c r="R107" t="str">
        <f>"00030206185126"</f>
        <v>00030206185126</v>
      </c>
      <c r="S107" s="1">
        <v>40442</v>
      </c>
      <c r="T107" s="1">
        <v>40442</v>
      </c>
      <c r="U107" t="str">
        <f>"3020618512"</f>
        <v>3020618512</v>
      </c>
      <c r="V107" t="str">
        <f t="shared" si="23"/>
        <v>1510</v>
      </c>
      <c r="W107" t="str">
        <f t="shared" si="16"/>
        <v>11</v>
      </c>
      <c r="X107" t="s">
        <v>75</v>
      </c>
      <c r="Y107" t="s">
        <v>76</v>
      </c>
      <c r="Z107" t="s">
        <v>77</v>
      </c>
      <c r="AA107" t="s">
        <v>78</v>
      </c>
      <c r="AB107" t="s">
        <v>79</v>
      </c>
      <c r="AD107" t="s">
        <v>80</v>
      </c>
      <c r="AE107" t="s">
        <v>81</v>
      </c>
      <c r="AF107" t="s">
        <v>82</v>
      </c>
      <c r="AG107" t="s">
        <v>83</v>
      </c>
      <c r="AH107" t="s">
        <v>84</v>
      </c>
      <c r="AI107" t="str">
        <f t="shared" si="24"/>
        <v>01</v>
      </c>
      <c r="AJ107" t="str">
        <f t="shared" si="22"/>
        <v>1</v>
      </c>
      <c r="AK107" t="s">
        <v>85</v>
      </c>
      <c r="AL107" t="s">
        <v>86</v>
      </c>
      <c r="AM107" t="s">
        <v>87</v>
      </c>
      <c r="AN107" t="str">
        <f t="shared" si="18"/>
        <v>.9700</v>
      </c>
      <c r="AO107" t="str">
        <f>"7.50"</f>
        <v>7.50</v>
      </c>
      <c r="AP107" t="s">
        <v>88</v>
      </c>
      <c r="AQ107" t="str">
        <f>"7.50"</f>
        <v>7.50</v>
      </c>
      <c r="AR107">
        <v>124</v>
      </c>
      <c r="AS107">
        <v>-1</v>
      </c>
      <c r="AT107">
        <v>123</v>
      </c>
      <c r="AU107">
        <v>930</v>
      </c>
      <c r="AV107">
        <v>91.5</v>
      </c>
      <c r="AW107">
        <v>838.5</v>
      </c>
      <c r="AX107">
        <v>-5.84</v>
      </c>
      <c r="AY107">
        <v>832.66</v>
      </c>
      <c r="AZ107">
        <v>0</v>
      </c>
    </row>
    <row r="108" spans="1:52">
      <c r="A108" t="s">
        <v>65</v>
      </c>
      <c r="B108" t="s">
        <v>66</v>
      </c>
      <c r="C108" t="s">
        <v>67</v>
      </c>
      <c r="D108" t="s">
        <v>68</v>
      </c>
      <c r="E108" t="s">
        <v>69</v>
      </c>
      <c r="F108" t="s">
        <v>70</v>
      </c>
      <c r="G108" t="s">
        <v>71</v>
      </c>
      <c r="H108" t="s">
        <v>70</v>
      </c>
      <c r="I108" t="str">
        <f t="shared" si="14"/>
        <v>1010</v>
      </c>
      <c r="J108" t="str">
        <f t="shared" si="15"/>
        <v>05</v>
      </c>
      <c r="K108" t="s">
        <v>68</v>
      </c>
      <c r="L108" t="s">
        <v>72</v>
      </c>
      <c r="M108" t="s">
        <v>68</v>
      </c>
      <c r="N108" t="s">
        <v>320</v>
      </c>
      <c r="O108" t="s">
        <v>321</v>
      </c>
      <c r="P108" t="str">
        <f>"3020619172"</f>
        <v>3020619172</v>
      </c>
      <c r="R108" t="str">
        <f>"00030206191721"</f>
        <v>00030206191721</v>
      </c>
      <c r="S108" s="1">
        <v>41072</v>
      </c>
      <c r="T108" s="1">
        <v>41072</v>
      </c>
      <c r="U108" t="str">
        <f>"3020619172"</f>
        <v>3020619172</v>
      </c>
      <c r="V108" t="str">
        <f t="shared" si="23"/>
        <v>1510</v>
      </c>
      <c r="W108" t="str">
        <f t="shared" si="16"/>
        <v>11</v>
      </c>
      <c r="X108" t="s">
        <v>75</v>
      </c>
      <c r="Y108" t="s">
        <v>76</v>
      </c>
      <c r="Z108" t="s">
        <v>77</v>
      </c>
      <c r="AA108" t="s">
        <v>78</v>
      </c>
      <c r="AB108" t="s">
        <v>79</v>
      </c>
      <c r="AD108" t="s">
        <v>80</v>
      </c>
      <c r="AE108" t="s">
        <v>81</v>
      </c>
      <c r="AF108" t="s">
        <v>82</v>
      </c>
      <c r="AG108" t="s">
        <v>83</v>
      </c>
      <c r="AH108" t="s">
        <v>84</v>
      </c>
      <c r="AI108" t="str">
        <f t="shared" si="24"/>
        <v>01</v>
      </c>
      <c r="AJ108" t="str">
        <f t="shared" si="22"/>
        <v>1</v>
      </c>
      <c r="AK108" t="s">
        <v>194</v>
      </c>
      <c r="AL108" t="s">
        <v>86</v>
      </c>
      <c r="AM108" t="s">
        <v>95</v>
      </c>
      <c r="AN108" t="str">
        <f t="shared" si="18"/>
        <v>.9700</v>
      </c>
      <c r="AO108" t="str">
        <f>"9.75"</f>
        <v>9.75</v>
      </c>
      <c r="AP108" t="s">
        <v>195</v>
      </c>
      <c r="AQ108" t="str">
        <f>"9.75"</f>
        <v>9.75</v>
      </c>
      <c r="AR108">
        <v>0</v>
      </c>
      <c r="AS108">
        <v>-4</v>
      </c>
      <c r="AT108">
        <v>-4</v>
      </c>
      <c r="AU108">
        <v>0</v>
      </c>
      <c r="AV108">
        <v>0</v>
      </c>
      <c r="AW108">
        <v>0</v>
      </c>
      <c r="AX108">
        <v>-33.72</v>
      </c>
      <c r="AY108">
        <v>-33.72</v>
      </c>
      <c r="AZ108">
        <v>0</v>
      </c>
    </row>
    <row r="109" spans="1:52">
      <c r="A109" t="s">
        <v>65</v>
      </c>
      <c r="B109" t="s">
        <v>66</v>
      </c>
      <c r="C109" t="s">
        <v>67</v>
      </c>
      <c r="D109" t="s">
        <v>68</v>
      </c>
      <c r="E109" t="s">
        <v>69</v>
      </c>
      <c r="F109" t="s">
        <v>70</v>
      </c>
      <c r="G109" t="s">
        <v>71</v>
      </c>
      <c r="H109" t="s">
        <v>70</v>
      </c>
      <c r="I109" t="str">
        <f t="shared" si="14"/>
        <v>1010</v>
      </c>
      <c r="J109" t="str">
        <f t="shared" si="15"/>
        <v>05</v>
      </c>
      <c r="K109" t="s">
        <v>68</v>
      </c>
      <c r="L109" t="s">
        <v>72</v>
      </c>
      <c r="M109" t="s">
        <v>68</v>
      </c>
      <c r="N109" t="s">
        <v>322</v>
      </c>
      <c r="O109" t="s">
        <v>323</v>
      </c>
      <c r="P109" t="str">
        <f>"3020618542"</f>
        <v>3020618542</v>
      </c>
      <c r="R109" t="str">
        <f>"00030206185423"</f>
        <v>00030206185423</v>
      </c>
      <c r="S109" s="1">
        <v>40476</v>
      </c>
      <c r="T109" s="1">
        <v>40476</v>
      </c>
      <c r="U109" t="str">
        <f>"3020618542"</f>
        <v>3020618542</v>
      </c>
      <c r="V109" t="str">
        <f t="shared" si="23"/>
        <v>1510</v>
      </c>
      <c r="W109" t="str">
        <f t="shared" si="16"/>
        <v>11</v>
      </c>
      <c r="X109" t="s">
        <v>75</v>
      </c>
      <c r="Y109" t="s">
        <v>76</v>
      </c>
      <c r="Z109" t="s">
        <v>105</v>
      </c>
      <c r="AA109" t="s">
        <v>106</v>
      </c>
      <c r="AB109" t="s">
        <v>79</v>
      </c>
      <c r="AD109" t="s">
        <v>80</v>
      </c>
      <c r="AE109" t="s">
        <v>81</v>
      </c>
      <c r="AF109" t="s">
        <v>82</v>
      </c>
      <c r="AG109" t="s">
        <v>83</v>
      </c>
      <c r="AH109" t="s">
        <v>84</v>
      </c>
      <c r="AI109" t="str">
        <f t="shared" si="24"/>
        <v>01</v>
      </c>
      <c r="AJ109" t="str">
        <f t="shared" si="22"/>
        <v>1</v>
      </c>
      <c r="AK109" t="s">
        <v>85</v>
      </c>
      <c r="AL109" t="s">
        <v>86</v>
      </c>
      <c r="AM109" t="s">
        <v>87</v>
      </c>
      <c r="AN109" t="str">
        <f t="shared" si="18"/>
        <v>.9700</v>
      </c>
      <c r="AO109" t="str">
        <f>"7.50"</f>
        <v>7.50</v>
      </c>
      <c r="AP109" t="s">
        <v>88</v>
      </c>
      <c r="AQ109" t="str">
        <f>"7.50"</f>
        <v>7.50</v>
      </c>
      <c r="AR109">
        <v>33</v>
      </c>
      <c r="AS109">
        <v>-1</v>
      </c>
      <c r="AT109">
        <v>32</v>
      </c>
      <c r="AU109">
        <v>247.5</v>
      </c>
      <c r="AV109">
        <v>24.75</v>
      </c>
      <c r="AW109">
        <v>222.75</v>
      </c>
      <c r="AX109">
        <v>-6.53</v>
      </c>
      <c r="AY109">
        <v>216.22</v>
      </c>
      <c r="AZ109">
        <v>0</v>
      </c>
    </row>
    <row r="110" spans="1:52">
      <c r="A110" t="s">
        <v>65</v>
      </c>
      <c r="B110" t="s">
        <v>66</v>
      </c>
      <c r="C110" t="s">
        <v>67</v>
      </c>
      <c r="D110" t="s">
        <v>68</v>
      </c>
      <c r="E110" t="s">
        <v>69</v>
      </c>
      <c r="F110" t="s">
        <v>70</v>
      </c>
      <c r="G110" t="s">
        <v>71</v>
      </c>
      <c r="H110" t="s">
        <v>70</v>
      </c>
      <c r="I110" t="str">
        <f t="shared" si="14"/>
        <v>1010</v>
      </c>
      <c r="J110" t="str">
        <f t="shared" si="15"/>
        <v>05</v>
      </c>
      <c r="K110" t="s">
        <v>68</v>
      </c>
      <c r="L110" t="s">
        <v>72</v>
      </c>
      <c r="M110" t="s">
        <v>68</v>
      </c>
      <c r="N110" t="s">
        <v>324</v>
      </c>
      <c r="O110" t="s">
        <v>325</v>
      </c>
      <c r="P110" t="str">
        <f>"3020619212"</f>
        <v>3020619212</v>
      </c>
      <c r="R110" t="str">
        <f>"00030206192124"</f>
        <v>00030206192124</v>
      </c>
      <c r="S110" s="1">
        <v>41114</v>
      </c>
      <c r="T110" s="1">
        <v>41114</v>
      </c>
      <c r="U110" t="str">
        <f>"3020619212"</f>
        <v>3020619212</v>
      </c>
      <c r="V110" t="str">
        <f t="shared" si="23"/>
        <v>1510</v>
      </c>
      <c r="W110" t="str">
        <f t="shared" si="16"/>
        <v>11</v>
      </c>
      <c r="X110" t="s">
        <v>75</v>
      </c>
      <c r="Y110" t="s">
        <v>76</v>
      </c>
      <c r="Z110" t="s">
        <v>77</v>
      </c>
      <c r="AA110" t="s">
        <v>78</v>
      </c>
      <c r="AB110" t="s">
        <v>79</v>
      </c>
      <c r="AC110" t="s">
        <v>80</v>
      </c>
      <c r="AD110" t="s">
        <v>80</v>
      </c>
      <c r="AE110" t="s">
        <v>81</v>
      </c>
      <c r="AF110" t="s">
        <v>82</v>
      </c>
      <c r="AG110" t="s">
        <v>83</v>
      </c>
      <c r="AH110" t="s">
        <v>84</v>
      </c>
      <c r="AI110" t="str">
        <f t="shared" si="24"/>
        <v>01</v>
      </c>
      <c r="AJ110" t="str">
        <f t="shared" si="22"/>
        <v>1</v>
      </c>
      <c r="AK110" t="s">
        <v>326</v>
      </c>
      <c r="AL110" t="s">
        <v>162</v>
      </c>
      <c r="AM110" t="s">
        <v>87</v>
      </c>
      <c r="AN110" t="str">
        <f t="shared" si="18"/>
        <v>.9700</v>
      </c>
      <c r="AO110" t="str">
        <f>"5.25"</f>
        <v>5.25</v>
      </c>
      <c r="AP110" t="s">
        <v>327</v>
      </c>
      <c r="AQ110" t="str">
        <f>"5.25"</f>
        <v>5.25</v>
      </c>
      <c r="AR110">
        <v>5</v>
      </c>
      <c r="AS110">
        <v>-3</v>
      </c>
      <c r="AT110">
        <v>2</v>
      </c>
      <c r="AU110">
        <v>26.28</v>
      </c>
      <c r="AV110">
        <v>2.63</v>
      </c>
      <c r="AW110">
        <v>23.65</v>
      </c>
      <c r="AX110">
        <v>-12.51</v>
      </c>
      <c r="AY110">
        <v>11.14</v>
      </c>
      <c r="AZ110">
        <v>0</v>
      </c>
    </row>
    <row r="111" spans="1:52">
      <c r="A111" t="s">
        <v>65</v>
      </c>
      <c r="B111" t="s">
        <v>66</v>
      </c>
      <c r="C111" t="s">
        <v>67</v>
      </c>
      <c r="D111" t="s">
        <v>68</v>
      </c>
      <c r="E111" t="s">
        <v>69</v>
      </c>
      <c r="F111" t="s">
        <v>70</v>
      </c>
      <c r="G111" t="s">
        <v>71</v>
      </c>
      <c r="H111" t="s">
        <v>70</v>
      </c>
      <c r="I111" t="str">
        <f t="shared" si="14"/>
        <v>1010</v>
      </c>
      <c r="J111" t="str">
        <f t="shared" si="15"/>
        <v>05</v>
      </c>
      <c r="K111" t="s">
        <v>68</v>
      </c>
      <c r="L111" t="s">
        <v>72</v>
      </c>
      <c r="M111" t="s">
        <v>68</v>
      </c>
      <c r="N111" t="s">
        <v>328</v>
      </c>
      <c r="O111" t="s">
        <v>329</v>
      </c>
      <c r="P111" t="str">
        <f>"3020619742"</f>
        <v>3020619742</v>
      </c>
      <c r="R111" t="str">
        <f>"00030206197426"</f>
        <v>00030206197426</v>
      </c>
      <c r="S111" s="1">
        <v>41547</v>
      </c>
      <c r="T111" s="1">
        <v>41548</v>
      </c>
      <c r="U111" t="str">
        <f>"3020619742"</f>
        <v>3020619742</v>
      </c>
      <c r="V111" t="str">
        <f>"1010"</f>
        <v>1010</v>
      </c>
      <c r="W111" t="str">
        <f t="shared" si="16"/>
        <v>11</v>
      </c>
      <c r="X111" t="s">
        <v>75</v>
      </c>
      <c r="Y111" t="s">
        <v>173</v>
      </c>
      <c r="Z111" t="s">
        <v>105</v>
      </c>
      <c r="AA111" t="s">
        <v>106</v>
      </c>
      <c r="AB111" t="s">
        <v>79</v>
      </c>
      <c r="AD111" t="s">
        <v>80</v>
      </c>
      <c r="AE111" t="s">
        <v>81</v>
      </c>
      <c r="AF111" t="s">
        <v>82</v>
      </c>
      <c r="AG111" t="s">
        <v>83</v>
      </c>
      <c r="AH111" t="s">
        <v>84</v>
      </c>
      <c r="AJ111" t="str">
        <f t="shared" si="22"/>
        <v>1</v>
      </c>
      <c r="AK111" t="s">
        <v>85</v>
      </c>
      <c r="AL111" t="s">
        <v>86</v>
      </c>
      <c r="AM111" t="s">
        <v>87</v>
      </c>
      <c r="AN111" t="str">
        <f t="shared" si="18"/>
        <v>.9700</v>
      </c>
      <c r="AO111" t="str">
        <f>"7.50"</f>
        <v>7.50</v>
      </c>
      <c r="AP111" t="s">
        <v>88</v>
      </c>
      <c r="AQ111" t="str">
        <f>"7.50"</f>
        <v>7.50</v>
      </c>
      <c r="AR111">
        <v>32</v>
      </c>
      <c r="AS111">
        <v>0</v>
      </c>
      <c r="AT111">
        <v>32</v>
      </c>
      <c r="AU111">
        <v>240</v>
      </c>
      <c r="AV111">
        <v>23.25</v>
      </c>
      <c r="AW111">
        <v>216.75</v>
      </c>
      <c r="AX111">
        <v>0</v>
      </c>
      <c r="AY111">
        <v>216.75</v>
      </c>
      <c r="AZ111">
        <v>0</v>
      </c>
    </row>
    <row r="112" spans="1:52">
      <c r="A112" t="s">
        <v>65</v>
      </c>
      <c r="B112" t="s">
        <v>66</v>
      </c>
      <c r="C112" t="s">
        <v>67</v>
      </c>
      <c r="D112" t="s">
        <v>68</v>
      </c>
      <c r="E112" t="s">
        <v>69</v>
      </c>
      <c r="F112" t="s">
        <v>70</v>
      </c>
      <c r="G112" t="s">
        <v>71</v>
      </c>
      <c r="H112" t="s">
        <v>70</v>
      </c>
      <c r="I112" t="str">
        <f t="shared" si="14"/>
        <v>1010</v>
      </c>
      <c r="J112" t="str">
        <f t="shared" si="15"/>
        <v>05</v>
      </c>
      <c r="K112" t="s">
        <v>68</v>
      </c>
      <c r="L112" t="s">
        <v>72</v>
      </c>
      <c r="M112" t="s">
        <v>68</v>
      </c>
      <c r="N112" t="s">
        <v>330</v>
      </c>
      <c r="O112" t="s">
        <v>331</v>
      </c>
      <c r="P112" t="str">
        <f>"3020613742"</f>
        <v>3020613742</v>
      </c>
      <c r="R112" t="str">
        <f>"00030206137422"</f>
        <v>00030206137422</v>
      </c>
      <c r="S112" s="1">
        <v>37999</v>
      </c>
      <c r="T112" s="1">
        <v>37999</v>
      </c>
      <c r="U112" t="str">
        <f>"3020613742"</f>
        <v>3020613742</v>
      </c>
      <c r="V112" t="str">
        <f>"1510"</f>
        <v>1510</v>
      </c>
      <c r="W112" t="str">
        <f t="shared" si="16"/>
        <v>11</v>
      </c>
      <c r="X112" t="s">
        <v>75</v>
      </c>
      <c r="Y112" t="s">
        <v>76</v>
      </c>
      <c r="Z112" t="s">
        <v>105</v>
      </c>
      <c r="AA112" t="s">
        <v>106</v>
      </c>
      <c r="AB112" t="s">
        <v>79</v>
      </c>
      <c r="AD112" t="s">
        <v>80</v>
      </c>
      <c r="AE112" t="s">
        <v>81</v>
      </c>
      <c r="AF112" t="s">
        <v>82</v>
      </c>
      <c r="AG112" t="s">
        <v>83</v>
      </c>
      <c r="AH112" t="s">
        <v>84</v>
      </c>
      <c r="AI112" t="str">
        <f>"01"</f>
        <v>01</v>
      </c>
      <c r="AJ112" t="str">
        <f t="shared" si="22"/>
        <v>1</v>
      </c>
      <c r="AK112" t="s">
        <v>207</v>
      </c>
      <c r="AL112" t="s">
        <v>162</v>
      </c>
      <c r="AM112" t="s">
        <v>208</v>
      </c>
      <c r="AN112" t="str">
        <f t="shared" si="18"/>
        <v>.9700</v>
      </c>
      <c r="AO112" t="str">
        <f>"5.99"</f>
        <v>5.99</v>
      </c>
      <c r="AP112" t="s">
        <v>209</v>
      </c>
      <c r="AQ112" t="str">
        <f>"5.99"</f>
        <v>5.99</v>
      </c>
      <c r="AR112">
        <v>357</v>
      </c>
      <c r="AS112">
        <v>-2</v>
      </c>
      <c r="AT112">
        <v>355</v>
      </c>
      <c r="AU112">
        <v>2135.0300000000002</v>
      </c>
      <c r="AV112">
        <v>234.05</v>
      </c>
      <c r="AW112">
        <v>1900.98</v>
      </c>
      <c r="AX112">
        <v>-10.82</v>
      </c>
      <c r="AY112">
        <v>1890.16</v>
      </c>
      <c r="AZ112">
        <v>0</v>
      </c>
    </row>
    <row r="113" spans="1:52">
      <c r="A113" t="s">
        <v>65</v>
      </c>
      <c r="B113" t="s">
        <v>66</v>
      </c>
      <c r="C113" t="s">
        <v>67</v>
      </c>
      <c r="D113" t="s">
        <v>68</v>
      </c>
      <c r="E113" t="s">
        <v>69</v>
      </c>
      <c r="F113" t="s">
        <v>70</v>
      </c>
      <c r="G113" t="s">
        <v>71</v>
      </c>
      <c r="H113" t="s">
        <v>70</v>
      </c>
      <c r="I113" t="str">
        <f t="shared" si="14"/>
        <v>1010</v>
      </c>
      <c r="J113" t="str">
        <f t="shared" si="15"/>
        <v>05</v>
      </c>
      <c r="K113" t="s">
        <v>68</v>
      </c>
      <c r="L113" t="s">
        <v>72</v>
      </c>
      <c r="M113" t="s">
        <v>68</v>
      </c>
      <c r="N113" t="s">
        <v>330</v>
      </c>
      <c r="O113" t="s">
        <v>332</v>
      </c>
      <c r="P113" t="str">
        <f>"3020618092"</f>
        <v>3020618092</v>
      </c>
      <c r="R113" t="str">
        <f>"00030206180923"</f>
        <v>00030206180923</v>
      </c>
      <c r="S113" s="1">
        <v>40211</v>
      </c>
      <c r="T113" s="1">
        <v>40204</v>
      </c>
      <c r="U113" t="str">
        <f>"3020618092"</f>
        <v>3020618092</v>
      </c>
      <c r="V113" t="str">
        <f>"1510"</f>
        <v>1510</v>
      </c>
      <c r="W113" t="str">
        <f t="shared" si="16"/>
        <v>11</v>
      </c>
      <c r="X113" t="s">
        <v>75</v>
      </c>
      <c r="Y113" t="s">
        <v>76</v>
      </c>
      <c r="Z113" t="s">
        <v>105</v>
      </c>
      <c r="AA113" t="s">
        <v>106</v>
      </c>
      <c r="AB113" t="s">
        <v>79</v>
      </c>
      <c r="AD113" t="s">
        <v>80</v>
      </c>
      <c r="AE113" t="s">
        <v>81</v>
      </c>
      <c r="AF113" t="s">
        <v>82</v>
      </c>
      <c r="AG113" t="s">
        <v>83</v>
      </c>
      <c r="AH113" t="s">
        <v>84</v>
      </c>
      <c r="AI113" t="str">
        <f>"01"</f>
        <v>01</v>
      </c>
      <c r="AJ113" t="str">
        <f t="shared" si="22"/>
        <v>1</v>
      </c>
      <c r="AK113" t="s">
        <v>207</v>
      </c>
      <c r="AL113" t="s">
        <v>162</v>
      </c>
      <c r="AM113" t="s">
        <v>208</v>
      </c>
      <c r="AN113" t="str">
        <f t="shared" si="18"/>
        <v>.9700</v>
      </c>
      <c r="AO113" t="str">
        <f>"5.99"</f>
        <v>5.99</v>
      </c>
      <c r="AP113" t="s">
        <v>209</v>
      </c>
      <c r="AQ113" t="str">
        <f>"5.99"</f>
        <v>5.99</v>
      </c>
      <c r="AR113">
        <v>95</v>
      </c>
      <c r="AS113">
        <v>0</v>
      </c>
      <c r="AT113">
        <v>95</v>
      </c>
      <c r="AU113">
        <v>565.96</v>
      </c>
      <c r="AV113">
        <v>65.400000000000006</v>
      </c>
      <c r="AW113">
        <v>500.56</v>
      </c>
      <c r="AX113">
        <v>0</v>
      </c>
      <c r="AY113">
        <v>500.56</v>
      </c>
      <c r="AZ113">
        <v>0</v>
      </c>
    </row>
    <row r="114" spans="1:52">
      <c r="A114" t="s">
        <v>65</v>
      </c>
      <c r="B114" t="s">
        <v>66</v>
      </c>
      <c r="C114" t="s">
        <v>67</v>
      </c>
      <c r="D114" t="s">
        <v>68</v>
      </c>
      <c r="E114" t="s">
        <v>69</v>
      </c>
      <c r="F114" t="s">
        <v>70</v>
      </c>
      <c r="G114" t="s">
        <v>71</v>
      </c>
      <c r="H114" t="s">
        <v>70</v>
      </c>
      <c r="I114" t="str">
        <f t="shared" si="14"/>
        <v>1010</v>
      </c>
      <c r="J114" t="str">
        <f t="shared" si="15"/>
        <v>05</v>
      </c>
      <c r="K114" t="s">
        <v>68</v>
      </c>
      <c r="L114" t="s">
        <v>72</v>
      </c>
      <c r="M114" t="s">
        <v>68</v>
      </c>
      <c r="N114" t="s">
        <v>333</v>
      </c>
      <c r="O114" t="s">
        <v>334</v>
      </c>
      <c r="P114" t="str">
        <f>"3020619202"</f>
        <v>3020619202</v>
      </c>
      <c r="R114" t="str">
        <f>"00030206192025"</f>
        <v>00030206192025</v>
      </c>
      <c r="S114" s="1">
        <v>41114</v>
      </c>
      <c r="T114" s="1">
        <v>41114</v>
      </c>
      <c r="U114" t="str">
        <f>"3020619202"</f>
        <v>3020619202</v>
      </c>
      <c r="V114" t="str">
        <f>"1510"</f>
        <v>1510</v>
      </c>
      <c r="W114" t="str">
        <f t="shared" si="16"/>
        <v>11</v>
      </c>
      <c r="X114" t="s">
        <v>75</v>
      </c>
      <c r="Y114" t="s">
        <v>76</v>
      </c>
      <c r="Z114" t="s">
        <v>77</v>
      </c>
      <c r="AA114" t="s">
        <v>78</v>
      </c>
      <c r="AB114" t="s">
        <v>79</v>
      </c>
      <c r="AC114" t="s">
        <v>80</v>
      </c>
      <c r="AD114" t="s">
        <v>80</v>
      </c>
      <c r="AE114" t="s">
        <v>81</v>
      </c>
      <c r="AF114" t="s">
        <v>82</v>
      </c>
      <c r="AG114" t="s">
        <v>83</v>
      </c>
      <c r="AH114" t="s">
        <v>84</v>
      </c>
      <c r="AI114" t="str">
        <f>"01"</f>
        <v>01</v>
      </c>
      <c r="AJ114" t="str">
        <f t="shared" si="22"/>
        <v>1</v>
      </c>
      <c r="AK114" t="s">
        <v>326</v>
      </c>
      <c r="AL114" t="s">
        <v>162</v>
      </c>
      <c r="AM114" t="s">
        <v>87</v>
      </c>
      <c r="AN114" t="str">
        <f t="shared" ref="AN114:AN133" si="25">".9700"</f>
        <v>.9700</v>
      </c>
      <c r="AO114" t="str">
        <f>"5.25"</f>
        <v>5.25</v>
      </c>
      <c r="AP114" t="s">
        <v>327</v>
      </c>
      <c r="AQ114" t="str">
        <f>"5.25"</f>
        <v>5.25</v>
      </c>
      <c r="AR114">
        <v>9</v>
      </c>
      <c r="AS114">
        <v>-1</v>
      </c>
      <c r="AT114">
        <v>8</v>
      </c>
      <c r="AU114">
        <v>47.3</v>
      </c>
      <c r="AV114">
        <v>4.21</v>
      </c>
      <c r="AW114">
        <v>43.09</v>
      </c>
      <c r="AX114">
        <v>-4.51</v>
      </c>
      <c r="AY114">
        <v>38.58</v>
      </c>
      <c r="AZ114">
        <v>0</v>
      </c>
    </row>
    <row r="115" spans="1:52">
      <c r="A115" t="s">
        <v>65</v>
      </c>
      <c r="B115" t="s">
        <v>66</v>
      </c>
      <c r="C115" t="s">
        <v>67</v>
      </c>
      <c r="D115" t="s">
        <v>68</v>
      </c>
      <c r="E115" t="s">
        <v>69</v>
      </c>
      <c r="F115" t="s">
        <v>70</v>
      </c>
      <c r="G115" t="s">
        <v>71</v>
      </c>
      <c r="H115" t="s">
        <v>70</v>
      </c>
      <c r="I115" t="str">
        <f t="shared" si="14"/>
        <v>1010</v>
      </c>
      <c r="J115" t="str">
        <f t="shared" si="15"/>
        <v>05</v>
      </c>
      <c r="K115" t="s">
        <v>68</v>
      </c>
      <c r="L115" t="s">
        <v>72</v>
      </c>
      <c r="M115" t="s">
        <v>68</v>
      </c>
      <c r="N115" t="s">
        <v>335</v>
      </c>
      <c r="O115" t="s">
        <v>336</v>
      </c>
      <c r="P115" t="str">
        <f>"3020630382"</f>
        <v>3020630382</v>
      </c>
      <c r="R115" t="str">
        <f>"00030206303827"</f>
        <v>00030206303827</v>
      </c>
      <c r="S115" s="1">
        <v>39350</v>
      </c>
      <c r="T115" s="1">
        <v>39350</v>
      </c>
      <c r="U115" t="str">
        <f>"3020630382"</f>
        <v>3020630382</v>
      </c>
      <c r="V115" t="str">
        <f>"1510"</f>
        <v>1510</v>
      </c>
      <c r="W115" t="str">
        <f t="shared" si="16"/>
        <v>11</v>
      </c>
      <c r="X115" t="s">
        <v>75</v>
      </c>
      <c r="Y115" t="s">
        <v>76</v>
      </c>
      <c r="Z115" t="s">
        <v>105</v>
      </c>
      <c r="AA115" t="s">
        <v>106</v>
      </c>
      <c r="AB115" t="s">
        <v>79</v>
      </c>
      <c r="AD115" t="s">
        <v>80</v>
      </c>
      <c r="AE115" t="s">
        <v>81</v>
      </c>
      <c r="AF115" t="s">
        <v>82</v>
      </c>
      <c r="AG115" t="s">
        <v>83</v>
      </c>
      <c r="AH115" t="s">
        <v>84</v>
      </c>
      <c r="AI115" t="str">
        <f>"02"</f>
        <v>02</v>
      </c>
      <c r="AJ115" t="str">
        <f>"2"</f>
        <v>2</v>
      </c>
      <c r="AK115" t="s">
        <v>98</v>
      </c>
      <c r="AL115" t="s">
        <v>86</v>
      </c>
      <c r="AM115" t="s">
        <v>95</v>
      </c>
      <c r="AN115" t="str">
        <f t="shared" si="25"/>
        <v>.9700</v>
      </c>
      <c r="AO115" t="str">
        <f>"8.00"</f>
        <v>8.00</v>
      </c>
      <c r="AP115" t="s">
        <v>99</v>
      </c>
      <c r="AQ115" t="str">
        <f>"8.00"</f>
        <v>8.00</v>
      </c>
      <c r="AR115">
        <v>1</v>
      </c>
      <c r="AS115">
        <v>0</v>
      </c>
      <c r="AT115">
        <v>1</v>
      </c>
      <c r="AU115">
        <v>8</v>
      </c>
      <c r="AV115">
        <v>0</v>
      </c>
      <c r="AW115">
        <v>8</v>
      </c>
      <c r="AX115">
        <v>0</v>
      </c>
      <c r="AY115">
        <v>8</v>
      </c>
      <c r="AZ115">
        <v>0</v>
      </c>
    </row>
    <row r="116" spans="1:52">
      <c r="A116" t="s">
        <v>65</v>
      </c>
      <c r="B116" t="s">
        <v>66</v>
      </c>
      <c r="C116" t="s">
        <v>67</v>
      </c>
      <c r="D116" t="s">
        <v>68</v>
      </c>
      <c r="E116" t="s">
        <v>69</v>
      </c>
      <c r="F116" t="s">
        <v>70</v>
      </c>
      <c r="G116" t="s">
        <v>71</v>
      </c>
      <c r="H116" t="s">
        <v>70</v>
      </c>
      <c r="I116" t="str">
        <f t="shared" si="14"/>
        <v>1010</v>
      </c>
      <c r="J116" t="str">
        <f t="shared" si="15"/>
        <v>05</v>
      </c>
      <c r="K116" t="s">
        <v>68</v>
      </c>
      <c r="L116" t="s">
        <v>72</v>
      </c>
      <c r="M116" t="s">
        <v>68</v>
      </c>
      <c r="N116" t="s">
        <v>337</v>
      </c>
      <c r="O116" t="s">
        <v>149</v>
      </c>
      <c r="P116" t="str">
        <f>"3020618762"</f>
        <v>3020618762</v>
      </c>
      <c r="R116" t="str">
        <f>"00030206187625"</f>
        <v>00030206187625</v>
      </c>
      <c r="S116" s="1">
        <v>40624</v>
      </c>
      <c r="T116" s="1">
        <v>40624</v>
      </c>
      <c r="U116" t="str">
        <f>"3020618762"</f>
        <v>3020618762</v>
      </c>
      <c r="V116" t="str">
        <f>"1510"</f>
        <v>1510</v>
      </c>
      <c r="W116" t="str">
        <f t="shared" si="16"/>
        <v>11</v>
      </c>
      <c r="X116" t="s">
        <v>75</v>
      </c>
      <c r="Y116" t="s">
        <v>76</v>
      </c>
      <c r="Z116" t="s">
        <v>91</v>
      </c>
      <c r="AA116" t="s">
        <v>92</v>
      </c>
      <c r="AB116" t="s">
        <v>79</v>
      </c>
      <c r="AD116" t="s">
        <v>80</v>
      </c>
      <c r="AE116" t="s">
        <v>81</v>
      </c>
      <c r="AF116" t="s">
        <v>82</v>
      </c>
      <c r="AG116" t="s">
        <v>83</v>
      </c>
      <c r="AH116" t="s">
        <v>84</v>
      </c>
      <c r="AI116" t="str">
        <f>"01"</f>
        <v>01</v>
      </c>
      <c r="AJ116" t="str">
        <f t="shared" ref="AJ116:AJ124" si="26">"1"</f>
        <v>1</v>
      </c>
      <c r="AK116" t="s">
        <v>85</v>
      </c>
      <c r="AL116" t="s">
        <v>86</v>
      </c>
      <c r="AM116" t="s">
        <v>87</v>
      </c>
      <c r="AN116" t="str">
        <f t="shared" si="25"/>
        <v>.9700</v>
      </c>
      <c r="AO116" t="str">
        <f>"7.50"</f>
        <v>7.50</v>
      </c>
      <c r="AP116" t="s">
        <v>88</v>
      </c>
      <c r="AQ116" t="str">
        <f>"7.50"</f>
        <v>7.50</v>
      </c>
      <c r="AR116">
        <v>16</v>
      </c>
      <c r="AS116">
        <v>-1</v>
      </c>
      <c r="AT116">
        <v>15</v>
      </c>
      <c r="AU116">
        <v>120</v>
      </c>
      <c r="AV116">
        <v>12</v>
      </c>
      <c r="AW116">
        <v>108</v>
      </c>
      <c r="AX116">
        <v>-5.64</v>
      </c>
      <c r="AY116">
        <v>102.36</v>
      </c>
      <c r="AZ116">
        <v>0</v>
      </c>
    </row>
    <row r="117" spans="1:52">
      <c r="A117" t="s">
        <v>65</v>
      </c>
      <c r="B117" t="s">
        <v>66</v>
      </c>
      <c r="C117" t="s">
        <v>67</v>
      </c>
      <c r="D117" t="s">
        <v>68</v>
      </c>
      <c r="E117" t="s">
        <v>69</v>
      </c>
      <c r="F117" t="s">
        <v>70</v>
      </c>
      <c r="G117" t="s">
        <v>71</v>
      </c>
      <c r="H117" t="s">
        <v>70</v>
      </c>
      <c r="I117" t="str">
        <f t="shared" si="14"/>
        <v>1010</v>
      </c>
      <c r="J117" t="str">
        <f t="shared" si="15"/>
        <v>05</v>
      </c>
      <c r="K117" t="s">
        <v>68</v>
      </c>
      <c r="L117" t="s">
        <v>72</v>
      </c>
      <c r="M117" t="s">
        <v>68</v>
      </c>
      <c r="N117" t="s">
        <v>338</v>
      </c>
      <c r="O117" t="s">
        <v>164</v>
      </c>
      <c r="P117" t="str">
        <f>"3020620082"</f>
        <v>3020620082</v>
      </c>
      <c r="R117" t="str">
        <f>"00030206200829"</f>
        <v>00030206200829</v>
      </c>
      <c r="S117" s="1">
        <v>41821</v>
      </c>
      <c r="T117" s="1">
        <v>41807</v>
      </c>
      <c r="U117" t="str">
        <f>"3020620082"</f>
        <v>3020620082</v>
      </c>
      <c r="V117" t="str">
        <f>"1010"</f>
        <v>1010</v>
      </c>
      <c r="W117" t="str">
        <f t="shared" si="16"/>
        <v>11</v>
      </c>
      <c r="X117" t="s">
        <v>80</v>
      </c>
      <c r="Y117" t="s">
        <v>139</v>
      </c>
      <c r="Z117" t="s">
        <v>105</v>
      </c>
      <c r="AA117" t="s">
        <v>106</v>
      </c>
      <c r="AB117" t="s">
        <v>79</v>
      </c>
      <c r="AD117" t="s">
        <v>80</v>
      </c>
      <c r="AE117" t="s">
        <v>81</v>
      </c>
      <c r="AF117" t="s">
        <v>82</v>
      </c>
      <c r="AG117" t="s">
        <v>83</v>
      </c>
      <c r="AH117" t="s">
        <v>84</v>
      </c>
      <c r="AJ117" t="str">
        <f t="shared" si="26"/>
        <v>1</v>
      </c>
      <c r="AK117" t="s">
        <v>98</v>
      </c>
      <c r="AL117" t="s">
        <v>86</v>
      </c>
      <c r="AM117" t="s">
        <v>95</v>
      </c>
      <c r="AN117" t="str">
        <f t="shared" si="25"/>
        <v>.9700</v>
      </c>
      <c r="AO117" t="str">
        <f>"8.00"</f>
        <v>8.00</v>
      </c>
      <c r="AP117" t="s">
        <v>99</v>
      </c>
      <c r="AQ117" t="str">
        <f>"8.00"</f>
        <v>8.00</v>
      </c>
      <c r="AR117">
        <v>290</v>
      </c>
      <c r="AS117">
        <v>0</v>
      </c>
      <c r="AT117">
        <v>290</v>
      </c>
      <c r="AU117">
        <v>2320</v>
      </c>
      <c r="AV117">
        <v>348</v>
      </c>
      <c r="AW117">
        <v>1972</v>
      </c>
      <c r="AX117">
        <v>0</v>
      </c>
      <c r="AY117">
        <v>1972</v>
      </c>
      <c r="AZ117">
        <v>0</v>
      </c>
    </row>
    <row r="118" spans="1:52">
      <c r="A118" t="s">
        <v>65</v>
      </c>
      <c r="B118" t="s">
        <v>66</v>
      </c>
      <c r="C118" t="s">
        <v>67</v>
      </c>
      <c r="D118" t="s">
        <v>68</v>
      </c>
      <c r="E118" t="s">
        <v>69</v>
      </c>
      <c r="F118" t="s">
        <v>70</v>
      </c>
      <c r="G118" t="s">
        <v>71</v>
      </c>
      <c r="H118" t="s">
        <v>70</v>
      </c>
      <c r="I118" t="str">
        <f t="shared" si="14"/>
        <v>1010</v>
      </c>
      <c r="J118" t="str">
        <f t="shared" si="15"/>
        <v>05</v>
      </c>
      <c r="K118" t="s">
        <v>68</v>
      </c>
      <c r="L118" t="s">
        <v>72</v>
      </c>
      <c r="M118" t="s">
        <v>68</v>
      </c>
      <c r="N118" t="s">
        <v>339</v>
      </c>
      <c r="O118" t="s">
        <v>340</v>
      </c>
      <c r="P118" t="str">
        <f>"3020614502"</f>
        <v>3020614502</v>
      </c>
      <c r="R118" t="str">
        <f>"00030206145021"</f>
        <v>00030206145021</v>
      </c>
      <c r="S118" s="1">
        <v>38377</v>
      </c>
      <c r="T118" s="1">
        <v>38377</v>
      </c>
      <c r="U118" t="str">
        <f>"3020614502"</f>
        <v>3020614502</v>
      </c>
      <c r="V118" t="str">
        <f>"1510"</f>
        <v>1510</v>
      </c>
      <c r="W118" t="str">
        <f t="shared" si="16"/>
        <v>11</v>
      </c>
      <c r="X118" t="s">
        <v>75</v>
      </c>
      <c r="Y118" t="s">
        <v>76</v>
      </c>
      <c r="Z118" t="s">
        <v>105</v>
      </c>
      <c r="AA118" t="s">
        <v>106</v>
      </c>
      <c r="AB118" t="s">
        <v>79</v>
      </c>
      <c r="AD118" t="s">
        <v>80</v>
      </c>
      <c r="AE118" t="s">
        <v>81</v>
      </c>
      <c r="AF118" t="s">
        <v>82</v>
      </c>
      <c r="AG118" t="s">
        <v>83</v>
      </c>
      <c r="AH118" t="s">
        <v>84</v>
      </c>
      <c r="AI118" t="str">
        <f>"01"</f>
        <v>01</v>
      </c>
      <c r="AJ118" t="str">
        <f t="shared" si="26"/>
        <v>1</v>
      </c>
      <c r="AK118" t="s">
        <v>207</v>
      </c>
      <c r="AL118" t="s">
        <v>162</v>
      </c>
      <c r="AM118" t="s">
        <v>208</v>
      </c>
      <c r="AN118" t="str">
        <f t="shared" si="25"/>
        <v>.9700</v>
      </c>
      <c r="AO118" t="str">
        <f>"5.99"</f>
        <v>5.99</v>
      </c>
      <c r="AP118" t="s">
        <v>209</v>
      </c>
      <c r="AQ118" t="str">
        <f>"5.99"</f>
        <v>5.99</v>
      </c>
      <c r="AR118">
        <v>77</v>
      </c>
      <c r="AS118">
        <v>-2</v>
      </c>
      <c r="AT118">
        <v>75</v>
      </c>
      <c r="AU118">
        <v>461.14</v>
      </c>
      <c r="AV118">
        <v>52.47</v>
      </c>
      <c r="AW118">
        <v>408.67</v>
      </c>
      <c r="AX118">
        <v>-10.46</v>
      </c>
      <c r="AY118">
        <v>398.21</v>
      </c>
      <c r="AZ118">
        <v>0</v>
      </c>
    </row>
    <row r="119" spans="1:52">
      <c r="A119" t="s">
        <v>65</v>
      </c>
      <c r="B119" t="s">
        <v>66</v>
      </c>
      <c r="C119" t="s">
        <v>67</v>
      </c>
      <c r="D119" t="s">
        <v>68</v>
      </c>
      <c r="E119" t="s">
        <v>69</v>
      </c>
      <c r="F119" t="s">
        <v>70</v>
      </c>
      <c r="G119" t="s">
        <v>71</v>
      </c>
      <c r="H119" t="s">
        <v>70</v>
      </c>
      <c r="I119" t="str">
        <f t="shared" si="14"/>
        <v>1010</v>
      </c>
      <c r="J119" t="str">
        <f t="shared" si="15"/>
        <v>05</v>
      </c>
      <c r="K119" t="s">
        <v>68</v>
      </c>
      <c r="L119" t="s">
        <v>72</v>
      </c>
      <c r="M119" t="s">
        <v>68</v>
      </c>
      <c r="N119" t="s">
        <v>341</v>
      </c>
      <c r="O119" t="s">
        <v>342</v>
      </c>
      <c r="P119" t="str">
        <f>"3020672078"</f>
        <v>3020672078</v>
      </c>
      <c r="R119" t="str">
        <f>"00030206720785"</f>
        <v>00030206720785</v>
      </c>
      <c r="S119" s="1">
        <v>41520</v>
      </c>
      <c r="T119" s="1">
        <v>41513</v>
      </c>
      <c r="U119" t="str">
        <f>"3020672078"</f>
        <v>3020672078</v>
      </c>
      <c r="V119" t="str">
        <f>"1010"</f>
        <v>1010</v>
      </c>
      <c r="W119" t="str">
        <f t="shared" si="16"/>
        <v>11</v>
      </c>
      <c r="X119" t="s">
        <v>75</v>
      </c>
      <c r="Y119" t="s">
        <v>173</v>
      </c>
      <c r="Z119" t="s">
        <v>105</v>
      </c>
      <c r="AA119" t="s">
        <v>106</v>
      </c>
      <c r="AB119" t="s">
        <v>79</v>
      </c>
      <c r="AD119" t="s">
        <v>80</v>
      </c>
      <c r="AE119" t="s">
        <v>81</v>
      </c>
      <c r="AF119" t="s">
        <v>82</v>
      </c>
      <c r="AG119" t="s">
        <v>83</v>
      </c>
      <c r="AH119" t="s">
        <v>84</v>
      </c>
      <c r="AJ119" t="str">
        <f t="shared" si="26"/>
        <v>1</v>
      </c>
      <c r="AK119" t="s">
        <v>101</v>
      </c>
      <c r="AL119" t="s">
        <v>143</v>
      </c>
      <c r="AM119" t="s">
        <v>95</v>
      </c>
      <c r="AN119" t="str">
        <f t="shared" si="25"/>
        <v>.9700</v>
      </c>
      <c r="AO119" t="str">
        <f>"9.07"</f>
        <v>9.07</v>
      </c>
      <c r="AP119" t="s">
        <v>102</v>
      </c>
      <c r="AQ119" t="str">
        <f>"9.07"</f>
        <v>9.07</v>
      </c>
      <c r="AR119">
        <v>3</v>
      </c>
      <c r="AS119">
        <v>-23</v>
      </c>
      <c r="AT119">
        <v>-20</v>
      </c>
      <c r="AU119">
        <v>27.21</v>
      </c>
      <c r="AV119">
        <v>0</v>
      </c>
      <c r="AW119">
        <v>27.21</v>
      </c>
      <c r="AX119">
        <v>-194.71</v>
      </c>
      <c r="AY119">
        <v>-167.5</v>
      </c>
      <c r="AZ119">
        <v>0</v>
      </c>
    </row>
    <row r="120" spans="1:52">
      <c r="A120" t="s">
        <v>65</v>
      </c>
      <c r="B120" t="s">
        <v>66</v>
      </c>
      <c r="C120" t="s">
        <v>67</v>
      </c>
      <c r="D120" t="s">
        <v>68</v>
      </c>
      <c r="E120" t="s">
        <v>69</v>
      </c>
      <c r="F120" t="s">
        <v>70</v>
      </c>
      <c r="G120" t="s">
        <v>71</v>
      </c>
      <c r="H120" t="s">
        <v>70</v>
      </c>
      <c r="I120" t="str">
        <f t="shared" si="14"/>
        <v>1010</v>
      </c>
      <c r="J120" t="str">
        <f t="shared" si="15"/>
        <v>05</v>
      </c>
      <c r="K120" t="s">
        <v>68</v>
      </c>
      <c r="L120" t="s">
        <v>72</v>
      </c>
      <c r="M120" t="s">
        <v>68</v>
      </c>
      <c r="N120" t="s">
        <v>343</v>
      </c>
      <c r="O120" t="s">
        <v>344</v>
      </c>
      <c r="P120" t="str">
        <f>"3020619872"</f>
        <v>3020619872</v>
      </c>
      <c r="R120" t="str">
        <f>"00030206198720"</f>
        <v>00030206198720</v>
      </c>
      <c r="S120" s="1">
        <v>41723</v>
      </c>
      <c r="T120" s="1">
        <v>41597</v>
      </c>
      <c r="U120" t="str">
        <f>"3020619872"</f>
        <v>3020619872</v>
      </c>
      <c r="V120" t="str">
        <f>"1010"</f>
        <v>1010</v>
      </c>
      <c r="W120" t="str">
        <f t="shared" si="16"/>
        <v>11</v>
      </c>
      <c r="X120" t="s">
        <v>75</v>
      </c>
      <c r="Y120" t="s">
        <v>139</v>
      </c>
      <c r="Z120" t="s">
        <v>345</v>
      </c>
      <c r="AA120" t="s">
        <v>346</v>
      </c>
      <c r="AB120" t="s">
        <v>79</v>
      </c>
      <c r="AD120" t="s">
        <v>80</v>
      </c>
      <c r="AE120" t="s">
        <v>81</v>
      </c>
      <c r="AF120" t="s">
        <v>82</v>
      </c>
      <c r="AG120" t="s">
        <v>83</v>
      </c>
      <c r="AH120" t="s">
        <v>84</v>
      </c>
      <c r="AJ120" t="str">
        <f t="shared" si="26"/>
        <v>1</v>
      </c>
      <c r="AK120" t="s">
        <v>98</v>
      </c>
      <c r="AL120" t="s">
        <v>86</v>
      </c>
      <c r="AM120" t="s">
        <v>95</v>
      </c>
      <c r="AN120" t="str">
        <f t="shared" si="25"/>
        <v>.9700</v>
      </c>
      <c r="AO120" t="str">
        <f>"8.00"</f>
        <v>8.00</v>
      </c>
      <c r="AP120" t="s">
        <v>99</v>
      </c>
      <c r="AQ120" t="str">
        <f>"8.00"</f>
        <v>8.00</v>
      </c>
      <c r="AR120">
        <v>12</v>
      </c>
      <c r="AS120">
        <v>-269</v>
      </c>
      <c r="AT120">
        <v>-257</v>
      </c>
      <c r="AU120">
        <v>96</v>
      </c>
      <c r="AV120">
        <v>6.4</v>
      </c>
      <c r="AW120">
        <v>89.6</v>
      </c>
      <c r="AX120">
        <v>-1798.15</v>
      </c>
      <c r="AY120">
        <v>-1708.55</v>
      </c>
      <c r="AZ120">
        <v>0</v>
      </c>
    </row>
    <row r="121" spans="1:52">
      <c r="A121" t="s">
        <v>65</v>
      </c>
      <c r="B121" t="s">
        <v>66</v>
      </c>
      <c r="C121" t="s">
        <v>67</v>
      </c>
      <c r="D121" t="s">
        <v>68</v>
      </c>
      <c r="E121" t="s">
        <v>69</v>
      </c>
      <c r="F121" t="s">
        <v>70</v>
      </c>
      <c r="G121" t="s">
        <v>71</v>
      </c>
      <c r="H121" t="s">
        <v>70</v>
      </c>
      <c r="I121" t="str">
        <f t="shared" si="14"/>
        <v>1010</v>
      </c>
      <c r="J121" t="str">
        <f t="shared" si="15"/>
        <v>05</v>
      </c>
      <c r="K121" t="s">
        <v>68</v>
      </c>
      <c r="L121" t="s">
        <v>72</v>
      </c>
      <c r="M121" t="s">
        <v>68</v>
      </c>
      <c r="N121" t="s">
        <v>347</v>
      </c>
      <c r="O121" t="s">
        <v>224</v>
      </c>
      <c r="P121" t="str">
        <f>"3020617962"</f>
        <v>3020617962</v>
      </c>
      <c r="R121" t="str">
        <f>"00030206179620"</f>
        <v>00030206179620</v>
      </c>
      <c r="S121" s="1">
        <v>40113</v>
      </c>
      <c r="T121" s="1">
        <v>40113</v>
      </c>
      <c r="U121" t="str">
        <f>"3020617962"</f>
        <v>3020617962</v>
      </c>
      <c r="V121" t="str">
        <f>"1510"</f>
        <v>1510</v>
      </c>
      <c r="W121" t="str">
        <f t="shared" si="16"/>
        <v>11</v>
      </c>
      <c r="X121" t="s">
        <v>75</v>
      </c>
      <c r="Y121" t="s">
        <v>76</v>
      </c>
      <c r="Z121" t="s">
        <v>126</v>
      </c>
      <c r="AA121" t="s">
        <v>127</v>
      </c>
      <c r="AB121" t="s">
        <v>79</v>
      </c>
      <c r="AD121" t="s">
        <v>80</v>
      </c>
      <c r="AE121" t="s">
        <v>81</v>
      </c>
      <c r="AF121" t="s">
        <v>82</v>
      </c>
      <c r="AG121" t="s">
        <v>83</v>
      </c>
      <c r="AH121" t="s">
        <v>84</v>
      </c>
      <c r="AI121" t="str">
        <f>"01"</f>
        <v>01</v>
      </c>
      <c r="AJ121" t="str">
        <f t="shared" si="26"/>
        <v>1</v>
      </c>
      <c r="AK121" t="s">
        <v>85</v>
      </c>
      <c r="AL121" t="s">
        <v>86</v>
      </c>
      <c r="AM121" t="s">
        <v>87</v>
      </c>
      <c r="AN121" t="str">
        <f t="shared" si="25"/>
        <v>.9700</v>
      </c>
      <c r="AO121" t="str">
        <f>"7.50"</f>
        <v>7.50</v>
      </c>
      <c r="AP121" t="s">
        <v>88</v>
      </c>
      <c r="AQ121" t="str">
        <f>"7.50"</f>
        <v>7.50</v>
      </c>
      <c r="AR121">
        <v>4</v>
      </c>
      <c r="AS121">
        <v>-3</v>
      </c>
      <c r="AT121">
        <v>1</v>
      </c>
      <c r="AU121">
        <v>30</v>
      </c>
      <c r="AV121">
        <v>3.15</v>
      </c>
      <c r="AW121">
        <v>26.85</v>
      </c>
      <c r="AX121">
        <v>-20.22</v>
      </c>
      <c r="AY121">
        <v>6.63</v>
      </c>
      <c r="AZ121">
        <v>0</v>
      </c>
    </row>
    <row r="122" spans="1:52">
      <c r="A122" t="s">
        <v>65</v>
      </c>
      <c r="B122" t="s">
        <v>66</v>
      </c>
      <c r="C122" t="s">
        <v>67</v>
      </c>
      <c r="D122" t="s">
        <v>68</v>
      </c>
      <c r="E122" t="s">
        <v>69</v>
      </c>
      <c r="F122" t="s">
        <v>70</v>
      </c>
      <c r="G122" t="s">
        <v>71</v>
      </c>
      <c r="H122" t="s">
        <v>70</v>
      </c>
      <c r="I122" t="str">
        <f t="shared" si="14"/>
        <v>1010</v>
      </c>
      <c r="J122" t="str">
        <f t="shared" si="15"/>
        <v>05</v>
      </c>
      <c r="K122" t="s">
        <v>68</v>
      </c>
      <c r="L122" t="s">
        <v>72</v>
      </c>
      <c r="M122" t="s">
        <v>68</v>
      </c>
      <c r="N122" t="s">
        <v>348</v>
      </c>
      <c r="O122" t="s">
        <v>349</v>
      </c>
      <c r="P122" t="str">
        <f>"3020618612"</f>
        <v>3020618612</v>
      </c>
      <c r="R122" t="str">
        <f>"00030206186123"</f>
        <v>00030206186123</v>
      </c>
      <c r="S122" s="1">
        <v>40519</v>
      </c>
      <c r="T122" s="1">
        <v>40519</v>
      </c>
      <c r="U122" t="str">
        <f>"3020618612"</f>
        <v>3020618612</v>
      </c>
      <c r="V122" t="str">
        <f>"1510"</f>
        <v>1510</v>
      </c>
      <c r="W122" t="str">
        <f t="shared" si="16"/>
        <v>11</v>
      </c>
      <c r="X122" t="s">
        <v>75</v>
      </c>
      <c r="Y122" t="s">
        <v>76</v>
      </c>
      <c r="Z122" t="s">
        <v>105</v>
      </c>
      <c r="AA122" t="s">
        <v>106</v>
      </c>
      <c r="AB122" t="s">
        <v>79</v>
      </c>
      <c r="AD122" t="s">
        <v>80</v>
      </c>
      <c r="AE122" t="s">
        <v>81</v>
      </c>
      <c r="AF122" t="s">
        <v>82</v>
      </c>
      <c r="AG122" t="s">
        <v>83</v>
      </c>
      <c r="AH122" t="s">
        <v>84</v>
      </c>
      <c r="AI122" t="str">
        <f>"01"</f>
        <v>01</v>
      </c>
      <c r="AJ122" t="str">
        <f t="shared" si="26"/>
        <v>1</v>
      </c>
      <c r="AK122" t="s">
        <v>85</v>
      </c>
      <c r="AL122" t="s">
        <v>86</v>
      </c>
      <c r="AM122" t="s">
        <v>87</v>
      </c>
      <c r="AN122" t="str">
        <f t="shared" si="25"/>
        <v>.9700</v>
      </c>
      <c r="AO122" t="str">
        <f>"7.50"</f>
        <v>7.50</v>
      </c>
      <c r="AP122" t="s">
        <v>88</v>
      </c>
      <c r="AQ122" t="str">
        <f>"7.50"</f>
        <v>7.50</v>
      </c>
      <c r="AR122">
        <v>5</v>
      </c>
      <c r="AS122">
        <v>0</v>
      </c>
      <c r="AT122">
        <v>5</v>
      </c>
      <c r="AU122">
        <v>37.5</v>
      </c>
      <c r="AV122">
        <v>3.75</v>
      </c>
      <c r="AW122">
        <v>33.75</v>
      </c>
      <c r="AX122">
        <v>0</v>
      </c>
      <c r="AY122">
        <v>33.75</v>
      </c>
      <c r="AZ122">
        <v>0</v>
      </c>
    </row>
    <row r="123" spans="1:52">
      <c r="A123" t="s">
        <v>65</v>
      </c>
      <c r="B123" t="s">
        <v>66</v>
      </c>
      <c r="C123" t="s">
        <v>67</v>
      </c>
      <c r="D123" t="s">
        <v>68</v>
      </c>
      <c r="E123" t="s">
        <v>69</v>
      </c>
      <c r="F123" t="s">
        <v>70</v>
      </c>
      <c r="G123" t="s">
        <v>71</v>
      </c>
      <c r="H123" t="s">
        <v>70</v>
      </c>
      <c r="I123" t="str">
        <f t="shared" si="14"/>
        <v>1010</v>
      </c>
      <c r="J123" t="str">
        <f t="shared" si="15"/>
        <v>05</v>
      </c>
      <c r="K123" t="s">
        <v>68</v>
      </c>
      <c r="L123" t="s">
        <v>72</v>
      </c>
      <c r="M123" t="s">
        <v>68</v>
      </c>
      <c r="N123" t="s">
        <v>350</v>
      </c>
      <c r="O123" t="s">
        <v>104</v>
      </c>
      <c r="P123" t="str">
        <f>"3020619572"</f>
        <v>3020619572</v>
      </c>
      <c r="R123" t="str">
        <f>"00030206195729"</f>
        <v>00030206195729</v>
      </c>
      <c r="S123" s="1">
        <v>41450</v>
      </c>
      <c r="T123" s="1">
        <v>41436</v>
      </c>
      <c r="U123" t="str">
        <f>"3020619572"</f>
        <v>3020619572</v>
      </c>
      <c r="V123" t="str">
        <f>"1010"</f>
        <v>1010</v>
      </c>
      <c r="W123" t="str">
        <f t="shared" si="16"/>
        <v>11</v>
      </c>
      <c r="X123" t="s">
        <v>75</v>
      </c>
      <c r="Y123" t="s">
        <v>173</v>
      </c>
      <c r="Z123" t="s">
        <v>105</v>
      </c>
      <c r="AA123" t="s">
        <v>106</v>
      </c>
      <c r="AB123" t="s">
        <v>79</v>
      </c>
      <c r="AD123" t="s">
        <v>80</v>
      </c>
      <c r="AE123" t="s">
        <v>81</v>
      </c>
      <c r="AF123" t="s">
        <v>82</v>
      </c>
      <c r="AG123" t="s">
        <v>83</v>
      </c>
      <c r="AH123" t="s">
        <v>84</v>
      </c>
      <c r="AJ123" t="str">
        <f t="shared" si="26"/>
        <v>1</v>
      </c>
      <c r="AK123" t="s">
        <v>85</v>
      </c>
      <c r="AL123" t="s">
        <v>86</v>
      </c>
      <c r="AM123" t="s">
        <v>87</v>
      </c>
      <c r="AN123" t="str">
        <f t="shared" si="25"/>
        <v>.9700</v>
      </c>
      <c r="AO123" t="str">
        <f>"7.50"</f>
        <v>7.50</v>
      </c>
      <c r="AP123" t="s">
        <v>88</v>
      </c>
      <c r="AQ123" t="str">
        <f>"7.50"</f>
        <v>7.50</v>
      </c>
      <c r="AR123">
        <v>17</v>
      </c>
      <c r="AS123">
        <v>-7</v>
      </c>
      <c r="AT123">
        <v>10</v>
      </c>
      <c r="AU123">
        <v>127.5</v>
      </c>
      <c r="AV123">
        <v>12</v>
      </c>
      <c r="AW123">
        <v>115.5</v>
      </c>
      <c r="AX123">
        <v>-43.27</v>
      </c>
      <c r="AY123">
        <v>72.23</v>
      </c>
      <c r="AZ123">
        <v>0</v>
      </c>
    </row>
    <row r="124" spans="1:52">
      <c r="A124" t="s">
        <v>65</v>
      </c>
      <c r="B124" t="s">
        <v>66</v>
      </c>
      <c r="C124" t="s">
        <v>67</v>
      </c>
      <c r="D124" t="s">
        <v>68</v>
      </c>
      <c r="E124" t="s">
        <v>69</v>
      </c>
      <c r="F124" t="s">
        <v>70</v>
      </c>
      <c r="G124" t="s">
        <v>71</v>
      </c>
      <c r="H124" t="s">
        <v>70</v>
      </c>
      <c r="I124" t="str">
        <f t="shared" si="14"/>
        <v>1010</v>
      </c>
      <c r="J124" t="str">
        <f t="shared" si="15"/>
        <v>05</v>
      </c>
      <c r="K124" t="s">
        <v>68</v>
      </c>
      <c r="L124" t="s">
        <v>72</v>
      </c>
      <c r="M124" t="s">
        <v>68</v>
      </c>
      <c r="N124" t="s">
        <v>351</v>
      </c>
      <c r="O124" t="s">
        <v>352</v>
      </c>
      <c r="P124" t="str">
        <f>"3020618722"</f>
        <v>3020618722</v>
      </c>
      <c r="R124" t="str">
        <f>"00030206187229"</f>
        <v>00030206187229</v>
      </c>
      <c r="S124" s="1">
        <v>40624</v>
      </c>
      <c r="T124" s="1">
        <v>40624</v>
      </c>
      <c r="U124" t="str">
        <f>"3020618722"</f>
        <v>3020618722</v>
      </c>
      <c r="V124" t="str">
        <f>"1510"</f>
        <v>1510</v>
      </c>
      <c r="W124" t="str">
        <f t="shared" si="16"/>
        <v>11</v>
      </c>
      <c r="X124" t="s">
        <v>75</v>
      </c>
      <c r="Y124" t="s">
        <v>76</v>
      </c>
      <c r="Z124" t="s">
        <v>91</v>
      </c>
      <c r="AA124" t="s">
        <v>92</v>
      </c>
      <c r="AB124" t="s">
        <v>79</v>
      </c>
      <c r="AD124" t="s">
        <v>80</v>
      </c>
      <c r="AE124" t="s">
        <v>81</v>
      </c>
      <c r="AF124" t="s">
        <v>82</v>
      </c>
      <c r="AG124" t="s">
        <v>83</v>
      </c>
      <c r="AH124" t="s">
        <v>84</v>
      </c>
      <c r="AI124" t="str">
        <f>"01"</f>
        <v>01</v>
      </c>
      <c r="AJ124" t="str">
        <f t="shared" si="26"/>
        <v>1</v>
      </c>
      <c r="AK124" t="s">
        <v>85</v>
      </c>
      <c r="AL124" t="s">
        <v>86</v>
      </c>
      <c r="AM124" t="s">
        <v>87</v>
      </c>
      <c r="AN124" t="str">
        <f t="shared" si="25"/>
        <v>.9700</v>
      </c>
      <c r="AO124" t="str">
        <f>"7.50"</f>
        <v>7.50</v>
      </c>
      <c r="AP124" t="s">
        <v>88</v>
      </c>
      <c r="AQ124" t="str">
        <f>"7.50"</f>
        <v>7.50</v>
      </c>
      <c r="AR124">
        <v>18</v>
      </c>
      <c r="AS124">
        <v>0</v>
      </c>
      <c r="AT124">
        <v>18</v>
      </c>
      <c r="AU124">
        <v>135</v>
      </c>
      <c r="AV124">
        <v>13.5</v>
      </c>
      <c r="AW124">
        <v>121.5</v>
      </c>
      <c r="AX124">
        <v>0</v>
      </c>
      <c r="AY124">
        <v>121.5</v>
      </c>
      <c r="AZ124">
        <v>0</v>
      </c>
    </row>
    <row r="125" spans="1:52">
      <c r="A125" t="s">
        <v>65</v>
      </c>
      <c r="B125" t="s">
        <v>66</v>
      </c>
      <c r="C125" t="s">
        <v>67</v>
      </c>
      <c r="D125" t="s">
        <v>68</v>
      </c>
      <c r="E125" t="s">
        <v>69</v>
      </c>
      <c r="F125" t="s">
        <v>70</v>
      </c>
      <c r="G125" t="s">
        <v>71</v>
      </c>
      <c r="H125" t="s">
        <v>70</v>
      </c>
      <c r="I125" t="str">
        <f t="shared" si="14"/>
        <v>1010</v>
      </c>
      <c r="J125" t="str">
        <f t="shared" si="15"/>
        <v>05</v>
      </c>
      <c r="K125" t="s">
        <v>68</v>
      </c>
      <c r="L125" t="s">
        <v>72</v>
      </c>
      <c r="M125" t="s">
        <v>68</v>
      </c>
      <c r="N125" t="s">
        <v>353</v>
      </c>
      <c r="O125" t="s">
        <v>224</v>
      </c>
      <c r="P125" t="str">
        <f>"3020617912"</f>
        <v>3020617912</v>
      </c>
      <c r="R125" t="str">
        <f>"00030206179125"</f>
        <v>00030206179125</v>
      </c>
      <c r="S125" s="1">
        <v>40092</v>
      </c>
      <c r="T125" s="1">
        <v>40078</v>
      </c>
      <c r="U125" t="str">
        <f>"3020617912"</f>
        <v>3020617912</v>
      </c>
      <c r="V125" t="str">
        <f>"1510"</f>
        <v>1510</v>
      </c>
      <c r="W125" t="str">
        <f t="shared" si="16"/>
        <v>11</v>
      </c>
      <c r="X125" t="s">
        <v>75</v>
      </c>
      <c r="Y125" t="s">
        <v>76</v>
      </c>
      <c r="Z125" t="s">
        <v>126</v>
      </c>
      <c r="AA125" t="s">
        <v>127</v>
      </c>
      <c r="AB125" t="s">
        <v>79</v>
      </c>
      <c r="AD125" t="s">
        <v>80</v>
      </c>
      <c r="AE125" t="s">
        <v>81</v>
      </c>
      <c r="AF125" t="s">
        <v>82</v>
      </c>
      <c r="AG125" t="s">
        <v>83</v>
      </c>
      <c r="AH125" t="s">
        <v>84</v>
      </c>
      <c r="AI125" t="str">
        <f>"02"</f>
        <v>02</v>
      </c>
      <c r="AJ125" t="str">
        <f>"2"</f>
        <v>2</v>
      </c>
      <c r="AK125" t="s">
        <v>194</v>
      </c>
      <c r="AL125" t="s">
        <v>94</v>
      </c>
      <c r="AM125" t="s">
        <v>95</v>
      </c>
      <c r="AN125" t="str">
        <f t="shared" si="25"/>
        <v>.9700</v>
      </c>
      <c r="AO125" t="str">
        <f>"9.75"</f>
        <v>9.75</v>
      </c>
      <c r="AP125" t="s">
        <v>195</v>
      </c>
      <c r="AQ125" t="str">
        <f>"9.75"</f>
        <v>9.75</v>
      </c>
      <c r="AR125">
        <v>125</v>
      </c>
      <c r="AS125">
        <v>-1</v>
      </c>
      <c r="AT125">
        <v>124</v>
      </c>
      <c r="AU125">
        <v>1218.76</v>
      </c>
      <c r="AV125">
        <v>213.53</v>
      </c>
      <c r="AW125">
        <v>1005.23</v>
      </c>
      <c r="AX125">
        <v>-9.75</v>
      </c>
      <c r="AY125">
        <v>995.48</v>
      </c>
      <c r="AZ125">
        <v>0</v>
      </c>
    </row>
    <row r="126" spans="1:52">
      <c r="A126" t="s">
        <v>65</v>
      </c>
      <c r="B126" t="s">
        <v>66</v>
      </c>
      <c r="C126" t="s">
        <v>67</v>
      </c>
      <c r="D126" t="s">
        <v>68</v>
      </c>
      <c r="E126" t="s">
        <v>69</v>
      </c>
      <c r="F126" t="s">
        <v>70</v>
      </c>
      <c r="G126" t="s">
        <v>71</v>
      </c>
      <c r="H126" t="s">
        <v>70</v>
      </c>
      <c r="I126" t="str">
        <f t="shared" si="14"/>
        <v>1010</v>
      </c>
      <c r="J126" t="str">
        <f t="shared" si="15"/>
        <v>05</v>
      </c>
      <c r="K126" t="s">
        <v>68</v>
      </c>
      <c r="L126" t="s">
        <v>72</v>
      </c>
      <c r="M126" t="s">
        <v>68</v>
      </c>
      <c r="N126" t="s">
        <v>354</v>
      </c>
      <c r="O126" t="s">
        <v>355</v>
      </c>
      <c r="P126" t="str">
        <f>"3020620042"</f>
        <v>3020620042</v>
      </c>
      <c r="R126" t="str">
        <f>"00030206200423"</f>
        <v>00030206200423</v>
      </c>
      <c r="S126" s="1">
        <v>41778</v>
      </c>
      <c r="T126" s="1">
        <v>41778</v>
      </c>
      <c r="U126" t="str">
        <f>"3020620042"</f>
        <v>3020620042</v>
      </c>
      <c r="V126" t="str">
        <f>"1010"</f>
        <v>1010</v>
      </c>
      <c r="W126" t="str">
        <f t="shared" si="16"/>
        <v>11</v>
      </c>
      <c r="X126" t="s">
        <v>75</v>
      </c>
      <c r="Y126" t="s">
        <v>139</v>
      </c>
      <c r="Z126" t="s">
        <v>105</v>
      </c>
      <c r="AA126" t="s">
        <v>106</v>
      </c>
      <c r="AB126" t="s">
        <v>79</v>
      </c>
      <c r="AD126" t="s">
        <v>80</v>
      </c>
      <c r="AE126" t="s">
        <v>81</v>
      </c>
      <c r="AF126" t="s">
        <v>82</v>
      </c>
      <c r="AG126" t="s">
        <v>83</v>
      </c>
      <c r="AH126" t="s">
        <v>84</v>
      </c>
      <c r="AI126" t="str">
        <f>"01"</f>
        <v>01</v>
      </c>
      <c r="AJ126" t="str">
        <f t="shared" ref="AJ126:AJ133" si="27">"1"</f>
        <v>1</v>
      </c>
      <c r="AK126" t="s">
        <v>101</v>
      </c>
      <c r="AL126" t="s">
        <v>94</v>
      </c>
      <c r="AM126" t="s">
        <v>95</v>
      </c>
      <c r="AN126" t="str">
        <f t="shared" si="25"/>
        <v>.9700</v>
      </c>
      <c r="AO126" t="str">
        <f>"9.07"</f>
        <v>9.07</v>
      </c>
      <c r="AP126" t="s">
        <v>102</v>
      </c>
      <c r="AQ126" t="str">
        <f>"9.07"</f>
        <v>9.07</v>
      </c>
      <c r="AR126">
        <v>366</v>
      </c>
      <c r="AS126">
        <v>-52</v>
      </c>
      <c r="AT126">
        <v>314</v>
      </c>
      <c r="AU126">
        <v>3316.7</v>
      </c>
      <c r="AV126">
        <v>500.22</v>
      </c>
      <c r="AW126">
        <v>2816.48</v>
      </c>
      <c r="AX126">
        <v>-380.08</v>
      </c>
      <c r="AY126">
        <v>2436.4</v>
      </c>
      <c r="AZ126">
        <v>0</v>
      </c>
    </row>
    <row r="127" spans="1:52">
      <c r="A127" t="s">
        <v>65</v>
      </c>
      <c r="B127" t="s">
        <v>66</v>
      </c>
      <c r="C127" t="s">
        <v>67</v>
      </c>
      <c r="D127" t="s">
        <v>68</v>
      </c>
      <c r="E127" t="s">
        <v>69</v>
      </c>
      <c r="F127" t="s">
        <v>70</v>
      </c>
      <c r="G127" t="s">
        <v>71</v>
      </c>
      <c r="H127" t="s">
        <v>70</v>
      </c>
      <c r="I127" t="str">
        <f t="shared" si="14"/>
        <v>1010</v>
      </c>
      <c r="J127" t="str">
        <f t="shared" si="15"/>
        <v>05</v>
      </c>
      <c r="K127" t="s">
        <v>68</v>
      </c>
      <c r="L127" t="s">
        <v>72</v>
      </c>
      <c r="M127" t="s">
        <v>68</v>
      </c>
      <c r="N127" t="s">
        <v>356</v>
      </c>
      <c r="O127" t="s">
        <v>357</v>
      </c>
      <c r="P127" t="str">
        <f>"3020618552"</f>
        <v>3020618552</v>
      </c>
      <c r="R127" t="str">
        <f>"00030206185522"</f>
        <v>00030206185522</v>
      </c>
      <c r="S127" s="1">
        <v>40476</v>
      </c>
      <c r="T127" s="1">
        <v>40476</v>
      </c>
      <c r="U127" t="str">
        <f>"3020618552"</f>
        <v>3020618552</v>
      </c>
      <c r="V127" t="str">
        <f>"1510"</f>
        <v>1510</v>
      </c>
      <c r="W127" t="str">
        <f t="shared" si="16"/>
        <v>11</v>
      </c>
      <c r="X127" t="s">
        <v>75</v>
      </c>
      <c r="Y127" t="s">
        <v>76</v>
      </c>
      <c r="Z127" t="s">
        <v>105</v>
      </c>
      <c r="AA127" t="s">
        <v>106</v>
      </c>
      <c r="AB127" t="s">
        <v>79</v>
      </c>
      <c r="AD127" t="s">
        <v>80</v>
      </c>
      <c r="AE127" t="s">
        <v>81</v>
      </c>
      <c r="AF127" t="s">
        <v>82</v>
      </c>
      <c r="AG127" t="s">
        <v>83</v>
      </c>
      <c r="AH127" t="s">
        <v>84</v>
      </c>
      <c r="AI127" t="str">
        <f>"01"</f>
        <v>01</v>
      </c>
      <c r="AJ127" t="str">
        <f t="shared" si="27"/>
        <v>1</v>
      </c>
      <c r="AK127" t="s">
        <v>98</v>
      </c>
      <c r="AL127" t="s">
        <v>94</v>
      </c>
      <c r="AM127" t="s">
        <v>95</v>
      </c>
      <c r="AN127" t="str">
        <f t="shared" si="25"/>
        <v>.9700</v>
      </c>
      <c r="AO127" t="str">
        <f>"8.00"</f>
        <v>8.00</v>
      </c>
      <c r="AP127" t="s">
        <v>99</v>
      </c>
      <c r="AQ127" t="str">
        <f>"8.00"</f>
        <v>8.00</v>
      </c>
      <c r="AR127">
        <v>20</v>
      </c>
      <c r="AS127">
        <v>-1</v>
      </c>
      <c r="AT127">
        <v>19</v>
      </c>
      <c r="AU127">
        <v>160</v>
      </c>
      <c r="AV127">
        <v>13.6</v>
      </c>
      <c r="AW127">
        <v>146.4</v>
      </c>
      <c r="AX127">
        <v>-6.9</v>
      </c>
      <c r="AY127">
        <v>139.5</v>
      </c>
      <c r="AZ127">
        <v>0</v>
      </c>
    </row>
    <row r="128" spans="1:52">
      <c r="A128" t="s">
        <v>65</v>
      </c>
      <c r="B128" t="s">
        <v>66</v>
      </c>
      <c r="C128" t="s">
        <v>67</v>
      </c>
      <c r="D128" t="s">
        <v>68</v>
      </c>
      <c r="E128" t="s">
        <v>69</v>
      </c>
      <c r="F128" t="s">
        <v>70</v>
      </c>
      <c r="G128" t="s">
        <v>71</v>
      </c>
      <c r="H128" t="s">
        <v>70</v>
      </c>
      <c r="I128" t="str">
        <f t="shared" si="14"/>
        <v>1010</v>
      </c>
      <c r="J128" t="str">
        <f t="shared" si="15"/>
        <v>05</v>
      </c>
      <c r="K128" t="s">
        <v>68</v>
      </c>
      <c r="L128" t="s">
        <v>72</v>
      </c>
      <c r="M128" t="s">
        <v>68</v>
      </c>
      <c r="N128" t="s">
        <v>356</v>
      </c>
      <c r="O128" t="s">
        <v>358</v>
      </c>
      <c r="P128" t="str">
        <f>"3020619902"</f>
        <v>3020619902</v>
      </c>
      <c r="R128" t="str">
        <f>"00030206199024"</f>
        <v>00030206199024</v>
      </c>
      <c r="S128" s="1">
        <v>40750</v>
      </c>
      <c r="T128" s="1">
        <v>40750</v>
      </c>
      <c r="U128" t="str">
        <f>"3020619902"</f>
        <v>3020619902</v>
      </c>
      <c r="V128" t="str">
        <f>"1510"</f>
        <v>1510</v>
      </c>
      <c r="W128" t="str">
        <f t="shared" si="16"/>
        <v>11</v>
      </c>
      <c r="X128" t="s">
        <v>75</v>
      </c>
      <c r="Y128" t="s">
        <v>76</v>
      </c>
      <c r="Z128" t="s">
        <v>126</v>
      </c>
      <c r="AA128" t="s">
        <v>127</v>
      </c>
      <c r="AB128" t="s">
        <v>79</v>
      </c>
      <c r="AD128" t="s">
        <v>80</v>
      </c>
      <c r="AE128" t="s">
        <v>81</v>
      </c>
      <c r="AF128" t="s">
        <v>82</v>
      </c>
      <c r="AG128" t="s">
        <v>83</v>
      </c>
      <c r="AH128" t="s">
        <v>84</v>
      </c>
      <c r="AI128" t="str">
        <f>"01"</f>
        <v>01</v>
      </c>
      <c r="AJ128" t="str">
        <f t="shared" si="27"/>
        <v>1</v>
      </c>
      <c r="AK128" t="s">
        <v>85</v>
      </c>
      <c r="AL128" t="s">
        <v>86</v>
      </c>
      <c r="AM128" t="s">
        <v>87</v>
      </c>
      <c r="AN128" t="str">
        <f t="shared" si="25"/>
        <v>.9700</v>
      </c>
      <c r="AO128" t="str">
        <f>"7.50"</f>
        <v>7.50</v>
      </c>
      <c r="AP128" t="s">
        <v>88</v>
      </c>
      <c r="AQ128" t="str">
        <f>"7.50"</f>
        <v>7.50</v>
      </c>
      <c r="AR128">
        <v>173</v>
      </c>
      <c r="AS128">
        <v>-7</v>
      </c>
      <c r="AT128">
        <v>166</v>
      </c>
      <c r="AU128">
        <v>1297.5</v>
      </c>
      <c r="AV128">
        <v>251.85</v>
      </c>
      <c r="AW128">
        <v>1045.6500000000001</v>
      </c>
      <c r="AX128">
        <v>-44.35</v>
      </c>
      <c r="AY128">
        <v>1001.3</v>
      </c>
      <c r="AZ128">
        <v>0</v>
      </c>
    </row>
    <row r="129" spans="1:52">
      <c r="A129" t="s">
        <v>65</v>
      </c>
      <c r="B129" t="s">
        <v>66</v>
      </c>
      <c r="C129" t="s">
        <v>67</v>
      </c>
      <c r="D129" t="s">
        <v>68</v>
      </c>
      <c r="E129" t="s">
        <v>69</v>
      </c>
      <c r="F129" t="s">
        <v>70</v>
      </c>
      <c r="G129" t="s">
        <v>71</v>
      </c>
      <c r="H129" t="s">
        <v>70</v>
      </c>
      <c r="I129" t="str">
        <f t="shared" si="14"/>
        <v>1010</v>
      </c>
      <c r="J129" t="str">
        <f t="shared" si="15"/>
        <v>05</v>
      </c>
      <c r="K129" t="s">
        <v>68</v>
      </c>
      <c r="L129" t="s">
        <v>72</v>
      </c>
      <c r="M129" t="s">
        <v>68</v>
      </c>
      <c r="N129" t="s">
        <v>359</v>
      </c>
      <c r="O129" t="s">
        <v>360</v>
      </c>
      <c r="P129" t="str">
        <f>"3020671952"</f>
        <v>3020671952</v>
      </c>
      <c r="R129" t="str">
        <f>"00030206719529"</f>
        <v>00030206719529</v>
      </c>
      <c r="S129" s="1">
        <v>41499</v>
      </c>
      <c r="T129" s="1">
        <v>41499</v>
      </c>
      <c r="U129" t="str">
        <f>"3020671952"</f>
        <v>3020671952</v>
      </c>
      <c r="V129" t="str">
        <f>"1010"</f>
        <v>1010</v>
      </c>
      <c r="W129" t="str">
        <f t="shared" si="16"/>
        <v>11</v>
      </c>
      <c r="X129" t="s">
        <v>75</v>
      </c>
      <c r="Y129" t="s">
        <v>173</v>
      </c>
      <c r="Z129" t="s">
        <v>105</v>
      </c>
      <c r="AA129" t="s">
        <v>106</v>
      </c>
      <c r="AB129" t="s">
        <v>79</v>
      </c>
      <c r="AD129" t="s">
        <v>80</v>
      </c>
      <c r="AE129" t="s">
        <v>81</v>
      </c>
      <c r="AF129" t="s">
        <v>82</v>
      </c>
      <c r="AG129" t="s">
        <v>83</v>
      </c>
      <c r="AH129" t="s">
        <v>84</v>
      </c>
      <c r="AJ129" t="str">
        <f t="shared" si="27"/>
        <v>1</v>
      </c>
      <c r="AK129" t="s">
        <v>101</v>
      </c>
      <c r="AL129" t="s">
        <v>143</v>
      </c>
      <c r="AM129" t="s">
        <v>95</v>
      </c>
      <c r="AN129" t="str">
        <f t="shared" si="25"/>
        <v>.9700</v>
      </c>
      <c r="AO129" t="str">
        <f>"9.07"</f>
        <v>9.07</v>
      </c>
      <c r="AP129" t="s">
        <v>102</v>
      </c>
      <c r="AQ129" t="str">
        <f>"9.07"</f>
        <v>9.07</v>
      </c>
      <c r="AR129">
        <v>27</v>
      </c>
      <c r="AS129">
        <v>-10</v>
      </c>
      <c r="AT129">
        <v>17</v>
      </c>
      <c r="AU129">
        <v>242.04</v>
      </c>
      <c r="AV129">
        <v>0</v>
      </c>
      <c r="AW129">
        <v>242.04</v>
      </c>
      <c r="AX129">
        <v>-81.13</v>
      </c>
      <c r="AY129">
        <v>160.91</v>
      </c>
      <c r="AZ129">
        <v>0</v>
      </c>
    </row>
    <row r="130" spans="1:52">
      <c r="A130" t="s">
        <v>65</v>
      </c>
      <c r="B130" t="s">
        <v>66</v>
      </c>
      <c r="C130" t="s">
        <v>67</v>
      </c>
      <c r="D130" t="s">
        <v>68</v>
      </c>
      <c r="E130" t="s">
        <v>69</v>
      </c>
      <c r="F130" t="s">
        <v>70</v>
      </c>
      <c r="G130" t="s">
        <v>71</v>
      </c>
      <c r="H130" t="s">
        <v>70</v>
      </c>
      <c r="I130" t="str">
        <f t="shared" si="14"/>
        <v>1010</v>
      </c>
      <c r="J130" t="str">
        <f t="shared" si="15"/>
        <v>05</v>
      </c>
      <c r="K130" t="s">
        <v>68</v>
      </c>
      <c r="L130" t="s">
        <v>72</v>
      </c>
      <c r="M130" t="s">
        <v>68</v>
      </c>
      <c r="N130" t="s">
        <v>359</v>
      </c>
      <c r="O130" t="s">
        <v>361</v>
      </c>
      <c r="P130" t="str">
        <f>"3020671951"</f>
        <v>3020671951</v>
      </c>
      <c r="R130" t="str">
        <f>"00030206719512"</f>
        <v>00030206719512</v>
      </c>
      <c r="S130" s="1">
        <v>41499</v>
      </c>
      <c r="T130" s="1">
        <v>41499</v>
      </c>
      <c r="U130" t="str">
        <f>"3020671951"</f>
        <v>3020671951</v>
      </c>
      <c r="V130" t="str">
        <f>"1010"</f>
        <v>1010</v>
      </c>
      <c r="W130" t="str">
        <f t="shared" si="16"/>
        <v>11</v>
      </c>
      <c r="X130" t="s">
        <v>75</v>
      </c>
      <c r="Y130" t="s">
        <v>173</v>
      </c>
      <c r="Z130" t="s">
        <v>105</v>
      </c>
      <c r="AA130" t="s">
        <v>106</v>
      </c>
      <c r="AB130" t="s">
        <v>79</v>
      </c>
      <c r="AD130" t="s">
        <v>80</v>
      </c>
      <c r="AE130" t="s">
        <v>81</v>
      </c>
      <c r="AF130" t="s">
        <v>82</v>
      </c>
      <c r="AG130" t="s">
        <v>140</v>
      </c>
      <c r="AH130" t="s">
        <v>141</v>
      </c>
      <c r="AJ130" t="str">
        <f t="shared" si="27"/>
        <v>1</v>
      </c>
      <c r="AK130" t="s">
        <v>142</v>
      </c>
      <c r="AL130" t="s">
        <v>143</v>
      </c>
      <c r="AM130" t="s">
        <v>95</v>
      </c>
      <c r="AN130" t="str">
        <f t="shared" si="25"/>
        <v>.9700</v>
      </c>
      <c r="AO130" t="str">
        <f>"11.59"</f>
        <v>11.59</v>
      </c>
      <c r="AP130" t="s">
        <v>144</v>
      </c>
      <c r="AQ130" t="str">
        <f>"11.59"</f>
        <v>11.59</v>
      </c>
      <c r="AR130">
        <v>5</v>
      </c>
      <c r="AS130">
        <v>0</v>
      </c>
      <c r="AT130">
        <v>5</v>
      </c>
      <c r="AU130">
        <v>57.95</v>
      </c>
      <c r="AV130">
        <v>0</v>
      </c>
      <c r="AW130">
        <v>57.95</v>
      </c>
      <c r="AX130">
        <v>0</v>
      </c>
      <c r="AY130">
        <v>57.95</v>
      </c>
      <c r="AZ130">
        <v>0</v>
      </c>
    </row>
    <row r="131" spans="1:52">
      <c r="A131" t="s">
        <v>65</v>
      </c>
      <c r="B131" t="s">
        <v>66</v>
      </c>
      <c r="C131" t="s">
        <v>67</v>
      </c>
      <c r="D131" t="s">
        <v>68</v>
      </c>
      <c r="E131" t="s">
        <v>69</v>
      </c>
      <c r="F131" t="s">
        <v>70</v>
      </c>
      <c r="G131" t="s">
        <v>71</v>
      </c>
      <c r="H131" t="s">
        <v>70</v>
      </c>
      <c r="I131" t="str">
        <f t="shared" si="14"/>
        <v>1010</v>
      </c>
      <c r="J131" t="str">
        <f t="shared" si="15"/>
        <v>05</v>
      </c>
      <c r="K131" t="s">
        <v>68</v>
      </c>
      <c r="L131" t="s">
        <v>72</v>
      </c>
      <c r="M131" t="s">
        <v>68</v>
      </c>
      <c r="N131" t="s">
        <v>362</v>
      </c>
      <c r="O131" t="s">
        <v>323</v>
      </c>
      <c r="P131" t="str">
        <f>"3020618572"</f>
        <v>3020618572</v>
      </c>
      <c r="R131" t="str">
        <f>"00030206185720"</f>
        <v>00030206185720</v>
      </c>
      <c r="S131" s="1">
        <v>40498</v>
      </c>
      <c r="T131" s="1">
        <v>40484</v>
      </c>
      <c r="U131" t="str">
        <f>"3020618572"</f>
        <v>3020618572</v>
      </c>
      <c r="V131" t="str">
        <f>"1510"</f>
        <v>1510</v>
      </c>
      <c r="W131" t="str">
        <f t="shared" si="16"/>
        <v>11</v>
      </c>
      <c r="X131" t="s">
        <v>75</v>
      </c>
      <c r="Y131" t="s">
        <v>76</v>
      </c>
      <c r="Z131" t="s">
        <v>105</v>
      </c>
      <c r="AA131" t="s">
        <v>106</v>
      </c>
      <c r="AB131" t="s">
        <v>79</v>
      </c>
      <c r="AD131" t="s">
        <v>80</v>
      </c>
      <c r="AE131" t="s">
        <v>81</v>
      </c>
      <c r="AF131" t="s">
        <v>82</v>
      </c>
      <c r="AG131" t="s">
        <v>83</v>
      </c>
      <c r="AH131" t="s">
        <v>84</v>
      </c>
      <c r="AI131" t="str">
        <f>"01"</f>
        <v>01</v>
      </c>
      <c r="AJ131" t="str">
        <f t="shared" si="27"/>
        <v>1</v>
      </c>
      <c r="AK131" t="s">
        <v>98</v>
      </c>
      <c r="AL131" t="s">
        <v>86</v>
      </c>
      <c r="AM131" t="s">
        <v>95</v>
      </c>
      <c r="AN131" t="str">
        <f t="shared" si="25"/>
        <v>.9700</v>
      </c>
      <c r="AO131" t="str">
        <f>"8.00"</f>
        <v>8.00</v>
      </c>
      <c r="AP131" t="s">
        <v>99</v>
      </c>
      <c r="AQ131" t="str">
        <f>"8.00"</f>
        <v>8.00</v>
      </c>
      <c r="AR131">
        <v>37</v>
      </c>
      <c r="AS131">
        <v>0</v>
      </c>
      <c r="AT131">
        <v>37</v>
      </c>
      <c r="AU131">
        <v>296</v>
      </c>
      <c r="AV131">
        <v>28.48</v>
      </c>
      <c r="AW131">
        <v>267.52</v>
      </c>
      <c r="AX131">
        <v>0</v>
      </c>
      <c r="AY131">
        <v>267.52</v>
      </c>
      <c r="AZ131">
        <v>0</v>
      </c>
    </row>
    <row r="132" spans="1:52">
      <c r="A132" t="s">
        <v>65</v>
      </c>
      <c r="B132" t="s">
        <v>66</v>
      </c>
      <c r="C132" t="s">
        <v>67</v>
      </c>
      <c r="D132" t="s">
        <v>68</v>
      </c>
      <c r="E132" t="s">
        <v>69</v>
      </c>
      <c r="F132" t="s">
        <v>70</v>
      </c>
      <c r="G132" t="s">
        <v>71</v>
      </c>
      <c r="H132" t="s">
        <v>70</v>
      </c>
      <c r="I132" t="str">
        <f t="shared" si="14"/>
        <v>1010</v>
      </c>
      <c r="J132" t="str">
        <f t="shared" si="15"/>
        <v>05</v>
      </c>
      <c r="K132" t="s">
        <v>68</v>
      </c>
      <c r="L132" t="s">
        <v>72</v>
      </c>
      <c r="M132" t="s">
        <v>68</v>
      </c>
      <c r="N132" t="s">
        <v>363</v>
      </c>
      <c r="O132" t="s">
        <v>364</v>
      </c>
      <c r="P132" t="str">
        <f>"3020619182"</f>
        <v>3020619182</v>
      </c>
      <c r="R132" t="str">
        <f>"00030206191820"</f>
        <v>00030206191820</v>
      </c>
      <c r="S132" s="1">
        <v>41114</v>
      </c>
      <c r="T132" s="1">
        <v>41086</v>
      </c>
      <c r="U132" t="str">
        <f>"3020619182"</f>
        <v>3020619182</v>
      </c>
      <c r="V132" t="str">
        <f>"1510"</f>
        <v>1510</v>
      </c>
      <c r="W132" t="str">
        <f t="shared" si="16"/>
        <v>11</v>
      </c>
      <c r="X132" t="s">
        <v>75</v>
      </c>
      <c r="Y132" t="s">
        <v>76</v>
      </c>
      <c r="Z132" t="s">
        <v>105</v>
      </c>
      <c r="AA132" t="s">
        <v>106</v>
      </c>
      <c r="AB132" t="s">
        <v>79</v>
      </c>
      <c r="AD132" t="s">
        <v>80</v>
      </c>
      <c r="AE132" t="s">
        <v>81</v>
      </c>
      <c r="AF132" t="s">
        <v>82</v>
      </c>
      <c r="AG132" t="s">
        <v>83</v>
      </c>
      <c r="AH132" t="s">
        <v>84</v>
      </c>
      <c r="AI132" t="str">
        <f>"01"</f>
        <v>01</v>
      </c>
      <c r="AJ132" t="str">
        <f t="shared" si="27"/>
        <v>1</v>
      </c>
      <c r="AK132" t="s">
        <v>98</v>
      </c>
      <c r="AL132" t="s">
        <v>86</v>
      </c>
      <c r="AM132" t="s">
        <v>95</v>
      </c>
      <c r="AN132" t="str">
        <f t="shared" si="25"/>
        <v>.9700</v>
      </c>
      <c r="AO132" t="str">
        <f>"8.00"</f>
        <v>8.00</v>
      </c>
      <c r="AP132" t="s">
        <v>99</v>
      </c>
      <c r="AQ132" t="str">
        <f>"8.00"</f>
        <v>8.00</v>
      </c>
      <c r="AR132">
        <v>22</v>
      </c>
      <c r="AS132">
        <v>0</v>
      </c>
      <c r="AT132">
        <v>22</v>
      </c>
      <c r="AU132">
        <v>176</v>
      </c>
      <c r="AV132">
        <v>16.8</v>
      </c>
      <c r="AW132">
        <v>159.19999999999999</v>
      </c>
      <c r="AX132">
        <v>0</v>
      </c>
      <c r="AY132">
        <v>159.19999999999999</v>
      </c>
      <c r="AZ132">
        <v>0</v>
      </c>
    </row>
    <row r="133" spans="1:52">
      <c r="A133" t="s">
        <v>65</v>
      </c>
      <c r="B133" t="s">
        <v>66</v>
      </c>
      <c r="C133" t="s">
        <v>67</v>
      </c>
      <c r="D133" t="s">
        <v>68</v>
      </c>
      <c r="E133" t="s">
        <v>69</v>
      </c>
      <c r="F133" t="s">
        <v>70</v>
      </c>
      <c r="G133" t="s">
        <v>71</v>
      </c>
      <c r="H133" t="s">
        <v>70</v>
      </c>
      <c r="I133" t="str">
        <f t="shared" si="14"/>
        <v>1010</v>
      </c>
      <c r="J133" t="str">
        <f t="shared" si="15"/>
        <v>05</v>
      </c>
      <c r="K133" t="s">
        <v>68</v>
      </c>
      <c r="L133" t="s">
        <v>72</v>
      </c>
      <c r="M133" t="s">
        <v>68</v>
      </c>
      <c r="N133" t="s">
        <v>365</v>
      </c>
      <c r="O133" t="s">
        <v>104</v>
      </c>
      <c r="P133" t="str">
        <f>"3020610792"</f>
        <v>3020610792</v>
      </c>
      <c r="R133" t="str">
        <f>"00030206107920"</f>
        <v>00030206107920</v>
      </c>
      <c r="S133" s="1">
        <v>36788</v>
      </c>
      <c r="T133" s="1">
        <v>36788</v>
      </c>
      <c r="U133" t="str">
        <f>"3020610792"</f>
        <v>3020610792</v>
      </c>
      <c r="V133" t="str">
        <f>"1510"</f>
        <v>1510</v>
      </c>
      <c r="W133" t="str">
        <f t="shared" si="16"/>
        <v>11</v>
      </c>
      <c r="X133" t="s">
        <v>75</v>
      </c>
      <c r="Y133" t="s">
        <v>76</v>
      </c>
      <c r="Z133" t="s">
        <v>77</v>
      </c>
      <c r="AA133" t="s">
        <v>78</v>
      </c>
      <c r="AB133" t="s">
        <v>79</v>
      </c>
      <c r="AD133" t="s">
        <v>80</v>
      </c>
      <c r="AE133" t="s">
        <v>81</v>
      </c>
      <c r="AF133" t="s">
        <v>82</v>
      </c>
      <c r="AG133" t="s">
        <v>83</v>
      </c>
      <c r="AH133" t="s">
        <v>84</v>
      </c>
      <c r="AI133" t="str">
        <f>"01"</f>
        <v>01</v>
      </c>
      <c r="AJ133" t="str">
        <f t="shared" si="27"/>
        <v>1</v>
      </c>
      <c r="AK133" t="s">
        <v>98</v>
      </c>
      <c r="AL133" t="s">
        <v>94</v>
      </c>
      <c r="AM133" t="s">
        <v>95</v>
      </c>
      <c r="AN133" t="str">
        <f t="shared" si="25"/>
        <v>.9700</v>
      </c>
      <c r="AO133" t="str">
        <f>"8.00"</f>
        <v>8.00</v>
      </c>
      <c r="AP133" t="s">
        <v>99</v>
      </c>
      <c r="AQ133" t="str">
        <f>"8.00"</f>
        <v>8.00</v>
      </c>
      <c r="AR133">
        <v>60</v>
      </c>
      <c r="AS133">
        <v>-3</v>
      </c>
      <c r="AT133">
        <v>57</v>
      </c>
      <c r="AU133">
        <v>480</v>
      </c>
      <c r="AV133">
        <v>57.6</v>
      </c>
      <c r="AW133">
        <v>422.4</v>
      </c>
      <c r="AX133">
        <v>-22.93</v>
      </c>
      <c r="AY133">
        <v>399.47</v>
      </c>
      <c r="AZ133">
        <v>0</v>
      </c>
    </row>
    <row r="134" spans="1:52">
      <c r="A134" t="s">
        <v>65</v>
      </c>
      <c r="B134" t="s">
        <v>66</v>
      </c>
      <c r="C134" t="s">
        <v>67</v>
      </c>
      <c r="D134" t="s">
        <v>68</v>
      </c>
      <c r="E134" t="s">
        <v>69</v>
      </c>
      <c r="F134" t="s">
        <v>70</v>
      </c>
      <c r="G134" t="s">
        <v>71</v>
      </c>
      <c r="H134" t="s">
        <v>70</v>
      </c>
      <c r="I134" t="str">
        <f t="shared" si="14"/>
        <v>1010</v>
      </c>
      <c r="J134" t="str">
        <f t="shared" si="15"/>
        <v>05</v>
      </c>
      <c r="K134" t="s">
        <v>68</v>
      </c>
      <c r="L134" t="s">
        <v>72</v>
      </c>
      <c r="M134" t="s">
        <v>68</v>
      </c>
      <c r="N134" t="s">
        <v>366</v>
      </c>
      <c r="O134" t="s">
        <v>367</v>
      </c>
      <c r="P134" t="str">
        <f>"3020619362"</f>
        <v>3020619362</v>
      </c>
      <c r="R134" t="str">
        <f>"00030206193626"</f>
        <v>00030206193626</v>
      </c>
      <c r="S134" s="1">
        <v>41198</v>
      </c>
      <c r="T134" s="1">
        <v>41198</v>
      </c>
      <c r="U134" t="str">
        <f>"3020619362"</f>
        <v>3020619362</v>
      </c>
      <c r="V134" t="str">
        <f>"1010"</f>
        <v>1010</v>
      </c>
      <c r="W134" t="str">
        <f t="shared" si="16"/>
        <v>11</v>
      </c>
      <c r="X134" t="s">
        <v>75</v>
      </c>
      <c r="Y134" t="s">
        <v>76</v>
      </c>
      <c r="Z134" t="s">
        <v>105</v>
      </c>
      <c r="AA134" t="s">
        <v>106</v>
      </c>
      <c r="AB134" t="s">
        <v>79</v>
      </c>
      <c r="AD134" t="s">
        <v>80</v>
      </c>
      <c r="AE134" t="s">
        <v>81</v>
      </c>
      <c r="AF134" t="s">
        <v>82</v>
      </c>
      <c r="AG134" t="s">
        <v>83</v>
      </c>
      <c r="AH134" t="s">
        <v>84</v>
      </c>
      <c r="AI134" t="str">
        <f>"02"</f>
        <v>02</v>
      </c>
      <c r="AJ134" t="str">
        <f>"2"</f>
        <v>2</v>
      </c>
      <c r="AK134" t="s">
        <v>135</v>
      </c>
      <c r="AL134" t="s">
        <v>94</v>
      </c>
      <c r="AM134" t="s">
        <v>95</v>
      </c>
      <c r="AN134" t="str">
        <f>"1.9400"</f>
        <v>1.9400</v>
      </c>
      <c r="AO134" t="str">
        <f>"12.02"</f>
        <v>12.02</v>
      </c>
      <c r="AP134" t="s">
        <v>136</v>
      </c>
      <c r="AQ134" t="str">
        <f>"12.02"</f>
        <v>12.02</v>
      </c>
      <c r="AR134">
        <v>64</v>
      </c>
      <c r="AS134">
        <v>-5</v>
      </c>
      <c r="AT134">
        <v>59</v>
      </c>
      <c r="AU134">
        <v>769.41</v>
      </c>
      <c r="AV134">
        <v>74.53</v>
      </c>
      <c r="AW134">
        <v>694.88</v>
      </c>
      <c r="AX134">
        <v>-49.2</v>
      </c>
      <c r="AY134">
        <v>645.67999999999995</v>
      </c>
      <c r="AZ134">
        <v>0</v>
      </c>
    </row>
    <row r="135" spans="1:52">
      <c r="A135" t="s">
        <v>65</v>
      </c>
      <c r="B135" t="s">
        <v>66</v>
      </c>
      <c r="C135" t="s">
        <v>67</v>
      </c>
      <c r="D135" t="s">
        <v>68</v>
      </c>
      <c r="E135" t="s">
        <v>69</v>
      </c>
      <c r="F135" t="s">
        <v>70</v>
      </c>
      <c r="G135" t="s">
        <v>71</v>
      </c>
      <c r="H135" t="s">
        <v>70</v>
      </c>
      <c r="I135" t="str">
        <f t="shared" si="14"/>
        <v>1010</v>
      </c>
      <c r="J135" t="str">
        <f t="shared" si="15"/>
        <v>05</v>
      </c>
      <c r="K135" t="s">
        <v>68</v>
      </c>
      <c r="L135" t="s">
        <v>72</v>
      </c>
      <c r="M135" t="s">
        <v>68</v>
      </c>
      <c r="N135" t="s">
        <v>368</v>
      </c>
      <c r="O135" t="s">
        <v>369</v>
      </c>
      <c r="P135" t="str">
        <f>"3020619102"</f>
        <v>3020619102</v>
      </c>
      <c r="R135" t="str">
        <f>"00030206191028"</f>
        <v>00030206191028</v>
      </c>
      <c r="S135" s="1">
        <v>41044</v>
      </c>
      <c r="T135" s="1">
        <v>41009</v>
      </c>
      <c r="U135" t="str">
        <f>"3020619102"</f>
        <v>3020619102</v>
      </c>
      <c r="V135" t="str">
        <f t="shared" ref="V135:V141" si="28">"1510"</f>
        <v>1510</v>
      </c>
      <c r="W135" t="str">
        <f t="shared" si="16"/>
        <v>11</v>
      </c>
      <c r="X135" t="s">
        <v>75</v>
      </c>
      <c r="Y135" t="s">
        <v>76</v>
      </c>
      <c r="Z135" t="s">
        <v>91</v>
      </c>
      <c r="AA135" t="s">
        <v>92</v>
      </c>
      <c r="AB135" t="s">
        <v>79</v>
      </c>
      <c r="AD135" t="s">
        <v>80</v>
      </c>
      <c r="AE135" t="s">
        <v>81</v>
      </c>
      <c r="AF135" t="s">
        <v>82</v>
      </c>
      <c r="AG135" t="s">
        <v>83</v>
      </c>
      <c r="AH135" t="s">
        <v>84</v>
      </c>
      <c r="AI135" t="str">
        <f t="shared" ref="AI135:AI141" si="29">"01"</f>
        <v>01</v>
      </c>
      <c r="AJ135" t="str">
        <f t="shared" ref="AJ135:AJ141" si="30">"1"</f>
        <v>1</v>
      </c>
      <c r="AK135" t="s">
        <v>98</v>
      </c>
      <c r="AL135" t="s">
        <v>86</v>
      </c>
      <c r="AM135" t="s">
        <v>95</v>
      </c>
      <c r="AN135" t="str">
        <f t="shared" ref="AN135:AN166" si="31">".9700"</f>
        <v>.9700</v>
      </c>
      <c r="AO135" t="str">
        <f>"8.00"</f>
        <v>8.00</v>
      </c>
      <c r="AP135" t="s">
        <v>99</v>
      </c>
      <c r="AQ135" t="str">
        <f>"8.00"</f>
        <v>8.00</v>
      </c>
      <c r="AR135">
        <v>35</v>
      </c>
      <c r="AS135">
        <v>0</v>
      </c>
      <c r="AT135">
        <v>35</v>
      </c>
      <c r="AU135">
        <v>280</v>
      </c>
      <c r="AV135">
        <v>27.2</v>
      </c>
      <c r="AW135">
        <v>252.8</v>
      </c>
      <c r="AX135">
        <v>0</v>
      </c>
      <c r="AY135">
        <v>252.8</v>
      </c>
      <c r="AZ135">
        <v>0</v>
      </c>
    </row>
    <row r="136" spans="1:52">
      <c r="A136" t="s">
        <v>65</v>
      </c>
      <c r="B136" t="s">
        <v>66</v>
      </c>
      <c r="C136" t="s">
        <v>67</v>
      </c>
      <c r="D136" t="s">
        <v>68</v>
      </c>
      <c r="E136" t="s">
        <v>69</v>
      </c>
      <c r="F136" t="s">
        <v>70</v>
      </c>
      <c r="G136" t="s">
        <v>71</v>
      </c>
      <c r="H136" t="s">
        <v>70</v>
      </c>
      <c r="I136" t="str">
        <f t="shared" si="14"/>
        <v>1010</v>
      </c>
      <c r="J136" t="str">
        <f t="shared" si="15"/>
        <v>05</v>
      </c>
      <c r="K136" t="s">
        <v>68</v>
      </c>
      <c r="L136" t="s">
        <v>72</v>
      </c>
      <c r="M136" t="s">
        <v>68</v>
      </c>
      <c r="N136" t="s">
        <v>370</v>
      </c>
      <c r="O136" t="s">
        <v>371</v>
      </c>
      <c r="P136" t="s">
        <v>372</v>
      </c>
      <c r="R136" t="str">
        <f>"00030206595123"</f>
        <v>00030206595123</v>
      </c>
      <c r="S136" s="1">
        <v>36004</v>
      </c>
      <c r="T136" s="1">
        <v>36004</v>
      </c>
      <c r="U136" t="s">
        <v>372</v>
      </c>
      <c r="V136" t="str">
        <f t="shared" si="28"/>
        <v>1510</v>
      </c>
      <c r="W136" t="str">
        <f t="shared" si="16"/>
        <v>11</v>
      </c>
      <c r="X136" t="s">
        <v>75</v>
      </c>
      <c r="Y136" t="s">
        <v>76</v>
      </c>
      <c r="Z136" t="s">
        <v>180</v>
      </c>
      <c r="AA136" t="s">
        <v>181</v>
      </c>
      <c r="AB136" t="s">
        <v>79</v>
      </c>
      <c r="AD136" t="s">
        <v>80</v>
      </c>
      <c r="AE136" t="s">
        <v>81</v>
      </c>
      <c r="AF136" t="s">
        <v>82</v>
      </c>
      <c r="AG136" t="s">
        <v>83</v>
      </c>
      <c r="AH136" t="s">
        <v>84</v>
      </c>
      <c r="AI136" t="str">
        <f t="shared" si="29"/>
        <v>01</v>
      </c>
      <c r="AJ136" t="str">
        <f t="shared" si="30"/>
        <v>1</v>
      </c>
      <c r="AK136" t="s">
        <v>107</v>
      </c>
      <c r="AL136" t="s">
        <v>94</v>
      </c>
      <c r="AM136" t="s">
        <v>95</v>
      </c>
      <c r="AN136" t="str">
        <f t="shared" si="31"/>
        <v>.9700</v>
      </c>
      <c r="AO136" t="str">
        <f>"10.78"</f>
        <v>10.78</v>
      </c>
      <c r="AP136" t="s">
        <v>108</v>
      </c>
      <c r="AQ136" t="str">
        <f>"10.78"</f>
        <v>10.78</v>
      </c>
      <c r="AR136">
        <v>12</v>
      </c>
      <c r="AS136">
        <v>-1</v>
      </c>
      <c r="AT136">
        <v>11</v>
      </c>
      <c r="AU136">
        <v>129.4</v>
      </c>
      <c r="AV136">
        <v>12.94</v>
      </c>
      <c r="AW136">
        <v>116.46</v>
      </c>
      <c r="AX136">
        <v>-9.6999999999999993</v>
      </c>
      <c r="AY136">
        <v>106.76</v>
      </c>
      <c r="AZ136">
        <v>0</v>
      </c>
    </row>
    <row r="137" spans="1:52">
      <c r="A137" t="s">
        <v>65</v>
      </c>
      <c r="B137" t="s">
        <v>66</v>
      </c>
      <c r="C137" t="s">
        <v>67</v>
      </c>
      <c r="D137" t="s">
        <v>68</v>
      </c>
      <c r="E137" t="s">
        <v>69</v>
      </c>
      <c r="F137" t="s">
        <v>70</v>
      </c>
      <c r="G137" t="s">
        <v>71</v>
      </c>
      <c r="H137" t="s">
        <v>70</v>
      </c>
      <c r="I137" t="str">
        <f t="shared" si="14"/>
        <v>1010</v>
      </c>
      <c r="J137" t="str">
        <f t="shared" si="15"/>
        <v>05</v>
      </c>
      <c r="K137" t="s">
        <v>68</v>
      </c>
      <c r="L137" t="s">
        <v>72</v>
      </c>
      <c r="M137" t="s">
        <v>68</v>
      </c>
      <c r="N137" t="s">
        <v>373</v>
      </c>
      <c r="O137" t="s">
        <v>374</v>
      </c>
      <c r="P137" t="s">
        <v>375</v>
      </c>
      <c r="R137" t="str">
        <f>"00030206579628"</f>
        <v>00030206579628</v>
      </c>
      <c r="S137" s="1">
        <v>35640</v>
      </c>
      <c r="T137" s="1">
        <v>35640</v>
      </c>
      <c r="U137" t="s">
        <v>375</v>
      </c>
      <c r="V137" t="str">
        <f t="shared" si="28"/>
        <v>1510</v>
      </c>
      <c r="W137" t="str">
        <f t="shared" si="16"/>
        <v>11</v>
      </c>
      <c r="X137" t="s">
        <v>376</v>
      </c>
      <c r="Y137" t="s">
        <v>76</v>
      </c>
      <c r="Z137" t="s">
        <v>180</v>
      </c>
      <c r="AA137" t="s">
        <v>181</v>
      </c>
      <c r="AB137" t="s">
        <v>79</v>
      </c>
      <c r="AD137" t="s">
        <v>80</v>
      </c>
      <c r="AE137" t="s">
        <v>81</v>
      </c>
      <c r="AF137" t="s">
        <v>82</v>
      </c>
      <c r="AG137" t="s">
        <v>83</v>
      </c>
      <c r="AH137" t="s">
        <v>84</v>
      </c>
      <c r="AI137" t="str">
        <f t="shared" si="29"/>
        <v>01</v>
      </c>
      <c r="AJ137" t="str">
        <f t="shared" si="30"/>
        <v>1</v>
      </c>
      <c r="AK137" t="s">
        <v>107</v>
      </c>
      <c r="AL137" t="s">
        <v>94</v>
      </c>
      <c r="AM137" t="s">
        <v>95</v>
      </c>
      <c r="AN137" t="str">
        <f t="shared" si="31"/>
        <v>.9700</v>
      </c>
      <c r="AO137" t="str">
        <f>"10.78"</f>
        <v>10.78</v>
      </c>
      <c r="AP137" t="s">
        <v>108</v>
      </c>
      <c r="AQ137" t="str">
        <f>"10.78"</f>
        <v>10.78</v>
      </c>
      <c r="AR137">
        <v>0</v>
      </c>
      <c r="AS137">
        <v>-1</v>
      </c>
      <c r="AT137">
        <v>-1</v>
      </c>
      <c r="AU137">
        <v>0</v>
      </c>
      <c r="AV137">
        <v>0</v>
      </c>
      <c r="AW137">
        <v>0</v>
      </c>
      <c r="AX137">
        <v>-9.99</v>
      </c>
      <c r="AY137">
        <v>-9.99</v>
      </c>
      <c r="AZ137">
        <v>0</v>
      </c>
    </row>
    <row r="138" spans="1:52">
      <c r="A138" t="s">
        <v>65</v>
      </c>
      <c r="B138" t="s">
        <v>66</v>
      </c>
      <c r="C138" t="s">
        <v>67</v>
      </c>
      <c r="D138" t="s">
        <v>68</v>
      </c>
      <c r="E138" t="s">
        <v>69</v>
      </c>
      <c r="F138" t="s">
        <v>70</v>
      </c>
      <c r="G138" t="s">
        <v>71</v>
      </c>
      <c r="H138" t="s">
        <v>70</v>
      </c>
      <c r="I138" t="str">
        <f t="shared" ref="I138:I201" si="32">"1010"</f>
        <v>1010</v>
      </c>
      <c r="J138" t="str">
        <f t="shared" ref="J138:J201" si="33">"05"</f>
        <v>05</v>
      </c>
      <c r="K138" t="s">
        <v>68</v>
      </c>
      <c r="L138" t="s">
        <v>72</v>
      </c>
      <c r="M138" t="s">
        <v>68</v>
      </c>
      <c r="N138" t="s">
        <v>373</v>
      </c>
      <c r="O138" t="s">
        <v>377</v>
      </c>
      <c r="P138" t="s">
        <v>378</v>
      </c>
      <c r="R138" t="str">
        <f>"00030206576528"</f>
        <v>00030206576528</v>
      </c>
      <c r="S138" s="1">
        <v>35640</v>
      </c>
      <c r="T138" s="1">
        <v>35640</v>
      </c>
      <c r="U138" t="s">
        <v>378</v>
      </c>
      <c r="V138" t="str">
        <f t="shared" si="28"/>
        <v>1510</v>
      </c>
      <c r="W138" t="str">
        <f t="shared" ref="W138:W201" si="34">"11"</f>
        <v>11</v>
      </c>
      <c r="X138" t="s">
        <v>75</v>
      </c>
      <c r="Y138" t="s">
        <v>76</v>
      </c>
      <c r="Z138" t="s">
        <v>180</v>
      </c>
      <c r="AA138" t="s">
        <v>181</v>
      </c>
      <c r="AB138" t="s">
        <v>79</v>
      </c>
      <c r="AD138" t="s">
        <v>80</v>
      </c>
      <c r="AE138" t="s">
        <v>81</v>
      </c>
      <c r="AF138" t="s">
        <v>82</v>
      </c>
      <c r="AG138" t="s">
        <v>83</v>
      </c>
      <c r="AH138" t="s">
        <v>84</v>
      </c>
      <c r="AI138" t="str">
        <f t="shared" si="29"/>
        <v>01</v>
      </c>
      <c r="AJ138" t="str">
        <f t="shared" si="30"/>
        <v>1</v>
      </c>
      <c r="AK138" t="s">
        <v>107</v>
      </c>
      <c r="AL138" t="s">
        <v>94</v>
      </c>
      <c r="AM138" t="s">
        <v>95</v>
      </c>
      <c r="AN138" t="str">
        <f t="shared" si="31"/>
        <v>.9700</v>
      </c>
      <c r="AO138" t="str">
        <f>"10.78"</f>
        <v>10.78</v>
      </c>
      <c r="AP138" t="s">
        <v>108</v>
      </c>
      <c r="AQ138" t="str">
        <f>"10.78"</f>
        <v>10.78</v>
      </c>
      <c r="AR138">
        <v>38</v>
      </c>
      <c r="AS138">
        <v>0</v>
      </c>
      <c r="AT138">
        <v>38</v>
      </c>
      <c r="AU138">
        <v>409.76</v>
      </c>
      <c r="AV138">
        <v>40.11</v>
      </c>
      <c r="AW138">
        <v>369.65</v>
      </c>
      <c r="AX138">
        <v>0</v>
      </c>
      <c r="AY138">
        <v>369.65</v>
      </c>
      <c r="AZ138">
        <v>0</v>
      </c>
    </row>
    <row r="139" spans="1:52">
      <c r="A139" t="s">
        <v>65</v>
      </c>
      <c r="B139" t="s">
        <v>66</v>
      </c>
      <c r="C139" t="s">
        <v>67</v>
      </c>
      <c r="D139" t="s">
        <v>68</v>
      </c>
      <c r="E139" t="s">
        <v>69</v>
      </c>
      <c r="F139" t="s">
        <v>70</v>
      </c>
      <c r="G139" t="s">
        <v>71</v>
      </c>
      <c r="H139" t="s">
        <v>70</v>
      </c>
      <c r="I139" t="str">
        <f t="shared" si="32"/>
        <v>1010</v>
      </c>
      <c r="J139" t="str">
        <f t="shared" si="33"/>
        <v>05</v>
      </c>
      <c r="K139" t="s">
        <v>68</v>
      </c>
      <c r="L139" t="s">
        <v>72</v>
      </c>
      <c r="M139" t="s">
        <v>68</v>
      </c>
      <c r="N139" t="s">
        <v>373</v>
      </c>
      <c r="O139" t="s">
        <v>379</v>
      </c>
      <c r="P139" t="s">
        <v>380</v>
      </c>
      <c r="R139" t="str">
        <f>"00030206591125"</f>
        <v>00030206591125</v>
      </c>
      <c r="S139" s="1">
        <v>36046</v>
      </c>
      <c r="T139" s="1">
        <v>36046</v>
      </c>
      <c r="U139" t="s">
        <v>380</v>
      </c>
      <c r="V139" t="str">
        <f t="shared" si="28"/>
        <v>1510</v>
      </c>
      <c r="W139" t="str">
        <f t="shared" si="34"/>
        <v>11</v>
      </c>
      <c r="X139" t="s">
        <v>75</v>
      </c>
      <c r="Y139" t="s">
        <v>76</v>
      </c>
      <c r="Z139" t="s">
        <v>180</v>
      </c>
      <c r="AA139" t="s">
        <v>181</v>
      </c>
      <c r="AB139" t="s">
        <v>79</v>
      </c>
      <c r="AD139" t="s">
        <v>80</v>
      </c>
      <c r="AE139" t="s">
        <v>81</v>
      </c>
      <c r="AF139" t="s">
        <v>82</v>
      </c>
      <c r="AG139" t="s">
        <v>83</v>
      </c>
      <c r="AH139" t="s">
        <v>84</v>
      </c>
      <c r="AI139" t="str">
        <f t="shared" si="29"/>
        <v>01</v>
      </c>
      <c r="AJ139" t="str">
        <f t="shared" si="30"/>
        <v>1</v>
      </c>
      <c r="AK139" t="s">
        <v>107</v>
      </c>
      <c r="AL139" t="s">
        <v>94</v>
      </c>
      <c r="AM139" t="s">
        <v>95</v>
      </c>
      <c r="AN139" t="str">
        <f t="shared" si="31"/>
        <v>.9700</v>
      </c>
      <c r="AO139" t="str">
        <f>"10.78"</f>
        <v>10.78</v>
      </c>
      <c r="AP139" t="s">
        <v>108</v>
      </c>
      <c r="AQ139" t="str">
        <f>"10.78"</f>
        <v>10.78</v>
      </c>
      <c r="AR139">
        <v>159</v>
      </c>
      <c r="AS139">
        <v>-1</v>
      </c>
      <c r="AT139">
        <v>158</v>
      </c>
      <c r="AU139">
        <v>1714.63</v>
      </c>
      <c r="AV139">
        <v>195.4</v>
      </c>
      <c r="AW139">
        <v>1519.23</v>
      </c>
      <c r="AX139">
        <v>-10.02</v>
      </c>
      <c r="AY139">
        <v>1509.21</v>
      </c>
      <c r="AZ139">
        <v>0</v>
      </c>
    </row>
    <row r="140" spans="1:52">
      <c r="A140" t="s">
        <v>65</v>
      </c>
      <c r="B140" t="s">
        <v>66</v>
      </c>
      <c r="C140" t="s">
        <v>67</v>
      </c>
      <c r="D140" t="s">
        <v>68</v>
      </c>
      <c r="E140" t="s">
        <v>69</v>
      </c>
      <c r="F140" t="s">
        <v>70</v>
      </c>
      <c r="G140" t="s">
        <v>71</v>
      </c>
      <c r="H140" t="s">
        <v>70</v>
      </c>
      <c r="I140" t="str">
        <f t="shared" si="32"/>
        <v>1010</v>
      </c>
      <c r="J140" t="str">
        <f t="shared" si="33"/>
        <v>05</v>
      </c>
      <c r="K140" t="s">
        <v>68</v>
      </c>
      <c r="L140" t="s">
        <v>72</v>
      </c>
      <c r="M140" t="s">
        <v>68</v>
      </c>
      <c r="N140" t="s">
        <v>373</v>
      </c>
      <c r="O140" t="s">
        <v>381</v>
      </c>
      <c r="P140" t="s">
        <v>382</v>
      </c>
      <c r="R140" t="str">
        <f>"00030206575422"</f>
        <v>00030206575422</v>
      </c>
      <c r="S140" s="1">
        <v>35640</v>
      </c>
      <c r="T140" s="1">
        <v>35640</v>
      </c>
      <c r="U140" t="s">
        <v>382</v>
      </c>
      <c r="V140" t="str">
        <f t="shared" si="28"/>
        <v>1510</v>
      </c>
      <c r="W140" t="str">
        <f t="shared" si="34"/>
        <v>11</v>
      </c>
      <c r="X140" t="s">
        <v>75</v>
      </c>
      <c r="Y140" t="s">
        <v>76</v>
      </c>
      <c r="Z140" t="s">
        <v>180</v>
      </c>
      <c r="AA140" t="s">
        <v>181</v>
      </c>
      <c r="AB140" t="s">
        <v>79</v>
      </c>
      <c r="AD140" t="s">
        <v>80</v>
      </c>
      <c r="AE140" t="s">
        <v>81</v>
      </c>
      <c r="AF140" t="s">
        <v>82</v>
      </c>
      <c r="AG140" t="s">
        <v>83</v>
      </c>
      <c r="AH140" t="s">
        <v>84</v>
      </c>
      <c r="AI140" t="str">
        <f t="shared" si="29"/>
        <v>01</v>
      </c>
      <c r="AJ140" t="str">
        <f t="shared" si="30"/>
        <v>1</v>
      </c>
      <c r="AK140" t="s">
        <v>107</v>
      </c>
      <c r="AL140" t="s">
        <v>94</v>
      </c>
      <c r="AM140" t="s">
        <v>95</v>
      </c>
      <c r="AN140" t="str">
        <f t="shared" si="31"/>
        <v>.9700</v>
      </c>
      <c r="AO140" t="str">
        <f>"10.78"</f>
        <v>10.78</v>
      </c>
      <c r="AP140" t="s">
        <v>108</v>
      </c>
      <c r="AQ140" t="str">
        <f>"10.78"</f>
        <v>10.78</v>
      </c>
      <c r="AR140">
        <v>36</v>
      </c>
      <c r="AS140">
        <v>0</v>
      </c>
      <c r="AT140">
        <v>36</v>
      </c>
      <c r="AU140">
        <v>388.2</v>
      </c>
      <c r="AV140">
        <v>38.82</v>
      </c>
      <c r="AW140">
        <v>349.38</v>
      </c>
      <c r="AX140">
        <v>0</v>
      </c>
      <c r="AY140">
        <v>349.38</v>
      </c>
      <c r="AZ140">
        <v>0</v>
      </c>
    </row>
    <row r="141" spans="1:52">
      <c r="A141" t="s">
        <v>65</v>
      </c>
      <c r="B141" t="s">
        <v>66</v>
      </c>
      <c r="C141" t="s">
        <v>67</v>
      </c>
      <c r="D141" t="s">
        <v>68</v>
      </c>
      <c r="E141" t="s">
        <v>69</v>
      </c>
      <c r="F141" t="s">
        <v>70</v>
      </c>
      <c r="G141" t="s">
        <v>71</v>
      </c>
      <c r="H141" t="s">
        <v>70</v>
      </c>
      <c r="I141" t="str">
        <f t="shared" si="32"/>
        <v>1010</v>
      </c>
      <c r="J141" t="str">
        <f t="shared" si="33"/>
        <v>05</v>
      </c>
      <c r="K141" t="s">
        <v>68</v>
      </c>
      <c r="L141" t="s">
        <v>72</v>
      </c>
      <c r="M141" t="s">
        <v>68</v>
      </c>
      <c r="N141" t="s">
        <v>383</v>
      </c>
      <c r="O141" t="s">
        <v>384</v>
      </c>
      <c r="P141" t="str">
        <f>"3020618122"</f>
        <v>3020618122</v>
      </c>
      <c r="R141" t="str">
        <f>"00030206181227"</f>
        <v>00030206181227</v>
      </c>
      <c r="S141" s="1">
        <v>40232</v>
      </c>
      <c r="T141" s="1">
        <v>40225</v>
      </c>
      <c r="U141" t="str">
        <f>"3020618122"</f>
        <v>3020618122</v>
      </c>
      <c r="V141" t="str">
        <f t="shared" si="28"/>
        <v>1510</v>
      </c>
      <c r="W141" t="str">
        <f t="shared" si="34"/>
        <v>11</v>
      </c>
      <c r="X141" t="s">
        <v>75</v>
      </c>
      <c r="Y141" t="s">
        <v>76</v>
      </c>
      <c r="Z141" t="s">
        <v>91</v>
      </c>
      <c r="AA141" t="s">
        <v>92</v>
      </c>
      <c r="AB141" t="s">
        <v>79</v>
      </c>
      <c r="AD141" t="s">
        <v>80</v>
      </c>
      <c r="AE141" t="s">
        <v>81</v>
      </c>
      <c r="AF141" t="s">
        <v>82</v>
      </c>
      <c r="AG141" t="s">
        <v>83</v>
      </c>
      <c r="AH141" t="s">
        <v>84</v>
      </c>
      <c r="AI141" t="str">
        <f t="shared" si="29"/>
        <v>01</v>
      </c>
      <c r="AJ141" t="str">
        <f t="shared" si="30"/>
        <v>1</v>
      </c>
      <c r="AK141" t="s">
        <v>114</v>
      </c>
      <c r="AL141" t="s">
        <v>86</v>
      </c>
      <c r="AM141" t="s">
        <v>87</v>
      </c>
      <c r="AN141" t="str">
        <f t="shared" si="31"/>
        <v>.9700</v>
      </c>
      <c r="AO141" t="str">
        <f>"7.00"</f>
        <v>7.00</v>
      </c>
      <c r="AP141" t="s">
        <v>115</v>
      </c>
      <c r="AQ141" t="str">
        <f>"7.00"</f>
        <v>7.00</v>
      </c>
      <c r="AR141">
        <v>1</v>
      </c>
      <c r="AS141">
        <v>0</v>
      </c>
      <c r="AT141">
        <v>1</v>
      </c>
      <c r="AU141">
        <v>7</v>
      </c>
      <c r="AV141">
        <v>0.7</v>
      </c>
      <c r="AW141">
        <v>6.3</v>
      </c>
      <c r="AX141">
        <v>0</v>
      </c>
      <c r="AY141">
        <v>6.3</v>
      </c>
      <c r="AZ141">
        <v>0</v>
      </c>
    </row>
    <row r="142" spans="1:52">
      <c r="A142" t="s">
        <v>65</v>
      </c>
      <c r="B142" t="s">
        <v>66</v>
      </c>
      <c r="C142" t="s">
        <v>67</v>
      </c>
      <c r="D142" t="s">
        <v>68</v>
      </c>
      <c r="E142" t="s">
        <v>69</v>
      </c>
      <c r="F142" t="s">
        <v>70</v>
      </c>
      <c r="G142" t="s">
        <v>71</v>
      </c>
      <c r="H142" t="s">
        <v>70</v>
      </c>
      <c r="I142" t="str">
        <f t="shared" si="32"/>
        <v>1010</v>
      </c>
      <c r="J142" t="str">
        <f t="shared" si="33"/>
        <v>05</v>
      </c>
      <c r="K142" t="s">
        <v>68</v>
      </c>
      <c r="L142" t="s">
        <v>72</v>
      </c>
      <c r="M142" t="s">
        <v>68</v>
      </c>
      <c r="N142" t="s">
        <v>383</v>
      </c>
      <c r="O142" t="s">
        <v>385</v>
      </c>
      <c r="P142" t="str">
        <f>"3020619632"</f>
        <v>3020619632</v>
      </c>
      <c r="R142" t="str">
        <f>"00030206196320"</f>
        <v>00030206196320</v>
      </c>
      <c r="S142" s="1">
        <v>41547</v>
      </c>
      <c r="T142" s="1">
        <v>41548</v>
      </c>
      <c r="U142" t="str">
        <f>"3020619632"</f>
        <v>3020619632</v>
      </c>
      <c r="V142" t="str">
        <f>"1010"</f>
        <v>1010</v>
      </c>
      <c r="W142" t="str">
        <f t="shared" si="34"/>
        <v>11</v>
      </c>
      <c r="X142" t="s">
        <v>75</v>
      </c>
      <c r="Y142" t="s">
        <v>173</v>
      </c>
      <c r="Z142" t="s">
        <v>105</v>
      </c>
      <c r="AA142" t="s">
        <v>106</v>
      </c>
      <c r="AB142" t="s">
        <v>79</v>
      </c>
      <c r="AD142" t="s">
        <v>80</v>
      </c>
      <c r="AE142" t="s">
        <v>81</v>
      </c>
      <c r="AF142" t="s">
        <v>82</v>
      </c>
      <c r="AG142" t="s">
        <v>83</v>
      </c>
      <c r="AH142" t="s">
        <v>84</v>
      </c>
      <c r="AJ142" t="str">
        <f>"2"</f>
        <v>2</v>
      </c>
      <c r="AK142" t="s">
        <v>135</v>
      </c>
      <c r="AL142" t="s">
        <v>143</v>
      </c>
      <c r="AM142" t="s">
        <v>95</v>
      </c>
      <c r="AN142" t="str">
        <f t="shared" si="31"/>
        <v>.9700</v>
      </c>
      <c r="AO142" t="str">
        <f>"12.02"</f>
        <v>12.02</v>
      </c>
      <c r="AP142" t="s">
        <v>136</v>
      </c>
      <c r="AQ142" t="str">
        <f>"12.02"</f>
        <v>12.02</v>
      </c>
      <c r="AR142">
        <v>38</v>
      </c>
      <c r="AS142">
        <v>-3</v>
      </c>
      <c r="AT142">
        <v>35</v>
      </c>
      <c r="AU142">
        <v>456.84</v>
      </c>
      <c r="AV142">
        <v>40.880000000000003</v>
      </c>
      <c r="AW142">
        <v>415.96</v>
      </c>
      <c r="AX142">
        <v>-29.61</v>
      </c>
      <c r="AY142">
        <v>386.35</v>
      </c>
      <c r="AZ142">
        <v>0</v>
      </c>
    </row>
    <row r="143" spans="1:52">
      <c r="A143" t="s">
        <v>65</v>
      </c>
      <c r="B143" t="s">
        <v>66</v>
      </c>
      <c r="C143" t="s">
        <v>67</v>
      </c>
      <c r="D143" t="s">
        <v>68</v>
      </c>
      <c r="E143" t="s">
        <v>69</v>
      </c>
      <c r="F143" t="s">
        <v>70</v>
      </c>
      <c r="G143" t="s">
        <v>71</v>
      </c>
      <c r="H143" t="s">
        <v>70</v>
      </c>
      <c r="I143" t="str">
        <f t="shared" si="32"/>
        <v>1010</v>
      </c>
      <c r="J143" t="str">
        <f t="shared" si="33"/>
        <v>05</v>
      </c>
      <c r="K143" t="s">
        <v>68</v>
      </c>
      <c r="L143" t="s">
        <v>72</v>
      </c>
      <c r="M143" t="s">
        <v>68</v>
      </c>
      <c r="N143" t="s">
        <v>386</v>
      </c>
      <c r="O143" t="s">
        <v>387</v>
      </c>
      <c r="P143" t="str">
        <f>"3020624232"</f>
        <v>3020624232</v>
      </c>
      <c r="R143" t="str">
        <f>"00030206242324"</f>
        <v>00030206242324</v>
      </c>
      <c r="S143" s="1">
        <v>41394</v>
      </c>
      <c r="T143" s="1">
        <v>41394</v>
      </c>
      <c r="U143" t="str">
        <f>"3020624232"</f>
        <v>3020624232</v>
      </c>
      <c r="V143" t="str">
        <f>"1010"</f>
        <v>1010</v>
      </c>
      <c r="W143" t="str">
        <f t="shared" si="34"/>
        <v>11</v>
      </c>
      <c r="X143" t="s">
        <v>75</v>
      </c>
      <c r="Y143" t="s">
        <v>173</v>
      </c>
      <c r="Z143" t="s">
        <v>105</v>
      </c>
      <c r="AA143" t="s">
        <v>106</v>
      </c>
      <c r="AB143" t="s">
        <v>79</v>
      </c>
      <c r="AD143" t="s">
        <v>80</v>
      </c>
      <c r="AE143" t="s">
        <v>81</v>
      </c>
      <c r="AF143" t="s">
        <v>82</v>
      </c>
      <c r="AG143" t="s">
        <v>83</v>
      </c>
      <c r="AH143" t="s">
        <v>84</v>
      </c>
      <c r="AJ143" t="str">
        <f>"1"</f>
        <v>1</v>
      </c>
      <c r="AK143" t="s">
        <v>85</v>
      </c>
      <c r="AL143" t="s">
        <v>143</v>
      </c>
      <c r="AM143" t="s">
        <v>87</v>
      </c>
      <c r="AN143" t="str">
        <f t="shared" si="31"/>
        <v>.9700</v>
      </c>
      <c r="AO143" t="str">
        <f>"7.50"</f>
        <v>7.50</v>
      </c>
      <c r="AP143" t="s">
        <v>88</v>
      </c>
      <c r="AQ143" t="str">
        <f>"7.50"</f>
        <v>7.50</v>
      </c>
      <c r="AR143">
        <v>2</v>
      </c>
      <c r="AS143">
        <v>-5</v>
      </c>
      <c r="AT143">
        <v>-3</v>
      </c>
      <c r="AU143">
        <v>15</v>
      </c>
      <c r="AV143">
        <v>0</v>
      </c>
      <c r="AW143">
        <v>15</v>
      </c>
      <c r="AX143">
        <v>-34.299999999999997</v>
      </c>
      <c r="AY143">
        <v>-19.3</v>
      </c>
      <c r="AZ143">
        <v>0</v>
      </c>
    </row>
    <row r="144" spans="1:52">
      <c r="A144" t="s">
        <v>65</v>
      </c>
      <c r="B144" t="s">
        <v>66</v>
      </c>
      <c r="C144" t="s">
        <v>67</v>
      </c>
      <c r="D144" t="s">
        <v>68</v>
      </c>
      <c r="E144" t="s">
        <v>69</v>
      </c>
      <c r="F144" t="s">
        <v>70</v>
      </c>
      <c r="G144" t="s">
        <v>71</v>
      </c>
      <c r="H144" t="s">
        <v>70</v>
      </c>
      <c r="I144" t="str">
        <f t="shared" si="32"/>
        <v>1010</v>
      </c>
      <c r="J144" t="str">
        <f t="shared" si="33"/>
        <v>05</v>
      </c>
      <c r="K144" t="s">
        <v>68</v>
      </c>
      <c r="L144" t="s">
        <v>72</v>
      </c>
      <c r="M144" t="s">
        <v>68</v>
      </c>
      <c r="N144" t="s">
        <v>388</v>
      </c>
      <c r="O144" t="s">
        <v>389</v>
      </c>
      <c r="P144" t="str">
        <f>"3020669842"</f>
        <v>3020669842</v>
      </c>
      <c r="R144" t="str">
        <f>"00030206698428"</f>
        <v>00030206698428</v>
      </c>
      <c r="S144" s="1">
        <v>40064</v>
      </c>
      <c r="T144" s="1">
        <v>40064</v>
      </c>
      <c r="U144" t="str">
        <f>"3020669842"</f>
        <v>3020669842</v>
      </c>
      <c r="V144" t="str">
        <f>"1510"</f>
        <v>1510</v>
      </c>
      <c r="W144" t="str">
        <f t="shared" si="34"/>
        <v>11</v>
      </c>
      <c r="X144" t="s">
        <v>75</v>
      </c>
      <c r="Y144" t="s">
        <v>76</v>
      </c>
      <c r="Z144" t="s">
        <v>180</v>
      </c>
      <c r="AA144" t="s">
        <v>181</v>
      </c>
      <c r="AB144" t="s">
        <v>79</v>
      </c>
      <c r="AD144" t="s">
        <v>80</v>
      </c>
      <c r="AE144" t="s">
        <v>81</v>
      </c>
      <c r="AF144" t="s">
        <v>82</v>
      </c>
      <c r="AG144" t="s">
        <v>83</v>
      </c>
      <c r="AH144" t="s">
        <v>84</v>
      </c>
      <c r="AI144" t="str">
        <f>"01"</f>
        <v>01</v>
      </c>
      <c r="AJ144" t="str">
        <f>"1"</f>
        <v>1</v>
      </c>
      <c r="AK144" t="s">
        <v>93</v>
      </c>
      <c r="AL144" t="s">
        <v>94</v>
      </c>
      <c r="AM144" t="s">
        <v>95</v>
      </c>
      <c r="AN144" t="str">
        <f t="shared" si="31"/>
        <v>.9700</v>
      </c>
      <c r="AO144" t="str">
        <f>"11.41"</f>
        <v>11.41</v>
      </c>
      <c r="AP144" t="s">
        <v>96</v>
      </c>
      <c r="AQ144" t="str">
        <f>"11.41"</f>
        <v>11.41</v>
      </c>
      <c r="AR144">
        <v>8</v>
      </c>
      <c r="AS144">
        <v>-1</v>
      </c>
      <c r="AT144">
        <v>7</v>
      </c>
      <c r="AU144">
        <v>91.28</v>
      </c>
      <c r="AV144">
        <v>10.96</v>
      </c>
      <c r="AW144">
        <v>80.319999999999993</v>
      </c>
      <c r="AX144">
        <v>-9.99</v>
      </c>
      <c r="AY144">
        <v>70.33</v>
      </c>
      <c r="AZ144">
        <v>0</v>
      </c>
    </row>
    <row r="145" spans="1:52">
      <c r="A145" t="s">
        <v>65</v>
      </c>
      <c r="B145" t="s">
        <v>66</v>
      </c>
      <c r="C145" t="s">
        <v>67</v>
      </c>
      <c r="D145" t="s">
        <v>68</v>
      </c>
      <c r="E145" t="s">
        <v>69</v>
      </c>
      <c r="F145" t="s">
        <v>70</v>
      </c>
      <c r="G145" t="s">
        <v>71</v>
      </c>
      <c r="H145" t="s">
        <v>70</v>
      </c>
      <c r="I145" t="str">
        <f t="shared" si="32"/>
        <v>1010</v>
      </c>
      <c r="J145" t="str">
        <f t="shared" si="33"/>
        <v>05</v>
      </c>
      <c r="K145" t="s">
        <v>68</v>
      </c>
      <c r="L145" t="s">
        <v>72</v>
      </c>
      <c r="M145" t="s">
        <v>68</v>
      </c>
      <c r="N145" t="s">
        <v>390</v>
      </c>
      <c r="O145" t="s">
        <v>245</v>
      </c>
      <c r="P145" t="str">
        <f>"3020618462"</f>
        <v>3020618462</v>
      </c>
      <c r="R145" t="str">
        <f>"00030206184624"</f>
        <v>00030206184624</v>
      </c>
      <c r="S145" s="1">
        <v>40414</v>
      </c>
      <c r="T145" s="1">
        <v>40414</v>
      </c>
      <c r="U145" t="str">
        <f>"3020618462"</f>
        <v>3020618462</v>
      </c>
      <c r="V145" t="str">
        <f>"1510"</f>
        <v>1510</v>
      </c>
      <c r="W145" t="str">
        <f t="shared" si="34"/>
        <v>11</v>
      </c>
      <c r="X145" t="s">
        <v>75</v>
      </c>
      <c r="Y145" t="s">
        <v>76</v>
      </c>
      <c r="Z145" t="s">
        <v>282</v>
      </c>
      <c r="AA145" t="s">
        <v>283</v>
      </c>
      <c r="AB145" t="s">
        <v>79</v>
      </c>
      <c r="AD145" t="s">
        <v>80</v>
      </c>
      <c r="AE145" t="s">
        <v>81</v>
      </c>
      <c r="AF145" t="s">
        <v>82</v>
      </c>
      <c r="AG145" t="s">
        <v>83</v>
      </c>
      <c r="AH145" t="s">
        <v>84</v>
      </c>
      <c r="AI145" t="str">
        <f>"01"</f>
        <v>01</v>
      </c>
      <c r="AJ145" t="str">
        <f>"1"</f>
        <v>1</v>
      </c>
      <c r="AK145" t="s">
        <v>98</v>
      </c>
      <c r="AL145" t="s">
        <v>86</v>
      </c>
      <c r="AM145" t="s">
        <v>95</v>
      </c>
      <c r="AN145" t="str">
        <f t="shared" si="31"/>
        <v>.9700</v>
      </c>
      <c r="AO145" t="str">
        <f>"8.00"</f>
        <v>8.00</v>
      </c>
      <c r="AP145" t="s">
        <v>99</v>
      </c>
      <c r="AQ145" t="str">
        <f>"8.00"</f>
        <v>8.00</v>
      </c>
      <c r="AR145">
        <v>1</v>
      </c>
      <c r="AS145">
        <v>-12</v>
      </c>
      <c r="AT145">
        <v>-11</v>
      </c>
      <c r="AU145">
        <v>8</v>
      </c>
      <c r="AV145">
        <v>0.8</v>
      </c>
      <c r="AW145">
        <v>7.2</v>
      </c>
      <c r="AX145">
        <v>-78.099999999999994</v>
      </c>
      <c r="AY145">
        <v>-70.900000000000006</v>
      </c>
      <c r="AZ145">
        <v>0</v>
      </c>
    </row>
    <row r="146" spans="1:52">
      <c r="A146" t="s">
        <v>65</v>
      </c>
      <c r="B146" t="s">
        <v>66</v>
      </c>
      <c r="C146" t="s">
        <v>67</v>
      </c>
      <c r="D146" t="s">
        <v>68</v>
      </c>
      <c r="E146" t="s">
        <v>69</v>
      </c>
      <c r="F146" t="s">
        <v>70</v>
      </c>
      <c r="G146" t="s">
        <v>71</v>
      </c>
      <c r="H146" t="s">
        <v>70</v>
      </c>
      <c r="I146" t="str">
        <f t="shared" si="32"/>
        <v>1010</v>
      </c>
      <c r="J146" t="str">
        <f t="shared" si="33"/>
        <v>05</v>
      </c>
      <c r="K146" t="s">
        <v>68</v>
      </c>
      <c r="L146" t="s">
        <v>72</v>
      </c>
      <c r="M146" t="s">
        <v>68</v>
      </c>
      <c r="N146" t="s">
        <v>245</v>
      </c>
      <c r="O146" t="s">
        <v>391</v>
      </c>
      <c r="P146" t="str">
        <f>"3020618172"</f>
        <v>3020618172</v>
      </c>
      <c r="R146" t="str">
        <f>"00030206181722"</f>
        <v>00030206181722</v>
      </c>
      <c r="S146" s="1">
        <v>40246</v>
      </c>
      <c r="T146" s="1">
        <v>40246</v>
      </c>
      <c r="U146" t="str">
        <f>"3020618172"</f>
        <v>3020618172</v>
      </c>
      <c r="V146" t="str">
        <f>"1510"</f>
        <v>1510</v>
      </c>
      <c r="W146" t="str">
        <f t="shared" si="34"/>
        <v>11</v>
      </c>
      <c r="X146" t="s">
        <v>376</v>
      </c>
      <c r="Y146" t="s">
        <v>76</v>
      </c>
      <c r="Z146" t="s">
        <v>169</v>
      </c>
      <c r="AA146" t="s">
        <v>170</v>
      </c>
      <c r="AB146" t="s">
        <v>79</v>
      </c>
      <c r="AD146" t="s">
        <v>80</v>
      </c>
      <c r="AE146" t="s">
        <v>81</v>
      </c>
      <c r="AF146" t="s">
        <v>82</v>
      </c>
      <c r="AG146" t="s">
        <v>83</v>
      </c>
      <c r="AH146" t="s">
        <v>84</v>
      </c>
      <c r="AI146" t="str">
        <f>"02"</f>
        <v>02</v>
      </c>
      <c r="AJ146" t="str">
        <f>"2"</f>
        <v>2</v>
      </c>
      <c r="AK146" t="s">
        <v>107</v>
      </c>
      <c r="AL146" t="s">
        <v>94</v>
      </c>
      <c r="AM146" t="s">
        <v>95</v>
      </c>
      <c r="AN146" t="str">
        <f t="shared" si="31"/>
        <v>.9700</v>
      </c>
      <c r="AO146" t="str">
        <f>"10.78"</f>
        <v>10.78</v>
      </c>
      <c r="AP146" t="s">
        <v>108</v>
      </c>
      <c r="AQ146" t="str">
        <f>"10.78"</f>
        <v>10.78</v>
      </c>
      <c r="AR146">
        <v>0</v>
      </c>
      <c r="AS146">
        <v>-1</v>
      </c>
      <c r="AT146">
        <v>-1</v>
      </c>
      <c r="AU146">
        <v>0</v>
      </c>
      <c r="AV146">
        <v>0</v>
      </c>
      <c r="AW146">
        <v>0</v>
      </c>
      <c r="AX146">
        <v>-10.029999999999999</v>
      </c>
      <c r="AY146">
        <v>-10.029999999999999</v>
      </c>
      <c r="AZ146">
        <v>0</v>
      </c>
    </row>
    <row r="147" spans="1:52">
      <c r="A147" t="s">
        <v>65</v>
      </c>
      <c r="B147" t="s">
        <v>66</v>
      </c>
      <c r="C147" t="s">
        <v>67</v>
      </c>
      <c r="D147" t="s">
        <v>68</v>
      </c>
      <c r="E147" t="s">
        <v>69</v>
      </c>
      <c r="F147" t="s">
        <v>70</v>
      </c>
      <c r="G147" t="s">
        <v>71</v>
      </c>
      <c r="H147" t="s">
        <v>70</v>
      </c>
      <c r="I147" t="str">
        <f t="shared" si="32"/>
        <v>1010</v>
      </c>
      <c r="J147" t="str">
        <f t="shared" si="33"/>
        <v>05</v>
      </c>
      <c r="K147" t="s">
        <v>68</v>
      </c>
      <c r="L147" t="s">
        <v>72</v>
      </c>
      <c r="M147" t="s">
        <v>68</v>
      </c>
      <c r="N147" t="s">
        <v>392</v>
      </c>
      <c r="O147" t="s">
        <v>393</v>
      </c>
      <c r="P147" t="str">
        <f>"3020619782"</f>
        <v>3020619782</v>
      </c>
      <c r="R147" t="str">
        <f>"00030206197822"</f>
        <v>00030206197822</v>
      </c>
      <c r="S147" s="1">
        <v>41547</v>
      </c>
      <c r="T147" s="1">
        <v>41548</v>
      </c>
      <c r="U147" t="str">
        <f>"3020619782"</f>
        <v>3020619782</v>
      </c>
      <c r="V147" t="str">
        <f>"1010"</f>
        <v>1010</v>
      </c>
      <c r="W147" t="str">
        <f t="shared" si="34"/>
        <v>11</v>
      </c>
      <c r="X147" t="s">
        <v>75</v>
      </c>
      <c r="Y147" t="s">
        <v>173</v>
      </c>
      <c r="Z147" t="s">
        <v>105</v>
      </c>
      <c r="AA147" t="s">
        <v>106</v>
      </c>
      <c r="AB147" t="s">
        <v>79</v>
      </c>
      <c r="AD147" t="s">
        <v>80</v>
      </c>
      <c r="AE147" t="s">
        <v>81</v>
      </c>
      <c r="AF147" t="s">
        <v>82</v>
      </c>
      <c r="AG147" t="s">
        <v>83</v>
      </c>
      <c r="AH147" t="s">
        <v>84</v>
      </c>
      <c r="AJ147" t="str">
        <f t="shared" ref="AJ147:AJ156" si="35">"1"</f>
        <v>1</v>
      </c>
      <c r="AK147" t="s">
        <v>85</v>
      </c>
      <c r="AL147" t="s">
        <v>86</v>
      </c>
      <c r="AM147" t="s">
        <v>87</v>
      </c>
      <c r="AN147" t="str">
        <f t="shared" si="31"/>
        <v>.9700</v>
      </c>
      <c r="AO147" t="str">
        <f>"7.50"</f>
        <v>7.50</v>
      </c>
      <c r="AP147" t="s">
        <v>88</v>
      </c>
      <c r="AQ147" t="str">
        <f>"7.50"</f>
        <v>7.50</v>
      </c>
      <c r="AR147">
        <v>65</v>
      </c>
      <c r="AS147">
        <v>-5</v>
      </c>
      <c r="AT147">
        <v>60</v>
      </c>
      <c r="AU147">
        <v>487.5</v>
      </c>
      <c r="AV147">
        <v>47.25</v>
      </c>
      <c r="AW147">
        <v>440.25</v>
      </c>
      <c r="AX147">
        <v>-30.55</v>
      </c>
      <c r="AY147">
        <v>409.7</v>
      </c>
      <c r="AZ147">
        <v>0</v>
      </c>
    </row>
    <row r="148" spans="1:52">
      <c r="A148" t="s">
        <v>65</v>
      </c>
      <c r="B148" t="s">
        <v>66</v>
      </c>
      <c r="C148" t="s">
        <v>67</v>
      </c>
      <c r="D148" t="s">
        <v>68</v>
      </c>
      <c r="E148" t="s">
        <v>69</v>
      </c>
      <c r="F148" t="s">
        <v>70</v>
      </c>
      <c r="G148" t="s">
        <v>71</v>
      </c>
      <c r="H148" t="s">
        <v>70</v>
      </c>
      <c r="I148" t="str">
        <f t="shared" si="32"/>
        <v>1010</v>
      </c>
      <c r="J148" t="str">
        <f t="shared" si="33"/>
        <v>05</v>
      </c>
      <c r="K148" t="s">
        <v>68</v>
      </c>
      <c r="L148" t="s">
        <v>72</v>
      </c>
      <c r="M148" t="s">
        <v>68</v>
      </c>
      <c r="N148" t="s">
        <v>394</v>
      </c>
      <c r="O148" t="s">
        <v>395</v>
      </c>
      <c r="P148" t="str">
        <f>"3020617932"</f>
        <v>3020617932</v>
      </c>
      <c r="R148" t="str">
        <f>"00030206179323"</f>
        <v>00030206179323</v>
      </c>
      <c r="S148" s="1">
        <v>40106</v>
      </c>
      <c r="T148" s="1">
        <v>40092</v>
      </c>
      <c r="U148" t="str">
        <f>"3020617932"</f>
        <v>3020617932</v>
      </c>
      <c r="V148" t="str">
        <f>"1510"</f>
        <v>1510</v>
      </c>
      <c r="W148" t="str">
        <f t="shared" si="34"/>
        <v>11</v>
      </c>
      <c r="X148" t="s">
        <v>75</v>
      </c>
      <c r="Y148" t="s">
        <v>76</v>
      </c>
      <c r="Z148" t="s">
        <v>105</v>
      </c>
      <c r="AA148" t="s">
        <v>106</v>
      </c>
      <c r="AB148" t="s">
        <v>79</v>
      </c>
      <c r="AD148" t="s">
        <v>80</v>
      </c>
      <c r="AE148" t="s">
        <v>81</v>
      </c>
      <c r="AF148" t="s">
        <v>82</v>
      </c>
      <c r="AG148" t="s">
        <v>83</v>
      </c>
      <c r="AH148" t="s">
        <v>84</v>
      </c>
      <c r="AI148" t="str">
        <f>"01"</f>
        <v>01</v>
      </c>
      <c r="AJ148" t="str">
        <f t="shared" si="35"/>
        <v>1</v>
      </c>
      <c r="AK148" t="s">
        <v>85</v>
      </c>
      <c r="AL148" t="s">
        <v>86</v>
      </c>
      <c r="AM148" t="s">
        <v>87</v>
      </c>
      <c r="AN148" t="str">
        <f t="shared" si="31"/>
        <v>.9700</v>
      </c>
      <c r="AO148" t="str">
        <f>"7.50"</f>
        <v>7.50</v>
      </c>
      <c r="AP148" t="s">
        <v>88</v>
      </c>
      <c r="AQ148" t="str">
        <f>"7.50"</f>
        <v>7.50</v>
      </c>
      <c r="AR148">
        <v>60</v>
      </c>
      <c r="AS148">
        <v>-5</v>
      </c>
      <c r="AT148">
        <v>55</v>
      </c>
      <c r="AU148">
        <v>450</v>
      </c>
      <c r="AV148">
        <v>45</v>
      </c>
      <c r="AW148">
        <v>405</v>
      </c>
      <c r="AX148">
        <v>-29.03</v>
      </c>
      <c r="AY148">
        <v>375.97</v>
      </c>
      <c r="AZ148">
        <v>0</v>
      </c>
    </row>
    <row r="149" spans="1:52">
      <c r="A149" t="s">
        <v>65</v>
      </c>
      <c r="B149" t="s">
        <v>66</v>
      </c>
      <c r="C149" t="s">
        <v>67</v>
      </c>
      <c r="D149" t="s">
        <v>68</v>
      </c>
      <c r="E149" t="s">
        <v>69</v>
      </c>
      <c r="F149" t="s">
        <v>70</v>
      </c>
      <c r="G149" t="s">
        <v>71</v>
      </c>
      <c r="H149" t="s">
        <v>70</v>
      </c>
      <c r="I149" t="str">
        <f t="shared" si="32"/>
        <v>1010</v>
      </c>
      <c r="J149" t="str">
        <f t="shared" si="33"/>
        <v>05</v>
      </c>
      <c r="K149" t="s">
        <v>68</v>
      </c>
      <c r="L149" t="s">
        <v>72</v>
      </c>
      <c r="M149" t="s">
        <v>68</v>
      </c>
      <c r="N149" t="s">
        <v>394</v>
      </c>
      <c r="O149" t="s">
        <v>396</v>
      </c>
      <c r="P149" t="str">
        <f>"3020617012"</f>
        <v>3020617012</v>
      </c>
      <c r="R149" t="str">
        <f>"00030206170122"</f>
        <v>00030206170122</v>
      </c>
      <c r="S149" s="1">
        <v>39322</v>
      </c>
      <c r="T149" s="1">
        <v>39322</v>
      </c>
      <c r="U149" t="str">
        <f>"3020617012"</f>
        <v>3020617012</v>
      </c>
      <c r="V149" t="str">
        <f>"1510"</f>
        <v>1510</v>
      </c>
      <c r="W149" t="str">
        <f t="shared" si="34"/>
        <v>11</v>
      </c>
      <c r="X149" t="s">
        <v>75</v>
      </c>
      <c r="Y149" t="s">
        <v>76</v>
      </c>
      <c r="Z149" t="s">
        <v>105</v>
      </c>
      <c r="AA149" t="s">
        <v>106</v>
      </c>
      <c r="AB149" t="s">
        <v>79</v>
      </c>
      <c r="AD149" t="s">
        <v>80</v>
      </c>
      <c r="AE149" t="s">
        <v>81</v>
      </c>
      <c r="AF149" t="s">
        <v>82</v>
      </c>
      <c r="AG149" t="s">
        <v>83</v>
      </c>
      <c r="AH149" t="s">
        <v>84</v>
      </c>
      <c r="AI149" t="str">
        <f>"01"</f>
        <v>01</v>
      </c>
      <c r="AJ149" t="str">
        <f t="shared" si="35"/>
        <v>1</v>
      </c>
      <c r="AK149" t="s">
        <v>98</v>
      </c>
      <c r="AL149" t="s">
        <v>86</v>
      </c>
      <c r="AM149" t="s">
        <v>95</v>
      </c>
      <c r="AN149" t="str">
        <f t="shared" si="31"/>
        <v>.9700</v>
      </c>
      <c r="AO149" t="str">
        <f>"8.00"</f>
        <v>8.00</v>
      </c>
      <c r="AP149" t="s">
        <v>99</v>
      </c>
      <c r="AQ149" t="str">
        <f>"8.00"</f>
        <v>8.00</v>
      </c>
      <c r="AR149">
        <v>0</v>
      </c>
      <c r="AS149">
        <v>-1</v>
      </c>
      <c r="AT149">
        <v>-1</v>
      </c>
      <c r="AU149">
        <v>0</v>
      </c>
      <c r="AV149">
        <v>0</v>
      </c>
      <c r="AW149">
        <v>0</v>
      </c>
      <c r="AX149">
        <v>-8</v>
      </c>
      <c r="AY149">
        <v>-8</v>
      </c>
      <c r="AZ149">
        <v>0</v>
      </c>
    </row>
    <row r="150" spans="1:52">
      <c r="A150" t="s">
        <v>65</v>
      </c>
      <c r="B150" t="s">
        <v>66</v>
      </c>
      <c r="C150" t="s">
        <v>67</v>
      </c>
      <c r="D150" t="s">
        <v>68</v>
      </c>
      <c r="E150" t="s">
        <v>69</v>
      </c>
      <c r="F150" t="s">
        <v>70</v>
      </c>
      <c r="G150" t="s">
        <v>71</v>
      </c>
      <c r="H150" t="s">
        <v>70</v>
      </c>
      <c r="I150" t="str">
        <f t="shared" si="32"/>
        <v>1010</v>
      </c>
      <c r="J150" t="str">
        <f t="shared" si="33"/>
        <v>05</v>
      </c>
      <c r="K150" t="s">
        <v>68</v>
      </c>
      <c r="L150" t="s">
        <v>72</v>
      </c>
      <c r="M150" t="s">
        <v>68</v>
      </c>
      <c r="N150" t="s">
        <v>397</v>
      </c>
      <c r="O150" t="s">
        <v>398</v>
      </c>
      <c r="P150" t="str">
        <f>"3020614152"</f>
        <v>3020614152</v>
      </c>
      <c r="R150" t="str">
        <f>"00030206141528"</f>
        <v>00030206141528</v>
      </c>
      <c r="S150" s="1">
        <v>38181</v>
      </c>
      <c r="T150" s="1">
        <v>38181</v>
      </c>
      <c r="U150" t="str">
        <f>"3020614152"</f>
        <v>3020614152</v>
      </c>
      <c r="V150" t="str">
        <f>"1510"</f>
        <v>1510</v>
      </c>
      <c r="W150" t="str">
        <f t="shared" si="34"/>
        <v>11</v>
      </c>
      <c r="X150" t="s">
        <v>75</v>
      </c>
      <c r="Y150" t="s">
        <v>76</v>
      </c>
      <c r="Z150" t="s">
        <v>169</v>
      </c>
      <c r="AA150" t="s">
        <v>170</v>
      </c>
      <c r="AB150" t="s">
        <v>79</v>
      </c>
      <c r="AD150" t="s">
        <v>80</v>
      </c>
      <c r="AE150" t="s">
        <v>81</v>
      </c>
      <c r="AF150" t="s">
        <v>82</v>
      </c>
      <c r="AG150" t="s">
        <v>83</v>
      </c>
      <c r="AH150" t="s">
        <v>84</v>
      </c>
      <c r="AI150" t="str">
        <f>"01"</f>
        <v>01</v>
      </c>
      <c r="AJ150" t="str">
        <f t="shared" si="35"/>
        <v>1</v>
      </c>
      <c r="AK150" t="s">
        <v>101</v>
      </c>
      <c r="AL150" t="s">
        <v>94</v>
      </c>
      <c r="AM150" t="s">
        <v>95</v>
      </c>
      <c r="AN150" t="str">
        <f t="shared" si="31"/>
        <v>.9700</v>
      </c>
      <c r="AO150" t="str">
        <f>"9.07"</f>
        <v>9.07</v>
      </c>
      <c r="AP150" t="s">
        <v>102</v>
      </c>
      <c r="AQ150" t="str">
        <f>"9.07"</f>
        <v>9.07</v>
      </c>
      <c r="AR150">
        <v>181</v>
      </c>
      <c r="AS150">
        <v>0</v>
      </c>
      <c r="AT150">
        <v>181</v>
      </c>
      <c r="AU150">
        <v>1641.07</v>
      </c>
      <c r="AV150">
        <v>163.19999999999999</v>
      </c>
      <c r="AW150">
        <v>1477.87</v>
      </c>
      <c r="AX150">
        <v>0</v>
      </c>
      <c r="AY150">
        <v>1477.87</v>
      </c>
      <c r="AZ150">
        <v>0</v>
      </c>
    </row>
    <row r="151" spans="1:52">
      <c r="A151" t="s">
        <v>65</v>
      </c>
      <c r="B151" t="s">
        <v>66</v>
      </c>
      <c r="C151" t="s">
        <v>67</v>
      </c>
      <c r="D151" t="s">
        <v>68</v>
      </c>
      <c r="E151" t="s">
        <v>69</v>
      </c>
      <c r="F151" t="s">
        <v>70</v>
      </c>
      <c r="G151" t="s">
        <v>71</v>
      </c>
      <c r="H151" t="s">
        <v>70</v>
      </c>
      <c r="I151" t="str">
        <f t="shared" si="32"/>
        <v>1010</v>
      </c>
      <c r="J151" t="str">
        <f t="shared" si="33"/>
        <v>05</v>
      </c>
      <c r="K151" t="s">
        <v>68</v>
      </c>
      <c r="L151" t="s">
        <v>72</v>
      </c>
      <c r="M151" t="s">
        <v>68</v>
      </c>
      <c r="N151" t="s">
        <v>399</v>
      </c>
      <c r="O151" t="s">
        <v>149</v>
      </c>
      <c r="P151" t="str">
        <f>"3020619772"</f>
        <v>3020619772</v>
      </c>
      <c r="R151" t="str">
        <f>"00030206197723"</f>
        <v>00030206197723</v>
      </c>
      <c r="S151" s="1">
        <v>41562</v>
      </c>
      <c r="T151" s="1">
        <v>41562</v>
      </c>
      <c r="U151" t="str">
        <f>"3020619772"</f>
        <v>3020619772</v>
      </c>
      <c r="V151" t="str">
        <f>"1010"</f>
        <v>1010</v>
      </c>
      <c r="W151" t="str">
        <f t="shared" si="34"/>
        <v>11</v>
      </c>
      <c r="X151" t="s">
        <v>75</v>
      </c>
      <c r="Y151" t="s">
        <v>173</v>
      </c>
      <c r="Z151" t="s">
        <v>105</v>
      </c>
      <c r="AA151" t="s">
        <v>106</v>
      </c>
      <c r="AB151" t="s">
        <v>79</v>
      </c>
      <c r="AD151" t="s">
        <v>80</v>
      </c>
      <c r="AE151" t="s">
        <v>81</v>
      </c>
      <c r="AF151" t="s">
        <v>82</v>
      </c>
      <c r="AG151" t="s">
        <v>83</v>
      </c>
      <c r="AH151" t="s">
        <v>84</v>
      </c>
      <c r="AJ151" t="str">
        <f t="shared" si="35"/>
        <v>1</v>
      </c>
      <c r="AK151" t="s">
        <v>98</v>
      </c>
      <c r="AL151" t="s">
        <v>86</v>
      </c>
      <c r="AM151" t="s">
        <v>95</v>
      </c>
      <c r="AN151" t="str">
        <f t="shared" si="31"/>
        <v>.9700</v>
      </c>
      <c r="AO151" t="str">
        <f>"8.00"</f>
        <v>8.00</v>
      </c>
      <c r="AP151" t="s">
        <v>99</v>
      </c>
      <c r="AQ151" t="str">
        <f>"8.00"</f>
        <v>8.00</v>
      </c>
      <c r="AR151">
        <v>8</v>
      </c>
      <c r="AS151">
        <v>-11</v>
      </c>
      <c r="AT151">
        <v>-3</v>
      </c>
      <c r="AU151">
        <v>64</v>
      </c>
      <c r="AV151">
        <v>5.6</v>
      </c>
      <c r="AW151">
        <v>58.4</v>
      </c>
      <c r="AX151">
        <v>-72.03</v>
      </c>
      <c r="AY151">
        <v>-13.63</v>
      </c>
      <c r="AZ151">
        <v>0</v>
      </c>
    </row>
    <row r="152" spans="1:52">
      <c r="A152" t="s">
        <v>65</v>
      </c>
      <c r="B152" t="s">
        <v>66</v>
      </c>
      <c r="C152" t="s">
        <v>67</v>
      </c>
      <c r="D152" t="s">
        <v>68</v>
      </c>
      <c r="E152" t="s">
        <v>69</v>
      </c>
      <c r="F152" t="s">
        <v>70</v>
      </c>
      <c r="G152" t="s">
        <v>71</v>
      </c>
      <c r="H152" t="s">
        <v>70</v>
      </c>
      <c r="I152" t="str">
        <f t="shared" si="32"/>
        <v>1010</v>
      </c>
      <c r="J152" t="str">
        <f t="shared" si="33"/>
        <v>05</v>
      </c>
      <c r="K152" t="s">
        <v>68</v>
      </c>
      <c r="L152" t="s">
        <v>72</v>
      </c>
      <c r="M152" t="s">
        <v>68</v>
      </c>
      <c r="N152" t="s">
        <v>400</v>
      </c>
      <c r="O152" t="s">
        <v>401</v>
      </c>
      <c r="P152" t="str">
        <f>"3020618912"</f>
        <v>3020618912</v>
      </c>
      <c r="R152" t="str">
        <f>"00030206189124"</f>
        <v>00030206189124</v>
      </c>
      <c r="S152" s="1">
        <v>40806</v>
      </c>
      <c r="T152" s="1">
        <v>40806</v>
      </c>
      <c r="U152" t="str">
        <f>"3020618912"</f>
        <v>3020618912</v>
      </c>
      <c r="V152" t="str">
        <f t="shared" ref="V152:V163" si="36">"1510"</f>
        <v>1510</v>
      </c>
      <c r="W152" t="str">
        <f t="shared" si="34"/>
        <v>11</v>
      </c>
      <c r="X152" t="s">
        <v>75</v>
      </c>
      <c r="Y152" t="s">
        <v>76</v>
      </c>
      <c r="Z152" t="s">
        <v>105</v>
      </c>
      <c r="AA152" t="s">
        <v>106</v>
      </c>
      <c r="AB152" t="s">
        <v>79</v>
      </c>
      <c r="AD152" t="s">
        <v>80</v>
      </c>
      <c r="AE152" t="s">
        <v>81</v>
      </c>
      <c r="AF152" t="s">
        <v>82</v>
      </c>
      <c r="AG152" t="s">
        <v>83</v>
      </c>
      <c r="AH152" t="s">
        <v>84</v>
      </c>
      <c r="AI152" t="str">
        <f>"01"</f>
        <v>01</v>
      </c>
      <c r="AJ152" t="str">
        <f t="shared" si="35"/>
        <v>1</v>
      </c>
      <c r="AK152" t="s">
        <v>85</v>
      </c>
      <c r="AL152" t="s">
        <v>86</v>
      </c>
      <c r="AM152" t="s">
        <v>87</v>
      </c>
      <c r="AN152" t="str">
        <f t="shared" si="31"/>
        <v>.9700</v>
      </c>
      <c r="AO152" t="str">
        <f>"7.50"</f>
        <v>7.50</v>
      </c>
      <c r="AP152" t="s">
        <v>88</v>
      </c>
      <c r="AQ152" t="str">
        <f>"7.50"</f>
        <v>7.50</v>
      </c>
      <c r="AR152">
        <v>17</v>
      </c>
      <c r="AS152">
        <v>0</v>
      </c>
      <c r="AT152">
        <v>17</v>
      </c>
      <c r="AU152">
        <v>127.5</v>
      </c>
      <c r="AV152">
        <v>17.100000000000001</v>
      </c>
      <c r="AW152">
        <v>110.4</v>
      </c>
      <c r="AX152">
        <v>0</v>
      </c>
      <c r="AY152">
        <v>110.4</v>
      </c>
      <c r="AZ152">
        <v>0</v>
      </c>
    </row>
    <row r="153" spans="1:52">
      <c r="A153" t="s">
        <v>65</v>
      </c>
      <c r="B153" t="s">
        <v>66</v>
      </c>
      <c r="C153" t="s">
        <v>67</v>
      </c>
      <c r="D153" t="s">
        <v>68</v>
      </c>
      <c r="E153" t="s">
        <v>69</v>
      </c>
      <c r="F153" t="s">
        <v>70</v>
      </c>
      <c r="G153" t="s">
        <v>71</v>
      </c>
      <c r="H153" t="s">
        <v>70</v>
      </c>
      <c r="I153" t="str">
        <f t="shared" si="32"/>
        <v>1010</v>
      </c>
      <c r="J153" t="str">
        <f t="shared" si="33"/>
        <v>05</v>
      </c>
      <c r="K153" t="s">
        <v>68</v>
      </c>
      <c r="L153" t="s">
        <v>72</v>
      </c>
      <c r="M153" t="s">
        <v>68</v>
      </c>
      <c r="N153" t="s">
        <v>402</v>
      </c>
      <c r="O153" t="s">
        <v>403</v>
      </c>
      <c r="P153" t="str">
        <f>"3020618832"</f>
        <v>3020618832</v>
      </c>
      <c r="R153" t="str">
        <f>"00030206188325"</f>
        <v>00030206188325</v>
      </c>
      <c r="S153" s="1">
        <v>40687</v>
      </c>
      <c r="T153" s="1">
        <v>40680</v>
      </c>
      <c r="U153" t="str">
        <f>"3020618832"</f>
        <v>3020618832</v>
      </c>
      <c r="V153" t="str">
        <f t="shared" si="36"/>
        <v>1510</v>
      </c>
      <c r="W153" t="str">
        <f t="shared" si="34"/>
        <v>11</v>
      </c>
      <c r="X153" t="s">
        <v>75</v>
      </c>
      <c r="Y153" t="s">
        <v>76</v>
      </c>
      <c r="Z153" t="s">
        <v>121</v>
      </c>
      <c r="AA153" t="s">
        <v>122</v>
      </c>
      <c r="AB153" t="s">
        <v>79</v>
      </c>
      <c r="AD153" t="s">
        <v>80</v>
      </c>
      <c r="AE153" t="s">
        <v>81</v>
      </c>
      <c r="AF153" t="s">
        <v>82</v>
      </c>
      <c r="AG153" t="s">
        <v>83</v>
      </c>
      <c r="AH153" t="s">
        <v>84</v>
      </c>
      <c r="AI153" t="str">
        <f>"01"</f>
        <v>01</v>
      </c>
      <c r="AJ153" t="str">
        <f t="shared" si="35"/>
        <v>1</v>
      </c>
      <c r="AK153" t="s">
        <v>85</v>
      </c>
      <c r="AL153" t="s">
        <v>86</v>
      </c>
      <c r="AM153" t="s">
        <v>87</v>
      </c>
      <c r="AN153" t="str">
        <f t="shared" si="31"/>
        <v>.9700</v>
      </c>
      <c r="AO153" t="str">
        <f>"7.50"</f>
        <v>7.50</v>
      </c>
      <c r="AP153" t="s">
        <v>88</v>
      </c>
      <c r="AQ153" t="str">
        <f>"7.50"</f>
        <v>7.50</v>
      </c>
      <c r="AR153">
        <v>66</v>
      </c>
      <c r="AS153">
        <v>-3</v>
      </c>
      <c r="AT153">
        <v>63</v>
      </c>
      <c r="AU153">
        <v>495</v>
      </c>
      <c r="AV153">
        <v>46.65</v>
      </c>
      <c r="AW153">
        <v>448.35</v>
      </c>
      <c r="AX153">
        <v>-19.32</v>
      </c>
      <c r="AY153">
        <v>429.03</v>
      </c>
      <c r="AZ153">
        <v>0</v>
      </c>
    </row>
    <row r="154" spans="1:52">
      <c r="A154" t="s">
        <v>65</v>
      </c>
      <c r="B154" t="s">
        <v>66</v>
      </c>
      <c r="C154" t="s">
        <v>67</v>
      </c>
      <c r="D154" t="s">
        <v>68</v>
      </c>
      <c r="E154" t="s">
        <v>69</v>
      </c>
      <c r="F154" t="s">
        <v>70</v>
      </c>
      <c r="G154" t="s">
        <v>71</v>
      </c>
      <c r="H154" t="s">
        <v>70</v>
      </c>
      <c r="I154" t="str">
        <f t="shared" si="32"/>
        <v>1010</v>
      </c>
      <c r="J154" t="str">
        <f t="shared" si="33"/>
        <v>05</v>
      </c>
      <c r="K154" t="s">
        <v>68</v>
      </c>
      <c r="L154" t="s">
        <v>72</v>
      </c>
      <c r="M154" t="s">
        <v>68</v>
      </c>
      <c r="N154" t="s">
        <v>404</v>
      </c>
      <c r="O154" t="s">
        <v>149</v>
      </c>
      <c r="P154" t="str">
        <f>"3020618142"</f>
        <v>3020618142</v>
      </c>
      <c r="R154" t="str">
        <f>"00030206181425"</f>
        <v>00030206181425</v>
      </c>
      <c r="S154" s="1">
        <v>40246</v>
      </c>
      <c r="T154" s="1">
        <v>40246</v>
      </c>
      <c r="U154" t="str">
        <f>"3020618142"</f>
        <v>3020618142</v>
      </c>
      <c r="V154" t="str">
        <f t="shared" si="36"/>
        <v>1510</v>
      </c>
      <c r="W154" t="str">
        <f t="shared" si="34"/>
        <v>11</v>
      </c>
      <c r="X154" t="s">
        <v>75</v>
      </c>
      <c r="Y154" t="s">
        <v>76</v>
      </c>
      <c r="Z154" t="s">
        <v>282</v>
      </c>
      <c r="AA154" t="s">
        <v>283</v>
      </c>
      <c r="AB154" t="s">
        <v>79</v>
      </c>
      <c r="AD154" t="s">
        <v>80</v>
      </c>
      <c r="AE154" t="s">
        <v>81</v>
      </c>
      <c r="AF154" t="s">
        <v>82</v>
      </c>
      <c r="AG154" t="s">
        <v>83</v>
      </c>
      <c r="AH154" t="s">
        <v>84</v>
      </c>
      <c r="AI154" t="str">
        <f>"01"</f>
        <v>01</v>
      </c>
      <c r="AJ154" t="str">
        <f t="shared" si="35"/>
        <v>1</v>
      </c>
      <c r="AK154" t="s">
        <v>114</v>
      </c>
      <c r="AL154" t="s">
        <v>162</v>
      </c>
      <c r="AM154" t="s">
        <v>87</v>
      </c>
      <c r="AN154" t="str">
        <f t="shared" si="31"/>
        <v>.9700</v>
      </c>
      <c r="AO154" t="str">
        <f>"7.00"</f>
        <v>7.00</v>
      </c>
      <c r="AP154" t="s">
        <v>115</v>
      </c>
      <c r="AQ154" t="str">
        <f>"7.00"</f>
        <v>7.00</v>
      </c>
      <c r="AR154">
        <v>73</v>
      </c>
      <c r="AS154">
        <v>0</v>
      </c>
      <c r="AT154">
        <v>73</v>
      </c>
      <c r="AU154">
        <v>511</v>
      </c>
      <c r="AV154">
        <v>46.2</v>
      </c>
      <c r="AW154">
        <v>464.8</v>
      </c>
      <c r="AX154">
        <v>0</v>
      </c>
      <c r="AY154">
        <v>464.8</v>
      </c>
      <c r="AZ154">
        <v>0</v>
      </c>
    </row>
    <row r="155" spans="1:52">
      <c r="A155" t="s">
        <v>65</v>
      </c>
      <c r="B155" t="s">
        <v>66</v>
      </c>
      <c r="C155" t="s">
        <v>67</v>
      </c>
      <c r="D155" t="s">
        <v>68</v>
      </c>
      <c r="E155" t="s">
        <v>69</v>
      </c>
      <c r="F155" t="s">
        <v>70</v>
      </c>
      <c r="G155" t="s">
        <v>71</v>
      </c>
      <c r="H155" t="s">
        <v>70</v>
      </c>
      <c r="I155" t="str">
        <f t="shared" si="32"/>
        <v>1010</v>
      </c>
      <c r="J155" t="str">
        <f t="shared" si="33"/>
        <v>05</v>
      </c>
      <c r="K155" t="s">
        <v>68</v>
      </c>
      <c r="L155" t="s">
        <v>72</v>
      </c>
      <c r="M155" t="s">
        <v>68</v>
      </c>
      <c r="N155" t="s">
        <v>405</v>
      </c>
      <c r="O155" t="s">
        <v>406</v>
      </c>
      <c r="P155" t="str">
        <f>"3020618962"</f>
        <v>3020618962</v>
      </c>
      <c r="R155" t="str">
        <f>"00030206189629"</f>
        <v>00030206189629</v>
      </c>
      <c r="S155" s="1">
        <v>40848</v>
      </c>
      <c r="T155" s="1">
        <v>40848</v>
      </c>
      <c r="U155" t="str">
        <f>"3020618962"</f>
        <v>3020618962</v>
      </c>
      <c r="V155" t="str">
        <f t="shared" si="36"/>
        <v>1510</v>
      </c>
      <c r="W155" t="str">
        <f t="shared" si="34"/>
        <v>11</v>
      </c>
      <c r="X155" t="s">
        <v>75</v>
      </c>
      <c r="Y155" t="s">
        <v>76</v>
      </c>
      <c r="Z155" t="s">
        <v>105</v>
      </c>
      <c r="AA155" t="s">
        <v>106</v>
      </c>
      <c r="AB155" t="s">
        <v>79</v>
      </c>
      <c r="AD155" t="s">
        <v>80</v>
      </c>
      <c r="AE155" t="s">
        <v>81</v>
      </c>
      <c r="AF155" t="s">
        <v>82</v>
      </c>
      <c r="AG155" t="s">
        <v>83</v>
      </c>
      <c r="AH155" t="s">
        <v>84</v>
      </c>
      <c r="AI155" t="str">
        <f>"01"</f>
        <v>01</v>
      </c>
      <c r="AJ155" t="str">
        <f t="shared" si="35"/>
        <v>1</v>
      </c>
      <c r="AK155" t="s">
        <v>85</v>
      </c>
      <c r="AL155" t="s">
        <v>86</v>
      </c>
      <c r="AM155" t="s">
        <v>87</v>
      </c>
      <c r="AN155" t="str">
        <f t="shared" si="31"/>
        <v>.9700</v>
      </c>
      <c r="AO155" t="str">
        <f>"7.50"</f>
        <v>7.50</v>
      </c>
      <c r="AP155" t="s">
        <v>88</v>
      </c>
      <c r="AQ155" t="str">
        <f>"7.50"</f>
        <v>7.50</v>
      </c>
      <c r="AR155">
        <v>1</v>
      </c>
      <c r="AS155">
        <v>0</v>
      </c>
      <c r="AT155">
        <v>1</v>
      </c>
      <c r="AU155">
        <v>7.5</v>
      </c>
      <c r="AV155">
        <v>0.75</v>
      </c>
      <c r="AW155">
        <v>6.75</v>
      </c>
      <c r="AX155">
        <v>1.1100000000000001</v>
      </c>
      <c r="AY155">
        <v>7.86</v>
      </c>
      <c r="AZ155">
        <v>0</v>
      </c>
    </row>
    <row r="156" spans="1:52">
      <c r="A156" t="s">
        <v>65</v>
      </c>
      <c r="B156" t="s">
        <v>66</v>
      </c>
      <c r="C156" t="s">
        <v>67</v>
      </c>
      <c r="D156" t="s">
        <v>68</v>
      </c>
      <c r="E156" t="s">
        <v>69</v>
      </c>
      <c r="F156" t="s">
        <v>70</v>
      </c>
      <c r="G156" t="s">
        <v>71</v>
      </c>
      <c r="H156" t="s">
        <v>70</v>
      </c>
      <c r="I156" t="str">
        <f t="shared" si="32"/>
        <v>1010</v>
      </c>
      <c r="J156" t="str">
        <f t="shared" si="33"/>
        <v>05</v>
      </c>
      <c r="K156" t="s">
        <v>68</v>
      </c>
      <c r="L156" t="s">
        <v>72</v>
      </c>
      <c r="M156" t="s">
        <v>68</v>
      </c>
      <c r="N156" t="s">
        <v>407</v>
      </c>
      <c r="O156" t="s">
        <v>234</v>
      </c>
      <c r="P156" t="str">
        <f>"3020616032"</f>
        <v>3020616032</v>
      </c>
      <c r="R156" t="str">
        <f>"00030206160321"</f>
        <v>00030206160321</v>
      </c>
      <c r="S156" s="1">
        <v>38958</v>
      </c>
      <c r="T156" s="1">
        <v>38958</v>
      </c>
      <c r="U156" t="str">
        <f>"3020616032"</f>
        <v>3020616032</v>
      </c>
      <c r="V156" t="str">
        <f t="shared" si="36"/>
        <v>1510</v>
      </c>
      <c r="W156" t="str">
        <f t="shared" si="34"/>
        <v>11</v>
      </c>
      <c r="X156" t="s">
        <v>75</v>
      </c>
      <c r="Y156" t="s">
        <v>76</v>
      </c>
      <c r="Z156" t="s">
        <v>77</v>
      </c>
      <c r="AA156" t="s">
        <v>78</v>
      </c>
      <c r="AB156" t="s">
        <v>79</v>
      </c>
      <c r="AD156" t="s">
        <v>80</v>
      </c>
      <c r="AE156" t="s">
        <v>81</v>
      </c>
      <c r="AF156" t="s">
        <v>82</v>
      </c>
      <c r="AG156" t="s">
        <v>83</v>
      </c>
      <c r="AH156" t="s">
        <v>84</v>
      </c>
      <c r="AI156" t="str">
        <f>"01"</f>
        <v>01</v>
      </c>
      <c r="AJ156" t="str">
        <f t="shared" si="35"/>
        <v>1</v>
      </c>
      <c r="AK156" t="s">
        <v>98</v>
      </c>
      <c r="AL156" t="s">
        <v>94</v>
      </c>
      <c r="AM156" t="s">
        <v>95</v>
      </c>
      <c r="AN156" t="str">
        <f t="shared" si="31"/>
        <v>.9700</v>
      </c>
      <c r="AO156" t="str">
        <f>"8.00"</f>
        <v>8.00</v>
      </c>
      <c r="AP156" t="s">
        <v>99</v>
      </c>
      <c r="AQ156" t="str">
        <f>"8.00"</f>
        <v>8.00</v>
      </c>
      <c r="AR156">
        <v>0</v>
      </c>
      <c r="AS156">
        <v>-1</v>
      </c>
      <c r="AT156">
        <v>-1</v>
      </c>
      <c r="AU156">
        <v>0</v>
      </c>
      <c r="AV156">
        <v>0</v>
      </c>
      <c r="AW156">
        <v>0</v>
      </c>
      <c r="AX156">
        <v>-7.45</v>
      </c>
      <c r="AY156">
        <v>-7.45</v>
      </c>
      <c r="AZ156">
        <v>0</v>
      </c>
    </row>
    <row r="157" spans="1:52">
      <c r="A157" t="s">
        <v>65</v>
      </c>
      <c r="B157" t="s">
        <v>66</v>
      </c>
      <c r="C157" t="s">
        <v>67</v>
      </c>
      <c r="D157" t="s">
        <v>68</v>
      </c>
      <c r="E157" t="s">
        <v>69</v>
      </c>
      <c r="F157" t="s">
        <v>70</v>
      </c>
      <c r="G157" t="s">
        <v>71</v>
      </c>
      <c r="H157" t="s">
        <v>70</v>
      </c>
      <c r="I157" t="str">
        <f t="shared" si="32"/>
        <v>1010</v>
      </c>
      <c r="J157" t="str">
        <f t="shared" si="33"/>
        <v>05</v>
      </c>
      <c r="K157" t="s">
        <v>68</v>
      </c>
      <c r="L157" t="s">
        <v>72</v>
      </c>
      <c r="M157" t="s">
        <v>68</v>
      </c>
      <c r="N157" t="s">
        <v>408</v>
      </c>
      <c r="O157" t="s">
        <v>409</v>
      </c>
      <c r="P157" t="str">
        <f>"3020619132"</f>
        <v>3020619132</v>
      </c>
      <c r="R157" t="str">
        <f>"00030206191325"</f>
        <v>00030206191325</v>
      </c>
      <c r="S157" s="1">
        <v>41058</v>
      </c>
      <c r="T157" s="1">
        <v>41044</v>
      </c>
      <c r="U157" t="str">
        <f>"3020619132"</f>
        <v>3020619132</v>
      </c>
      <c r="V157" t="str">
        <f t="shared" si="36"/>
        <v>1510</v>
      </c>
      <c r="W157" t="str">
        <f t="shared" si="34"/>
        <v>11</v>
      </c>
      <c r="X157" t="s">
        <v>75</v>
      </c>
      <c r="Y157" t="s">
        <v>76</v>
      </c>
      <c r="Z157" t="s">
        <v>169</v>
      </c>
      <c r="AA157" t="s">
        <v>170</v>
      </c>
      <c r="AB157" t="s">
        <v>79</v>
      </c>
      <c r="AD157" t="s">
        <v>80</v>
      </c>
      <c r="AE157" t="s">
        <v>81</v>
      </c>
      <c r="AF157" t="s">
        <v>82</v>
      </c>
      <c r="AG157" t="s">
        <v>83</v>
      </c>
      <c r="AH157" t="s">
        <v>84</v>
      </c>
      <c r="AI157" t="str">
        <f>"02"</f>
        <v>02</v>
      </c>
      <c r="AJ157" t="str">
        <f>"2"</f>
        <v>2</v>
      </c>
      <c r="AK157" t="s">
        <v>118</v>
      </c>
      <c r="AL157" t="s">
        <v>94</v>
      </c>
      <c r="AM157" t="s">
        <v>95</v>
      </c>
      <c r="AN157" t="str">
        <f t="shared" si="31"/>
        <v>.9700</v>
      </c>
      <c r="AO157" t="str">
        <f>"10.32"</f>
        <v>10.32</v>
      </c>
      <c r="AP157" t="s">
        <v>119</v>
      </c>
      <c r="AQ157" t="str">
        <f>"10.32"</f>
        <v>10.32</v>
      </c>
      <c r="AR157">
        <v>15</v>
      </c>
      <c r="AS157">
        <v>-13</v>
      </c>
      <c r="AT157">
        <v>2</v>
      </c>
      <c r="AU157">
        <v>154.80000000000001</v>
      </c>
      <c r="AV157">
        <v>0</v>
      </c>
      <c r="AW157">
        <v>154.80000000000001</v>
      </c>
      <c r="AX157">
        <v>-125.71</v>
      </c>
      <c r="AY157">
        <v>29.09</v>
      </c>
      <c r="AZ157">
        <v>0</v>
      </c>
    </row>
    <row r="158" spans="1:52">
      <c r="A158" t="s">
        <v>65</v>
      </c>
      <c r="B158" t="s">
        <v>66</v>
      </c>
      <c r="C158" t="s">
        <v>67</v>
      </c>
      <c r="D158" t="s">
        <v>68</v>
      </c>
      <c r="E158" t="s">
        <v>69</v>
      </c>
      <c r="F158" t="s">
        <v>70</v>
      </c>
      <c r="G158" t="s">
        <v>71</v>
      </c>
      <c r="H158" t="s">
        <v>70</v>
      </c>
      <c r="I158" t="str">
        <f t="shared" si="32"/>
        <v>1010</v>
      </c>
      <c r="J158" t="str">
        <f t="shared" si="33"/>
        <v>05</v>
      </c>
      <c r="K158" t="s">
        <v>68</v>
      </c>
      <c r="L158" t="s">
        <v>72</v>
      </c>
      <c r="M158" t="s">
        <v>68</v>
      </c>
      <c r="N158" t="s">
        <v>408</v>
      </c>
      <c r="O158" t="s">
        <v>410</v>
      </c>
      <c r="P158" t="str">
        <f>"3020617542"</f>
        <v>3020617542</v>
      </c>
      <c r="R158" t="str">
        <f>"00030206175424"</f>
        <v>00030206175424</v>
      </c>
      <c r="S158" s="1">
        <v>39847</v>
      </c>
      <c r="T158" s="1">
        <v>39847</v>
      </c>
      <c r="U158" t="str">
        <f>"3020617542"</f>
        <v>3020617542</v>
      </c>
      <c r="V158" t="str">
        <f t="shared" si="36"/>
        <v>1510</v>
      </c>
      <c r="W158" t="str">
        <f t="shared" si="34"/>
        <v>11</v>
      </c>
      <c r="X158" t="s">
        <v>75</v>
      </c>
      <c r="Y158" t="s">
        <v>76</v>
      </c>
      <c r="Z158" t="s">
        <v>169</v>
      </c>
      <c r="AA158" t="s">
        <v>170</v>
      </c>
      <c r="AB158" t="s">
        <v>79</v>
      </c>
      <c r="AD158" t="s">
        <v>80</v>
      </c>
      <c r="AE158" t="s">
        <v>81</v>
      </c>
      <c r="AF158" t="s">
        <v>82</v>
      </c>
      <c r="AG158" t="s">
        <v>83</v>
      </c>
      <c r="AH158" t="s">
        <v>84</v>
      </c>
      <c r="AI158" t="str">
        <f>"02"</f>
        <v>02</v>
      </c>
      <c r="AJ158" t="str">
        <f>"2"</f>
        <v>2</v>
      </c>
      <c r="AK158" t="s">
        <v>107</v>
      </c>
      <c r="AL158" t="s">
        <v>94</v>
      </c>
      <c r="AM158" t="s">
        <v>95</v>
      </c>
      <c r="AN158" t="str">
        <f t="shared" si="31"/>
        <v>.9700</v>
      </c>
      <c r="AO158" t="str">
        <f>"10.78"</f>
        <v>10.78</v>
      </c>
      <c r="AP158" t="s">
        <v>108</v>
      </c>
      <c r="AQ158" t="str">
        <f>"10.78"</f>
        <v>10.78</v>
      </c>
      <c r="AR158">
        <v>361</v>
      </c>
      <c r="AS158">
        <v>0</v>
      </c>
      <c r="AT158">
        <v>361</v>
      </c>
      <c r="AU158">
        <v>3890.78</v>
      </c>
      <c r="AV158">
        <v>389.29</v>
      </c>
      <c r="AW158">
        <v>3501.49</v>
      </c>
      <c r="AX158">
        <v>0</v>
      </c>
      <c r="AY158">
        <v>3501.49</v>
      </c>
      <c r="AZ158">
        <v>0</v>
      </c>
    </row>
    <row r="159" spans="1:52">
      <c r="A159" t="s">
        <v>65</v>
      </c>
      <c r="B159" t="s">
        <v>66</v>
      </c>
      <c r="C159" t="s">
        <v>67</v>
      </c>
      <c r="D159" t="s">
        <v>68</v>
      </c>
      <c r="E159" t="s">
        <v>69</v>
      </c>
      <c r="F159" t="s">
        <v>70</v>
      </c>
      <c r="G159" t="s">
        <v>71</v>
      </c>
      <c r="H159" t="s">
        <v>70</v>
      </c>
      <c r="I159" t="str">
        <f t="shared" si="32"/>
        <v>1010</v>
      </c>
      <c r="J159" t="str">
        <f t="shared" si="33"/>
        <v>05</v>
      </c>
      <c r="K159" t="s">
        <v>68</v>
      </c>
      <c r="L159" t="s">
        <v>72</v>
      </c>
      <c r="M159" t="s">
        <v>68</v>
      </c>
      <c r="N159" t="s">
        <v>411</v>
      </c>
      <c r="O159" t="s">
        <v>412</v>
      </c>
      <c r="P159" t="str">
        <f>"3020668002"</f>
        <v>3020668002</v>
      </c>
      <c r="R159" t="str">
        <f>"00030206680027"</f>
        <v>00030206680027</v>
      </c>
      <c r="S159" s="1">
        <v>39168</v>
      </c>
      <c r="T159" s="1">
        <v>39168</v>
      </c>
      <c r="U159" t="str">
        <f>"3020668002"</f>
        <v>3020668002</v>
      </c>
      <c r="V159" t="str">
        <f t="shared" si="36"/>
        <v>1510</v>
      </c>
      <c r="W159" t="str">
        <f t="shared" si="34"/>
        <v>11</v>
      </c>
      <c r="X159" t="s">
        <v>75</v>
      </c>
      <c r="Y159" t="s">
        <v>76</v>
      </c>
      <c r="Z159" t="s">
        <v>126</v>
      </c>
      <c r="AA159" t="s">
        <v>127</v>
      </c>
      <c r="AB159" t="s">
        <v>79</v>
      </c>
      <c r="AD159" t="s">
        <v>80</v>
      </c>
      <c r="AE159" t="s">
        <v>81</v>
      </c>
      <c r="AF159" t="s">
        <v>82</v>
      </c>
      <c r="AG159" t="s">
        <v>83</v>
      </c>
      <c r="AH159" t="s">
        <v>84</v>
      </c>
      <c r="AI159" t="str">
        <f>"01"</f>
        <v>01</v>
      </c>
      <c r="AJ159" t="str">
        <f>"1"</f>
        <v>1</v>
      </c>
      <c r="AK159" t="s">
        <v>207</v>
      </c>
      <c r="AL159" t="s">
        <v>86</v>
      </c>
      <c r="AM159" t="s">
        <v>208</v>
      </c>
      <c r="AN159" t="str">
        <f t="shared" si="31"/>
        <v>.9700</v>
      </c>
      <c r="AO159" t="str">
        <f>"5.99"</f>
        <v>5.99</v>
      </c>
      <c r="AP159" t="s">
        <v>209</v>
      </c>
      <c r="AQ159" t="str">
        <f>"5.99"</f>
        <v>5.99</v>
      </c>
      <c r="AR159">
        <v>18</v>
      </c>
      <c r="AS159">
        <v>-1</v>
      </c>
      <c r="AT159">
        <v>17</v>
      </c>
      <c r="AU159">
        <v>107.8</v>
      </c>
      <c r="AV159">
        <v>10.78</v>
      </c>
      <c r="AW159">
        <v>97.02</v>
      </c>
      <c r="AX159">
        <v>-5.26</v>
      </c>
      <c r="AY159">
        <v>91.76</v>
      </c>
      <c r="AZ159">
        <v>0</v>
      </c>
    </row>
    <row r="160" spans="1:52">
      <c r="A160" t="s">
        <v>65</v>
      </c>
      <c r="B160" t="s">
        <v>66</v>
      </c>
      <c r="C160" t="s">
        <v>67</v>
      </c>
      <c r="D160" t="s">
        <v>68</v>
      </c>
      <c r="E160" t="s">
        <v>69</v>
      </c>
      <c r="F160" t="s">
        <v>70</v>
      </c>
      <c r="G160" t="s">
        <v>71</v>
      </c>
      <c r="H160" t="s">
        <v>70</v>
      </c>
      <c r="I160" t="str">
        <f t="shared" si="32"/>
        <v>1010</v>
      </c>
      <c r="J160" t="str">
        <f t="shared" si="33"/>
        <v>05</v>
      </c>
      <c r="K160" t="s">
        <v>68</v>
      </c>
      <c r="L160" t="s">
        <v>72</v>
      </c>
      <c r="M160" t="s">
        <v>68</v>
      </c>
      <c r="N160" t="s">
        <v>413</v>
      </c>
      <c r="O160" t="s">
        <v>414</v>
      </c>
      <c r="P160" t="str">
        <f>"3020668102"</f>
        <v>3020668102</v>
      </c>
      <c r="R160" t="str">
        <f>"00030206681024"</f>
        <v>00030206681024</v>
      </c>
      <c r="S160" s="1">
        <v>39189</v>
      </c>
      <c r="T160" s="1">
        <v>39189</v>
      </c>
      <c r="U160" t="str">
        <f>"3020668102"</f>
        <v>3020668102</v>
      </c>
      <c r="V160" t="str">
        <f t="shared" si="36"/>
        <v>1510</v>
      </c>
      <c r="W160" t="str">
        <f t="shared" si="34"/>
        <v>11</v>
      </c>
      <c r="X160" t="s">
        <v>75</v>
      </c>
      <c r="Y160" t="s">
        <v>76</v>
      </c>
      <c r="Z160" t="s">
        <v>180</v>
      </c>
      <c r="AA160" t="s">
        <v>181</v>
      </c>
      <c r="AB160" t="s">
        <v>79</v>
      </c>
      <c r="AD160" t="s">
        <v>80</v>
      </c>
      <c r="AE160" t="s">
        <v>81</v>
      </c>
      <c r="AF160" t="s">
        <v>82</v>
      </c>
      <c r="AG160" t="s">
        <v>83</v>
      </c>
      <c r="AH160" t="s">
        <v>84</v>
      </c>
      <c r="AI160" t="str">
        <f>"03"</f>
        <v>03</v>
      </c>
      <c r="AJ160" t="str">
        <f>"3"</f>
        <v>3</v>
      </c>
      <c r="AK160" t="s">
        <v>415</v>
      </c>
      <c r="AL160" t="s">
        <v>94</v>
      </c>
      <c r="AM160" t="s">
        <v>95</v>
      </c>
      <c r="AN160" t="str">
        <f t="shared" si="31"/>
        <v>.9700</v>
      </c>
      <c r="AO160" t="str">
        <f>"16.09"</f>
        <v>16.09</v>
      </c>
      <c r="AP160" t="s">
        <v>416</v>
      </c>
      <c r="AQ160" t="str">
        <f>"16.09"</f>
        <v>16.09</v>
      </c>
      <c r="AR160">
        <v>21</v>
      </c>
      <c r="AS160">
        <v>0</v>
      </c>
      <c r="AT160">
        <v>21</v>
      </c>
      <c r="AU160">
        <v>337.96</v>
      </c>
      <c r="AV160">
        <v>82.4</v>
      </c>
      <c r="AW160">
        <v>255.56</v>
      </c>
      <c r="AX160">
        <v>0</v>
      </c>
      <c r="AY160">
        <v>255.56</v>
      </c>
      <c r="AZ160">
        <v>0</v>
      </c>
    </row>
    <row r="161" spans="1:52">
      <c r="A161" t="s">
        <v>65</v>
      </c>
      <c r="B161" t="s">
        <v>66</v>
      </c>
      <c r="C161" t="s">
        <v>67</v>
      </c>
      <c r="D161" t="s">
        <v>68</v>
      </c>
      <c r="E161" t="s">
        <v>69</v>
      </c>
      <c r="F161" t="s">
        <v>70</v>
      </c>
      <c r="G161" t="s">
        <v>71</v>
      </c>
      <c r="H161" t="s">
        <v>70</v>
      </c>
      <c r="I161" t="str">
        <f t="shared" si="32"/>
        <v>1010</v>
      </c>
      <c r="J161" t="str">
        <f t="shared" si="33"/>
        <v>05</v>
      </c>
      <c r="K161" t="s">
        <v>68</v>
      </c>
      <c r="L161" t="s">
        <v>72</v>
      </c>
      <c r="M161" t="s">
        <v>68</v>
      </c>
      <c r="N161" t="s">
        <v>417</v>
      </c>
      <c r="O161" t="s">
        <v>234</v>
      </c>
      <c r="P161" t="str">
        <f>"3020615482"</f>
        <v>3020615482</v>
      </c>
      <c r="R161" t="str">
        <f>"00030206154825"</f>
        <v>00030206154825</v>
      </c>
      <c r="S161" s="1">
        <v>38790</v>
      </c>
      <c r="T161" s="1">
        <v>38790</v>
      </c>
      <c r="U161" t="str">
        <f>"3020615482"</f>
        <v>3020615482</v>
      </c>
      <c r="V161" t="str">
        <f t="shared" si="36"/>
        <v>1510</v>
      </c>
      <c r="W161" t="str">
        <f t="shared" si="34"/>
        <v>11</v>
      </c>
      <c r="X161" t="s">
        <v>75</v>
      </c>
      <c r="Y161" t="s">
        <v>76</v>
      </c>
      <c r="Z161" t="s">
        <v>77</v>
      </c>
      <c r="AA161" t="s">
        <v>78</v>
      </c>
      <c r="AB161" t="s">
        <v>79</v>
      </c>
      <c r="AD161" t="s">
        <v>80</v>
      </c>
      <c r="AE161" t="s">
        <v>81</v>
      </c>
      <c r="AF161" t="s">
        <v>82</v>
      </c>
      <c r="AG161" t="s">
        <v>83</v>
      </c>
      <c r="AH161" t="s">
        <v>84</v>
      </c>
      <c r="AI161" t="str">
        <f t="shared" ref="AI161:AI169" si="37">"01"</f>
        <v>01</v>
      </c>
      <c r="AJ161" t="str">
        <f t="shared" ref="AJ161:AJ174" si="38">"1"</f>
        <v>1</v>
      </c>
      <c r="AK161" t="s">
        <v>98</v>
      </c>
      <c r="AL161" t="s">
        <v>94</v>
      </c>
      <c r="AM161" t="s">
        <v>95</v>
      </c>
      <c r="AN161" t="str">
        <f t="shared" si="31"/>
        <v>.9700</v>
      </c>
      <c r="AO161" t="str">
        <f>"8.00"</f>
        <v>8.00</v>
      </c>
      <c r="AP161" t="s">
        <v>99</v>
      </c>
      <c r="AQ161" t="str">
        <f>"8.00"</f>
        <v>8.00</v>
      </c>
      <c r="AR161">
        <v>0</v>
      </c>
      <c r="AS161">
        <v>-1</v>
      </c>
      <c r="AT161">
        <v>-1</v>
      </c>
      <c r="AU161">
        <v>0</v>
      </c>
      <c r="AV161">
        <v>0</v>
      </c>
      <c r="AW161">
        <v>0</v>
      </c>
      <c r="AX161">
        <v>-7.38</v>
      </c>
      <c r="AY161">
        <v>-7.38</v>
      </c>
      <c r="AZ161">
        <v>0</v>
      </c>
    </row>
    <row r="162" spans="1:52">
      <c r="A162" t="s">
        <v>65</v>
      </c>
      <c r="B162" t="s">
        <v>66</v>
      </c>
      <c r="C162" t="s">
        <v>67</v>
      </c>
      <c r="D162" t="s">
        <v>68</v>
      </c>
      <c r="E162" t="s">
        <v>69</v>
      </c>
      <c r="F162" t="s">
        <v>70</v>
      </c>
      <c r="G162" t="s">
        <v>71</v>
      </c>
      <c r="H162" t="s">
        <v>70</v>
      </c>
      <c r="I162" t="str">
        <f t="shared" si="32"/>
        <v>1010</v>
      </c>
      <c r="J162" t="str">
        <f t="shared" si="33"/>
        <v>05</v>
      </c>
      <c r="K162" t="s">
        <v>68</v>
      </c>
      <c r="L162" t="s">
        <v>72</v>
      </c>
      <c r="M162" t="s">
        <v>68</v>
      </c>
      <c r="N162" t="s">
        <v>417</v>
      </c>
      <c r="O162" t="s">
        <v>418</v>
      </c>
      <c r="P162" t="str">
        <f>"3020610772"</f>
        <v>3020610772</v>
      </c>
      <c r="R162" t="str">
        <f>"00030206107722"</f>
        <v>00030206107722</v>
      </c>
      <c r="S162" s="1">
        <v>36788</v>
      </c>
      <c r="T162" s="1">
        <v>36788</v>
      </c>
      <c r="U162" t="str">
        <f>"3020610772"</f>
        <v>3020610772</v>
      </c>
      <c r="V162" t="str">
        <f t="shared" si="36"/>
        <v>1510</v>
      </c>
      <c r="W162" t="str">
        <f t="shared" si="34"/>
        <v>11</v>
      </c>
      <c r="X162" t="s">
        <v>75</v>
      </c>
      <c r="Y162" t="s">
        <v>76</v>
      </c>
      <c r="Z162" t="s">
        <v>77</v>
      </c>
      <c r="AA162" t="s">
        <v>78</v>
      </c>
      <c r="AB162" t="s">
        <v>79</v>
      </c>
      <c r="AD162" t="s">
        <v>80</v>
      </c>
      <c r="AE162" t="s">
        <v>81</v>
      </c>
      <c r="AF162" t="s">
        <v>82</v>
      </c>
      <c r="AG162" t="s">
        <v>83</v>
      </c>
      <c r="AH162" t="s">
        <v>84</v>
      </c>
      <c r="AI162" t="str">
        <f t="shared" si="37"/>
        <v>01</v>
      </c>
      <c r="AJ162" t="str">
        <f t="shared" si="38"/>
        <v>1</v>
      </c>
      <c r="AK162" t="s">
        <v>107</v>
      </c>
      <c r="AL162" t="s">
        <v>94</v>
      </c>
      <c r="AM162" t="s">
        <v>95</v>
      </c>
      <c r="AN162" t="str">
        <f t="shared" si="31"/>
        <v>.9700</v>
      </c>
      <c r="AO162" t="str">
        <f>"10.78"</f>
        <v>10.78</v>
      </c>
      <c r="AP162" t="s">
        <v>108</v>
      </c>
      <c r="AQ162" t="str">
        <f>"10.78"</f>
        <v>10.78</v>
      </c>
      <c r="AR162">
        <v>44</v>
      </c>
      <c r="AS162">
        <v>0</v>
      </c>
      <c r="AT162">
        <v>44</v>
      </c>
      <c r="AU162">
        <v>474.24</v>
      </c>
      <c r="AV162">
        <v>40.090000000000003</v>
      </c>
      <c r="AW162">
        <v>434.15</v>
      </c>
      <c r="AX162">
        <v>0</v>
      </c>
      <c r="AY162">
        <v>434.15</v>
      </c>
      <c r="AZ162">
        <v>0</v>
      </c>
    </row>
    <row r="163" spans="1:52">
      <c r="A163" t="s">
        <v>65</v>
      </c>
      <c r="B163" t="s">
        <v>66</v>
      </c>
      <c r="C163" t="s">
        <v>67</v>
      </c>
      <c r="D163" t="s">
        <v>68</v>
      </c>
      <c r="E163" t="s">
        <v>69</v>
      </c>
      <c r="F163" t="s">
        <v>70</v>
      </c>
      <c r="G163" t="s">
        <v>71</v>
      </c>
      <c r="H163" t="s">
        <v>70</v>
      </c>
      <c r="I163" t="str">
        <f t="shared" si="32"/>
        <v>1010</v>
      </c>
      <c r="J163" t="str">
        <f t="shared" si="33"/>
        <v>05</v>
      </c>
      <c r="K163" t="s">
        <v>68</v>
      </c>
      <c r="L163" t="s">
        <v>72</v>
      </c>
      <c r="M163" t="s">
        <v>68</v>
      </c>
      <c r="N163" t="s">
        <v>419</v>
      </c>
      <c r="O163" t="s">
        <v>420</v>
      </c>
      <c r="P163" t="str">
        <f>"3020618312"</f>
        <v>3020618312</v>
      </c>
      <c r="R163" t="str">
        <f>"00030206183122"</f>
        <v>00030206183122</v>
      </c>
      <c r="S163" s="1">
        <v>40323</v>
      </c>
      <c r="T163" s="1">
        <v>40323</v>
      </c>
      <c r="U163" t="str">
        <f>"3020618312"</f>
        <v>3020618312</v>
      </c>
      <c r="V163" t="str">
        <f t="shared" si="36"/>
        <v>1510</v>
      </c>
      <c r="W163" t="str">
        <f t="shared" si="34"/>
        <v>11</v>
      </c>
      <c r="X163" t="s">
        <v>75</v>
      </c>
      <c r="Y163" t="s">
        <v>76</v>
      </c>
      <c r="Z163" t="s">
        <v>77</v>
      </c>
      <c r="AA163" t="s">
        <v>78</v>
      </c>
      <c r="AB163" t="s">
        <v>79</v>
      </c>
      <c r="AD163" t="s">
        <v>80</v>
      </c>
      <c r="AE163" t="s">
        <v>81</v>
      </c>
      <c r="AF163" t="s">
        <v>82</v>
      </c>
      <c r="AG163" t="s">
        <v>83</v>
      </c>
      <c r="AH163" t="s">
        <v>84</v>
      </c>
      <c r="AI163" t="str">
        <f t="shared" si="37"/>
        <v>01</v>
      </c>
      <c r="AJ163" t="str">
        <f t="shared" si="38"/>
        <v>1</v>
      </c>
      <c r="AK163" t="s">
        <v>98</v>
      </c>
      <c r="AL163" t="s">
        <v>86</v>
      </c>
      <c r="AM163" t="s">
        <v>95</v>
      </c>
      <c r="AN163" t="str">
        <f t="shared" si="31"/>
        <v>.9700</v>
      </c>
      <c r="AO163" t="str">
        <f>"8.00"</f>
        <v>8.00</v>
      </c>
      <c r="AP163" t="s">
        <v>99</v>
      </c>
      <c r="AQ163" t="str">
        <f>"8.00"</f>
        <v>8.00</v>
      </c>
      <c r="AR163">
        <v>4</v>
      </c>
      <c r="AS163">
        <v>-2</v>
      </c>
      <c r="AT163">
        <v>2</v>
      </c>
      <c r="AU163">
        <v>30.5</v>
      </c>
      <c r="AV163">
        <v>0</v>
      </c>
      <c r="AW163">
        <v>30.5</v>
      </c>
      <c r="AX163">
        <v>-14.2</v>
      </c>
      <c r="AY163">
        <v>16.3</v>
      </c>
      <c r="AZ163">
        <v>0</v>
      </c>
    </row>
    <row r="164" spans="1:52">
      <c r="A164" t="s">
        <v>65</v>
      </c>
      <c r="B164" t="s">
        <v>66</v>
      </c>
      <c r="C164" t="s">
        <v>67</v>
      </c>
      <c r="D164" t="s">
        <v>68</v>
      </c>
      <c r="E164" t="s">
        <v>69</v>
      </c>
      <c r="F164" t="s">
        <v>70</v>
      </c>
      <c r="G164" t="s">
        <v>71</v>
      </c>
      <c r="H164" t="s">
        <v>70</v>
      </c>
      <c r="I164" t="str">
        <f t="shared" si="32"/>
        <v>1010</v>
      </c>
      <c r="J164" t="str">
        <f t="shared" si="33"/>
        <v>05</v>
      </c>
      <c r="K164" t="s">
        <v>68</v>
      </c>
      <c r="L164" t="s">
        <v>72</v>
      </c>
      <c r="M164" t="s">
        <v>68</v>
      </c>
      <c r="N164" t="s">
        <v>421</v>
      </c>
      <c r="O164" t="s">
        <v>422</v>
      </c>
      <c r="P164" t="str">
        <f>"3020620032"</f>
        <v>3020620032</v>
      </c>
      <c r="R164" t="str">
        <f>"00030206200324"</f>
        <v>00030206200324</v>
      </c>
      <c r="S164" s="1">
        <v>41778</v>
      </c>
      <c r="T164" s="1">
        <v>41778</v>
      </c>
      <c r="U164" t="str">
        <f>"3020620032"</f>
        <v>3020620032</v>
      </c>
      <c r="V164" t="str">
        <f>"1010"</f>
        <v>1010</v>
      </c>
      <c r="W164" t="str">
        <f t="shared" si="34"/>
        <v>11</v>
      </c>
      <c r="X164" t="s">
        <v>75</v>
      </c>
      <c r="Y164" t="s">
        <v>139</v>
      </c>
      <c r="Z164" t="s">
        <v>105</v>
      </c>
      <c r="AA164" t="s">
        <v>106</v>
      </c>
      <c r="AB164" t="s">
        <v>79</v>
      </c>
      <c r="AD164" t="s">
        <v>80</v>
      </c>
      <c r="AE164" t="s">
        <v>81</v>
      </c>
      <c r="AF164" t="s">
        <v>82</v>
      </c>
      <c r="AG164" t="s">
        <v>83</v>
      </c>
      <c r="AH164" t="s">
        <v>84</v>
      </c>
      <c r="AI164" t="str">
        <f t="shared" si="37"/>
        <v>01</v>
      </c>
      <c r="AJ164" t="str">
        <f t="shared" si="38"/>
        <v>1</v>
      </c>
      <c r="AK164" t="s">
        <v>85</v>
      </c>
      <c r="AL164" t="s">
        <v>86</v>
      </c>
      <c r="AM164" t="s">
        <v>87</v>
      </c>
      <c r="AN164" t="str">
        <f t="shared" si="31"/>
        <v>.9700</v>
      </c>
      <c r="AO164" t="str">
        <f>"7.50"</f>
        <v>7.50</v>
      </c>
      <c r="AP164" t="s">
        <v>88</v>
      </c>
      <c r="AQ164" t="str">
        <f>"7.50"</f>
        <v>7.50</v>
      </c>
      <c r="AR164">
        <v>6</v>
      </c>
      <c r="AS164">
        <v>0</v>
      </c>
      <c r="AT164">
        <v>6</v>
      </c>
      <c r="AU164">
        <v>45</v>
      </c>
      <c r="AV164">
        <v>4.5</v>
      </c>
      <c r="AW164">
        <v>40.5</v>
      </c>
      <c r="AX164">
        <v>0</v>
      </c>
      <c r="AY164">
        <v>40.5</v>
      </c>
      <c r="AZ164">
        <v>0</v>
      </c>
    </row>
    <row r="165" spans="1:52">
      <c r="A165" t="s">
        <v>65</v>
      </c>
      <c r="B165" t="s">
        <v>66</v>
      </c>
      <c r="C165" t="s">
        <v>67</v>
      </c>
      <c r="D165" t="s">
        <v>68</v>
      </c>
      <c r="E165" t="s">
        <v>69</v>
      </c>
      <c r="F165" t="s">
        <v>70</v>
      </c>
      <c r="G165" t="s">
        <v>71</v>
      </c>
      <c r="H165" t="s">
        <v>70</v>
      </c>
      <c r="I165" t="str">
        <f t="shared" si="32"/>
        <v>1010</v>
      </c>
      <c r="J165" t="str">
        <f t="shared" si="33"/>
        <v>05</v>
      </c>
      <c r="K165" t="s">
        <v>68</v>
      </c>
      <c r="L165" t="s">
        <v>72</v>
      </c>
      <c r="M165" t="s">
        <v>68</v>
      </c>
      <c r="N165" t="s">
        <v>423</v>
      </c>
      <c r="O165" t="s">
        <v>424</v>
      </c>
      <c r="P165" t="s">
        <v>425</v>
      </c>
      <c r="R165" t="str">
        <f>"00030206549928"</f>
        <v>00030206549928</v>
      </c>
      <c r="S165" s="1">
        <v>34499</v>
      </c>
      <c r="T165" s="1">
        <v>34499</v>
      </c>
      <c r="U165" t="s">
        <v>425</v>
      </c>
      <c r="V165" t="str">
        <f>"1510"</f>
        <v>1510</v>
      </c>
      <c r="W165" t="str">
        <f t="shared" si="34"/>
        <v>11</v>
      </c>
      <c r="X165" t="s">
        <v>75</v>
      </c>
      <c r="Y165" t="s">
        <v>76</v>
      </c>
      <c r="Z165" t="s">
        <v>180</v>
      </c>
      <c r="AA165" t="s">
        <v>181</v>
      </c>
      <c r="AB165" t="s">
        <v>79</v>
      </c>
      <c r="AD165" t="s">
        <v>80</v>
      </c>
      <c r="AE165" t="s">
        <v>81</v>
      </c>
      <c r="AF165" t="s">
        <v>82</v>
      </c>
      <c r="AG165" t="s">
        <v>83</v>
      </c>
      <c r="AH165" t="s">
        <v>84</v>
      </c>
      <c r="AI165" t="str">
        <f t="shared" si="37"/>
        <v>01</v>
      </c>
      <c r="AJ165" t="str">
        <f t="shared" si="38"/>
        <v>1</v>
      </c>
      <c r="AK165" t="s">
        <v>107</v>
      </c>
      <c r="AL165" t="s">
        <v>94</v>
      </c>
      <c r="AM165" t="s">
        <v>95</v>
      </c>
      <c r="AN165" t="str">
        <f t="shared" si="31"/>
        <v>.9700</v>
      </c>
      <c r="AO165" t="str">
        <f>"10.78"</f>
        <v>10.78</v>
      </c>
      <c r="AP165" t="s">
        <v>108</v>
      </c>
      <c r="AQ165" t="str">
        <f>"10.78"</f>
        <v>10.78</v>
      </c>
      <c r="AR165">
        <v>19</v>
      </c>
      <c r="AS165">
        <v>-1</v>
      </c>
      <c r="AT165">
        <v>18</v>
      </c>
      <c r="AU165">
        <v>204.88</v>
      </c>
      <c r="AV165">
        <v>19.41</v>
      </c>
      <c r="AW165">
        <v>185.47</v>
      </c>
      <c r="AX165">
        <v>-9.93</v>
      </c>
      <c r="AY165">
        <v>175.54</v>
      </c>
      <c r="AZ165">
        <v>0</v>
      </c>
    </row>
    <row r="166" spans="1:52">
      <c r="A166" t="s">
        <v>65</v>
      </c>
      <c r="B166" t="s">
        <v>66</v>
      </c>
      <c r="C166" t="s">
        <v>67</v>
      </c>
      <c r="D166" t="s">
        <v>68</v>
      </c>
      <c r="E166" t="s">
        <v>69</v>
      </c>
      <c r="F166" t="s">
        <v>70</v>
      </c>
      <c r="G166" t="s">
        <v>71</v>
      </c>
      <c r="H166" t="s">
        <v>70</v>
      </c>
      <c r="I166" t="str">
        <f t="shared" si="32"/>
        <v>1010</v>
      </c>
      <c r="J166" t="str">
        <f t="shared" si="33"/>
        <v>05</v>
      </c>
      <c r="K166" t="s">
        <v>68</v>
      </c>
      <c r="L166" t="s">
        <v>72</v>
      </c>
      <c r="M166" t="s">
        <v>68</v>
      </c>
      <c r="N166" t="s">
        <v>423</v>
      </c>
      <c r="O166" t="s">
        <v>426</v>
      </c>
      <c r="P166" t="str">
        <f>"3020667452"</f>
        <v>3020667452</v>
      </c>
      <c r="R166" t="str">
        <f>"00030206674521"</f>
        <v>00030206674521</v>
      </c>
      <c r="S166" s="1">
        <v>38895</v>
      </c>
      <c r="T166" s="1">
        <v>38888</v>
      </c>
      <c r="U166" t="str">
        <f>"3020667452"</f>
        <v>3020667452</v>
      </c>
      <c r="V166" t="str">
        <f>"1510"</f>
        <v>1510</v>
      </c>
      <c r="W166" t="str">
        <f t="shared" si="34"/>
        <v>11</v>
      </c>
      <c r="X166" t="s">
        <v>75</v>
      </c>
      <c r="Y166" t="s">
        <v>76</v>
      </c>
      <c r="Z166" t="s">
        <v>180</v>
      </c>
      <c r="AA166" t="s">
        <v>181</v>
      </c>
      <c r="AB166" t="s">
        <v>79</v>
      </c>
      <c r="AD166" t="s">
        <v>80</v>
      </c>
      <c r="AE166" t="s">
        <v>81</v>
      </c>
      <c r="AF166" t="s">
        <v>82</v>
      </c>
      <c r="AG166" t="s">
        <v>83</v>
      </c>
      <c r="AH166" t="s">
        <v>84</v>
      </c>
      <c r="AI166" t="str">
        <f t="shared" si="37"/>
        <v>01</v>
      </c>
      <c r="AJ166" t="str">
        <f t="shared" si="38"/>
        <v>1</v>
      </c>
      <c r="AK166" t="s">
        <v>93</v>
      </c>
      <c r="AL166" t="s">
        <v>94</v>
      </c>
      <c r="AM166" t="s">
        <v>95</v>
      </c>
      <c r="AN166" t="str">
        <f t="shared" si="31"/>
        <v>.9700</v>
      </c>
      <c r="AO166" t="str">
        <f>"11.41"</f>
        <v>11.41</v>
      </c>
      <c r="AP166" t="s">
        <v>96</v>
      </c>
      <c r="AQ166" t="str">
        <f>"11.41"</f>
        <v>11.41</v>
      </c>
      <c r="AR166">
        <v>15</v>
      </c>
      <c r="AS166">
        <v>0</v>
      </c>
      <c r="AT166">
        <v>15</v>
      </c>
      <c r="AU166">
        <v>171.14</v>
      </c>
      <c r="AV166">
        <v>20.54</v>
      </c>
      <c r="AW166">
        <v>150.6</v>
      </c>
      <c r="AX166">
        <v>0</v>
      </c>
      <c r="AY166">
        <v>150.6</v>
      </c>
      <c r="AZ166">
        <v>0</v>
      </c>
    </row>
    <row r="167" spans="1:52">
      <c r="A167" t="s">
        <v>65</v>
      </c>
      <c r="B167" t="s">
        <v>66</v>
      </c>
      <c r="C167" t="s">
        <v>67</v>
      </c>
      <c r="D167" t="s">
        <v>68</v>
      </c>
      <c r="E167" t="s">
        <v>69</v>
      </c>
      <c r="F167" t="s">
        <v>70</v>
      </c>
      <c r="G167" t="s">
        <v>71</v>
      </c>
      <c r="H167" t="s">
        <v>70</v>
      </c>
      <c r="I167" t="str">
        <f t="shared" si="32"/>
        <v>1010</v>
      </c>
      <c r="J167" t="str">
        <f t="shared" si="33"/>
        <v>05</v>
      </c>
      <c r="K167" t="s">
        <v>68</v>
      </c>
      <c r="L167" t="s">
        <v>72</v>
      </c>
      <c r="M167" t="s">
        <v>68</v>
      </c>
      <c r="N167" t="s">
        <v>423</v>
      </c>
      <c r="O167" t="s">
        <v>427</v>
      </c>
      <c r="P167" t="str">
        <f>"3020671382"</f>
        <v>3020671382</v>
      </c>
      <c r="R167" t="str">
        <f>"00030206713824"</f>
        <v>00030206713824</v>
      </c>
      <c r="S167" s="1">
        <v>40974</v>
      </c>
      <c r="T167" s="1">
        <v>40974</v>
      </c>
      <c r="U167" t="str">
        <f>"3020671382"</f>
        <v>3020671382</v>
      </c>
      <c r="V167" t="str">
        <f>"1510"</f>
        <v>1510</v>
      </c>
      <c r="W167" t="str">
        <f t="shared" si="34"/>
        <v>11</v>
      </c>
      <c r="X167" t="s">
        <v>75</v>
      </c>
      <c r="Y167" t="s">
        <v>76</v>
      </c>
      <c r="Z167" t="s">
        <v>180</v>
      </c>
      <c r="AA167" t="s">
        <v>181</v>
      </c>
      <c r="AB167" t="s">
        <v>79</v>
      </c>
      <c r="AD167" t="s">
        <v>80</v>
      </c>
      <c r="AE167" t="s">
        <v>81</v>
      </c>
      <c r="AF167" t="s">
        <v>82</v>
      </c>
      <c r="AG167" t="s">
        <v>83</v>
      </c>
      <c r="AH167" t="s">
        <v>84</v>
      </c>
      <c r="AI167" t="str">
        <f t="shared" si="37"/>
        <v>01</v>
      </c>
      <c r="AJ167" t="str">
        <f t="shared" si="38"/>
        <v>1</v>
      </c>
      <c r="AK167" t="s">
        <v>93</v>
      </c>
      <c r="AL167" t="s">
        <v>94</v>
      </c>
      <c r="AM167" t="s">
        <v>95</v>
      </c>
      <c r="AN167" t="str">
        <f t="shared" ref="AN167:AN191" si="39">".9700"</f>
        <v>.9700</v>
      </c>
      <c r="AO167" t="str">
        <f>"11.41"</f>
        <v>11.41</v>
      </c>
      <c r="AP167" t="s">
        <v>96</v>
      </c>
      <c r="AQ167" t="str">
        <f>"11.41"</f>
        <v>11.41</v>
      </c>
      <c r="AR167">
        <v>1</v>
      </c>
      <c r="AS167">
        <v>-8</v>
      </c>
      <c r="AT167">
        <v>-7</v>
      </c>
      <c r="AU167">
        <v>11.41</v>
      </c>
      <c r="AV167">
        <v>0</v>
      </c>
      <c r="AW167">
        <v>11.41</v>
      </c>
      <c r="AX167">
        <v>-80.239999999999995</v>
      </c>
      <c r="AY167">
        <v>-68.83</v>
      </c>
      <c r="AZ167">
        <v>0</v>
      </c>
    </row>
    <row r="168" spans="1:52">
      <c r="A168" t="s">
        <v>65</v>
      </c>
      <c r="B168" t="s">
        <v>66</v>
      </c>
      <c r="C168" t="s">
        <v>67</v>
      </c>
      <c r="D168" t="s">
        <v>68</v>
      </c>
      <c r="E168" t="s">
        <v>69</v>
      </c>
      <c r="F168" t="s">
        <v>70</v>
      </c>
      <c r="G168" t="s">
        <v>71</v>
      </c>
      <c r="H168" t="s">
        <v>70</v>
      </c>
      <c r="I168" t="str">
        <f t="shared" si="32"/>
        <v>1010</v>
      </c>
      <c r="J168" t="str">
        <f t="shared" si="33"/>
        <v>05</v>
      </c>
      <c r="K168" t="s">
        <v>68</v>
      </c>
      <c r="L168" t="s">
        <v>72</v>
      </c>
      <c r="M168" t="s">
        <v>68</v>
      </c>
      <c r="N168" t="s">
        <v>428</v>
      </c>
      <c r="O168" t="s">
        <v>429</v>
      </c>
      <c r="P168" t="str">
        <f>"3020618932"</f>
        <v>3020618932</v>
      </c>
      <c r="R168" t="str">
        <f>"00030206189322"</f>
        <v>00030206189322</v>
      </c>
      <c r="S168" s="1">
        <v>40827</v>
      </c>
      <c r="T168" s="1">
        <v>40820</v>
      </c>
      <c r="U168" t="str">
        <f>"3020618932"</f>
        <v>3020618932</v>
      </c>
      <c r="V168" t="str">
        <f>"1510"</f>
        <v>1510</v>
      </c>
      <c r="W168" t="str">
        <f t="shared" si="34"/>
        <v>11</v>
      </c>
      <c r="X168" t="s">
        <v>75</v>
      </c>
      <c r="Y168" t="s">
        <v>76</v>
      </c>
      <c r="Z168" t="s">
        <v>91</v>
      </c>
      <c r="AA168" t="s">
        <v>92</v>
      </c>
      <c r="AB168" t="s">
        <v>79</v>
      </c>
      <c r="AD168" t="s">
        <v>80</v>
      </c>
      <c r="AE168" t="s">
        <v>81</v>
      </c>
      <c r="AF168" t="s">
        <v>82</v>
      </c>
      <c r="AG168" t="s">
        <v>83</v>
      </c>
      <c r="AH168" t="s">
        <v>84</v>
      </c>
      <c r="AI168" t="str">
        <f t="shared" si="37"/>
        <v>01</v>
      </c>
      <c r="AJ168" t="str">
        <f t="shared" si="38"/>
        <v>1</v>
      </c>
      <c r="AK168" t="s">
        <v>85</v>
      </c>
      <c r="AL168" t="s">
        <v>86</v>
      </c>
      <c r="AM168" t="s">
        <v>87</v>
      </c>
      <c r="AN168" t="str">
        <f t="shared" si="39"/>
        <v>.9700</v>
      </c>
      <c r="AO168" t="str">
        <f>"7.50"</f>
        <v>7.50</v>
      </c>
      <c r="AP168" t="s">
        <v>88</v>
      </c>
      <c r="AQ168" t="str">
        <f>"7.50"</f>
        <v>7.50</v>
      </c>
      <c r="AR168">
        <v>35</v>
      </c>
      <c r="AS168">
        <v>-1</v>
      </c>
      <c r="AT168">
        <v>34</v>
      </c>
      <c r="AU168">
        <v>262.5</v>
      </c>
      <c r="AV168">
        <v>24</v>
      </c>
      <c r="AW168">
        <v>238.5</v>
      </c>
      <c r="AX168">
        <v>-6.48</v>
      </c>
      <c r="AY168">
        <v>232.02</v>
      </c>
      <c r="AZ168">
        <v>0</v>
      </c>
    </row>
    <row r="169" spans="1:52">
      <c r="A169" t="s">
        <v>65</v>
      </c>
      <c r="B169" t="s">
        <v>66</v>
      </c>
      <c r="C169" t="s">
        <v>67</v>
      </c>
      <c r="D169" t="s">
        <v>68</v>
      </c>
      <c r="E169" t="s">
        <v>69</v>
      </c>
      <c r="F169" t="s">
        <v>70</v>
      </c>
      <c r="G169" t="s">
        <v>71</v>
      </c>
      <c r="H169" t="s">
        <v>70</v>
      </c>
      <c r="I169" t="str">
        <f t="shared" si="32"/>
        <v>1010</v>
      </c>
      <c r="J169" t="str">
        <f t="shared" si="33"/>
        <v>05</v>
      </c>
      <c r="K169" t="s">
        <v>68</v>
      </c>
      <c r="L169" t="s">
        <v>72</v>
      </c>
      <c r="M169" t="s">
        <v>68</v>
      </c>
      <c r="N169" t="s">
        <v>428</v>
      </c>
      <c r="O169" t="s">
        <v>430</v>
      </c>
      <c r="P169" t="str">
        <f>"3020619052"</f>
        <v>3020619052</v>
      </c>
      <c r="R169" t="str">
        <f>"00030206190526"</f>
        <v>00030206190526</v>
      </c>
      <c r="S169" s="1">
        <v>40960</v>
      </c>
      <c r="T169" s="1">
        <v>40960</v>
      </c>
      <c r="U169" t="str">
        <f>"3020619052"</f>
        <v>3020619052</v>
      </c>
      <c r="V169" t="str">
        <f>"1510"</f>
        <v>1510</v>
      </c>
      <c r="W169" t="str">
        <f t="shared" si="34"/>
        <v>11</v>
      </c>
      <c r="X169" t="s">
        <v>75</v>
      </c>
      <c r="Y169" t="s">
        <v>76</v>
      </c>
      <c r="Z169" t="s">
        <v>91</v>
      </c>
      <c r="AA169" t="s">
        <v>92</v>
      </c>
      <c r="AB169" t="s">
        <v>79</v>
      </c>
      <c r="AD169" t="s">
        <v>80</v>
      </c>
      <c r="AE169" t="s">
        <v>81</v>
      </c>
      <c r="AF169" t="s">
        <v>82</v>
      </c>
      <c r="AG169" t="s">
        <v>83</v>
      </c>
      <c r="AH169" t="s">
        <v>84</v>
      </c>
      <c r="AI169" t="str">
        <f t="shared" si="37"/>
        <v>01</v>
      </c>
      <c r="AJ169" t="str">
        <f t="shared" si="38"/>
        <v>1</v>
      </c>
      <c r="AK169" t="s">
        <v>98</v>
      </c>
      <c r="AL169" t="s">
        <v>86</v>
      </c>
      <c r="AM169" t="s">
        <v>95</v>
      </c>
      <c r="AN169" t="str">
        <f t="shared" si="39"/>
        <v>.9700</v>
      </c>
      <c r="AO169" t="str">
        <f>"8.00"</f>
        <v>8.00</v>
      </c>
      <c r="AP169" t="s">
        <v>99</v>
      </c>
      <c r="AQ169" t="str">
        <f>"8.00"</f>
        <v>8.00</v>
      </c>
      <c r="AR169">
        <v>36</v>
      </c>
      <c r="AS169">
        <v>0</v>
      </c>
      <c r="AT169">
        <v>36</v>
      </c>
      <c r="AU169">
        <v>288</v>
      </c>
      <c r="AV169">
        <v>26.4</v>
      </c>
      <c r="AW169">
        <v>261.60000000000002</v>
      </c>
      <c r="AX169">
        <v>0</v>
      </c>
      <c r="AY169">
        <v>261.60000000000002</v>
      </c>
      <c r="AZ169">
        <v>0</v>
      </c>
    </row>
    <row r="170" spans="1:52">
      <c r="A170" t="s">
        <v>65</v>
      </c>
      <c r="B170" t="s">
        <v>66</v>
      </c>
      <c r="C170" t="s">
        <v>67</v>
      </c>
      <c r="D170" t="s">
        <v>68</v>
      </c>
      <c r="E170" t="s">
        <v>69</v>
      </c>
      <c r="F170" t="s">
        <v>70</v>
      </c>
      <c r="G170" t="s">
        <v>71</v>
      </c>
      <c r="H170" t="s">
        <v>70</v>
      </c>
      <c r="I170" t="str">
        <f t="shared" si="32"/>
        <v>1010</v>
      </c>
      <c r="J170" t="str">
        <f t="shared" si="33"/>
        <v>05</v>
      </c>
      <c r="K170" t="s">
        <v>68</v>
      </c>
      <c r="L170" t="s">
        <v>72</v>
      </c>
      <c r="M170" t="s">
        <v>68</v>
      </c>
      <c r="N170" t="s">
        <v>431</v>
      </c>
      <c r="O170" t="s">
        <v>432</v>
      </c>
      <c r="P170" t="str">
        <f>"3020619722"</f>
        <v>3020619722</v>
      </c>
      <c r="R170" t="str">
        <f>"00030206197228"</f>
        <v>00030206197228</v>
      </c>
      <c r="S170" s="1">
        <v>41541</v>
      </c>
      <c r="T170" s="1">
        <v>41534</v>
      </c>
      <c r="U170" t="str">
        <f>"3020619722"</f>
        <v>3020619722</v>
      </c>
      <c r="V170" t="str">
        <f>"1010"</f>
        <v>1010</v>
      </c>
      <c r="W170" t="str">
        <f t="shared" si="34"/>
        <v>11</v>
      </c>
      <c r="X170" t="s">
        <v>75</v>
      </c>
      <c r="Y170" t="s">
        <v>173</v>
      </c>
      <c r="Z170" t="s">
        <v>105</v>
      </c>
      <c r="AA170" t="s">
        <v>106</v>
      </c>
      <c r="AB170" t="s">
        <v>79</v>
      </c>
      <c r="AD170" t="s">
        <v>80</v>
      </c>
      <c r="AE170" t="s">
        <v>81</v>
      </c>
      <c r="AF170" t="s">
        <v>82</v>
      </c>
      <c r="AG170" t="s">
        <v>83</v>
      </c>
      <c r="AH170" t="s">
        <v>84</v>
      </c>
      <c r="AJ170" t="str">
        <f t="shared" si="38"/>
        <v>1</v>
      </c>
      <c r="AK170" t="s">
        <v>114</v>
      </c>
      <c r="AL170" t="s">
        <v>86</v>
      </c>
      <c r="AM170" t="s">
        <v>87</v>
      </c>
      <c r="AN170" t="str">
        <f t="shared" si="39"/>
        <v>.9700</v>
      </c>
      <c r="AO170" t="str">
        <f>"7.00"</f>
        <v>7.00</v>
      </c>
      <c r="AP170" t="s">
        <v>115</v>
      </c>
      <c r="AQ170" t="str">
        <f>"7.00"</f>
        <v>7.00</v>
      </c>
      <c r="AR170">
        <v>6</v>
      </c>
      <c r="AS170">
        <v>-4</v>
      </c>
      <c r="AT170">
        <v>2</v>
      </c>
      <c r="AU170">
        <v>42</v>
      </c>
      <c r="AV170">
        <v>1.4</v>
      </c>
      <c r="AW170">
        <v>40.6</v>
      </c>
      <c r="AX170">
        <v>-22.4</v>
      </c>
      <c r="AY170">
        <v>18.2</v>
      </c>
      <c r="AZ170">
        <v>0</v>
      </c>
    </row>
    <row r="171" spans="1:52">
      <c r="A171" t="s">
        <v>65</v>
      </c>
      <c r="B171" t="s">
        <v>66</v>
      </c>
      <c r="C171" t="s">
        <v>67</v>
      </c>
      <c r="D171" t="s">
        <v>68</v>
      </c>
      <c r="E171" t="s">
        <v>69</v>
      </c>
      <c r="F171" t="s">
        <v>70</v>
      </c>
      <c r="G171" t="s">
        <v>71</v>
      </c>
      <c r="H171" t="s">
        <v>70</v>
      </c>
      <c r="I171" t="str">
        <f t="shared" si="32"/>
        <v>1010</v>
      </c>
      <c r="J171" t="str">
        <f t="shared" si="33"/>
        <v>05</v>
      </c>
      <c r="K171" t="s">
        <v>68</v>
      </c>
      <c r="L171" t="s">
        <v>72</v>
      </c>
      <c r="M171" t="s">
        <v>68</v>
      </c>
      <c r="N171" t="s">
        <v>433</v>
      </c>
      <c r="O171" t="s">
        <v>434</v>
      </c>
      <c r="P171" t="str">
        <f>"3020619292"</f>
        <v>3020619292</v>
      </c>
      <c r="R171" t="str">
        <f>"00030206192926"</f>
        <v>00030206192926</v>
      </c>
      <c r="S171" s="1">
        <v>41142</v>
      </c>
      <c r="T171" s="1">
        <v>41142</v>
      </c>
      <c r="U171" t="str">
        <f>"3020619292"</f>
        <v>3020619292</v>
      </c>
      <c r="V171" t="str">
        <f>"1510"</f>
        <v>1510</v>
      </c>
      <c r="W171" t="str">
        <f t="shared" si="34"/>
        <v>11</v>
      </c>
      <c r="X171" t="s">
        <v>75</v>
      </c>
      <c r="Y171" t="s">
        <v>76</v>
      </c>
      <c r="Z171" t="s">
        <v>91</v>
      </c>
      <c r="AA171" t="s">
        <v>92</v>
      </c>
      <c r="AB171" t="s">
        <v>79</v>
      </c>
      <c r="AD171" t="s">
        <v>80</v>
      </c>
      <c r="AE171" t="s">
        <v>81</v>
      </c>
      <c r="AF171" t="s">
        <v>82</v>
      </c>
      <c r="AG171" t="s">
        <v>83</v>
      </c>
      <c r="AH171" t="s">
        <v>84</v>
      </c>
      <c r="AI171" t="str">
        <f>"01"</f>
        <v>01</v>
      </c>
      <c r="AJ171" t="str">
        <f t="shared" si="38"/>
        <v>1</v>
      </c>
      <c r="AK171" t="s">
        <v>85</v>
      </c>
      <c r="AL171" t="s">
        <v>86</v>
      </c>
      <c r="AM171" t="s">
        <v>87</v>
      </c>
      <c r="AN171" t="str">
        <f t="shared" si="39"/>
        <v>.9700</v>
      </c>
      <c r="AO171" t="str">
        <f>"7.50"</f>
        <v>7.50</v>
      </c>
      <c r="AP171" t="s">
        <v>88</v>
      </c>
      <c r="AQ171" t="str">
        <f>"7.50"</f>
        <v>7.50</v>
      </c>
      <c r="AR171">
        <v>34</v>
      </c>
      <c r="AS171">
        <v>-1</v>
      </c>
      <c r="AT171">
        <v>33</v>
      </c>
      <c r="AU171">
        <v>255</v>
      </c>
      <c r="AV171">
        <v>24.75</v>
      </c>
      <c r="AW171">
        <v>230.25</v>
      </c>
      <c r="AX171">
        <v>-6.46</v>
      </c>
      <c r="AY171">
        <v>223.79</v>
      </c>
      <c r="AZ171">
        <v>0</v>
      </c>
    </row>
    <row r="172" spans="1:52">
      <c r="A172" t="s">
        <v>65</v>
      </c>
      <c r="B172" t="s">
        <v>66</v>
      </c>
      <c r="C172" t="s">
        <v>67</v>
      </c>
      <c r="D172" t="s">
        <v>68</v>
      </c>
      <c r="E172" t="s">
        <v>69</v>
      </c>
      <c r="F172" t="s">
        <v>70</v>
      </c>
      <c r="G172" t="s">
        <v>71</v>
      </c>
      <c r="H172" t="s">
        <v>70</v>
      </c>
      <c r="I172" t="str">
        <f t="shared" si="32"/>
        <v>1010</v>
      </c>
      <c r="J172" t="str">
        <f t="shared" si="33"/>
        <v>05</v>
      </c>
      <c r="K172" t="s">
        <v>68</v>
      </c>
      <c r="L172" t="s">
        <v>72</v>
      </c>
      <c r="M172" t="s">
        <v>68</v>
      </c>
      <c r="N172" t="s">
        <v>435</v>
      </c>
      <c r="O172" t="s">
        <v>436</v>
      </c>
      <c r="P172" t="str">
        <f>"3020667372"</f>
        <v>3020667372</v>
      </c>
      <c r="R172" t="str">
        <f>"00030206673722"</f>
        <v>00030206673722</v>
      </c>
      <c r="S172" s="1">
        <v>38895</v>
      </c>
      <c r="T172" s="1">
        <v>38895</v>
      </c>
      <c r="U172" t="str">
        <f>"3020667372"</f>
        <v>3020667372</v>
      </c>
      <c r="V172" t="str">
        <f>"1510"</f>
        <v>1510</v>
      </c>
      <c r="W172" t="str">
        <f t="shared" si="34"/>
        <v>11</v>
      </c>
      <c r="X172" t="s">
        <v>75</v>
      </c>
      <c r="Y172" t="s">
        <v>76</v>
      </c>
      <c r="Z172" t="s">
        <v>126</v>
      </c>
      <c r="AA172" t="s">
        <v>127</v>
      </c>
      <c r="AB172" t="s">
        <v>79</v>
      </c>
      <c r="AD172" t="s">
        <v>80</v>
      </c>
      <c r="AE172" t="s">
        <v>81</v>
      </c>
      <c r="AF172" t="s">
        <v>82</v>
      </c>
      <c r="AG172" t="s">
        <v>83</v>
      </c>
      <c r="AH172" t="s">
        <v>84</v>
      </c>
      <c r="AI172" t="str">
        <f>"01"</f>
        <v>01</v>
      </c>
      <c r="AJ172" t="str">
        <f t="shared" si="38"/>
        <v>1</v>
      </c>
      <c r="AK172" t="s">
        <v>101</v>
      </c>
      <c r="AL172" t="s">
        <v>94</v>
      </c>
      <c r="AM172" t="s">
        <v>95</v>
      </c>
      <c r="AN172" t="str">
        <f t="shared" si="39"/>
        <v>.9700</v>
      </c>
      <c r="AO172" t="str">
        <f>"9.07"</f>
        <v>9.07</v>
      </c>
      <c r="AP172" t="s">
        <v>102</v>
      </c>
      <c r="AQ172" t="str">
        <f>"9.07"</f>
        <v>9.07</v>
      </c>
      <c r="AR172">
        <v>1</v>
      </c>
      <c r="AS172">
        <v>0</v>
      </c>
      <c r="AT172">
        <v>1</v>
      </c>
      <c r="AU172">
        <v>9.07</v>
      </c>
      <c r="AV172">
        <v>1.0900000000000001</v>
      </c>
      <c r="AW172">
        <v>7.98</v>
      </c>
      <c r="AX172">
        <v>0</v>
      </c>
      <c r="AY172">
        <v>7.98</v>
      </c>
      <c r="AZ172">
        <v>0</v>
      </c>
    </row>
    <row r="173" spans="1:52">
      <c r="A173" t="s">
        <v>65</v>
      </c>
      <c r="B173" t="s">
        <v>66</v>
      </c>
      <c r="C173" t="s">
        <v>67</v>
      </c>
      <c r="D173" t="s">
        <v>68</v>
      </c>
      <c r="E173" t="s">
        <v>69</v>
      </c>
      <c r="F173" t="s">
        <v>70</v>
      </c>
      <c r="G173" t="s">
        <v>71</v>
      </c>
      <c r="H173" t="s">
        <v>70</v>
      </c>
      <c r="I173" t="str">
        <f t="shared" si="32"/>
        <v>1010</v>
      </c>
      <c r="J173" t="str">
        <f t="shared" si="33"/>
        <v>05</v>
      </c>
      <c r="K173" t="s">
        <v>68</v>
      </c>
      <c r="L173" t="s">
        <v>72</v>
      </c>
      <c r="M173" t="s">
        <v>68</v>
      </c>
      <c r="N173" t="s">
        <v>181</v>
      </c>
      <c r="O173" t="s">
        <v>437</v>
      </c>
      <c r="P173" t="s">
        <v>438</v>
      </c>
      <c r="R173" t="str">
        <f>"00030206603828"</f>
        <v>00030206603828</v>
      </c>
      <c r="S173" s="1">
        <v>36382</v>
      </c>
      <c r="T173" s="1">
        <v>36382</v>
      </c>
      <c r="U173" t="s">
        <v>438</v>
      </c>
      <c r="V173" t="str">
        <f>"1510"</f>
        <v>1510</v>
      </c>
      <c r="W173" t="str">
        <f t="shared" si="34"/>
        <v>11</v>
      </c>
      <c r="X173" t="s">
        <v>75</v>
      </c>
      <c r="Y173" t="s">
        <v>76</v>
      </c>
      <c r="Z173" t="s">
        <v>180</v>
      </c>
      <c r="AA173" t="s">
        <v>181</v>
      </c>
      <c r="AB173" t="s">
        <v>79</v>
      </c>
      <c r="AD173" t="s">
        <v>80</v>
      </c>
      <c r="AE173" t="s">
        <v>81</v>
      </c>
      <c r="AF173" t="s">
        <v>82</v>
      </c>
      <c r="AG173" t="s">
        <v>83</v>
      </c>
      <c r="AH173" t="s">
        <v>84</v>
      </c>
      <c r="AI173" t="str">
        <f>"01"</f>
        <v>01</v>
      </c>
      <c r="AJ173" t="str">
        <f t="shared" si="38"/>
        <v>1</v>
      </c>
      <c r="AK173" t="s">
        <v>107</v>
      </c>
      <c r="AL173" t="s">
        <v>94</v>
      </c>
      <c r="AM173" t="s">
        <v>95</v>
      </c>
      <c r="AN173" t="str">
        <f t="shared" si="39"/>
        <v>.9700</v>
      </c>
      <c r="AO173" t="str">
        <f>"10.78"</f>
        <v>10.78</v>
      </c>
      <c r="AP173" t="s">
        <v>108</v>
      </c>
      <c r="AQ173" t="str">
        <f>"10.78"</f>
        <v>10.78</v>
      </c>
      <c r="AR173">
        <v>39</v>
      </c>
      <c r="AS173">
        <v>0</v>
      </c>
      <c r="AT173">
        <v>39</v>
      </c>
      <c r="AU173">
        <v>420.54</v>
      </c>
      <c r="AV173">
        <v>38.82</v>
      </c>
      <c r="AW173">
        <v>381.72</v>
      </c>
      <c r="AX173">
        <v>0</v>
      </c>
      <c r="AY173">
        <v>381.72</v>
      </c>
      <c r="AZ173">
        <v>0</v>
      </c>
    </row>
    <row r="174" spans="1:52">
      <c r="A174" t="s">
        <v>65</v>
      </c>
      <c r="B174" t="s">
        <v>66</v>
      </c>
      <c r="C174" t="s">
        <v>67</v>
      </c>
      <c r="D174" t="s">
        <v>68</v>
      </c>
      <c r="E174" t="s">
        <v>69</v>
      </c>
      <c r="F174" t="s">
        <v>70</v>
      </c>
      <c r="G174" t="s">
        <v>71</v>
      </c>
      <c r="H174" t="s">
        <v>70</v>
      </c>
      <c r="I174" t="str">
        <f t="shared" si="32"/>
        <v>1010</v>
      </c>
      <c r="J174" t="str">
        <f t="shared" si="33"/>
        <v>05</v>
      </c>
      <c r="K174" t="s">
        <v>68</v>
      </c>
      <c r="L174" t="s">
        <v>72</v>
      </c>
      <c r="M174" t="s">
        <v>68</v>
      </c>
      <c r="N174" t="s">
        <v>181</v>
      </c>
      <c r="O174" t="str">
        <f>"24"</f>
        <v>24</v>
      </c>
      <c r="P174" t="str">
        <f>"3020666262"</f>
        <v>3020666262</v>
      </c>
      <c r="R174" t="str">
        <f>"00030206662627"</f>
        <v>00030206662627</v>
      </c>
      <c r="S174" s="1">
        <v>38328</v>
      </c>
      <c r="T174" s="1">
        <v>38328</v>
      </c>
      <c r="U174" t="str">
        <f>"3020666262"</f>
        <v>3020666262</v>
      </c>
      <c r="V174" t="str">
        <f>"1510"</f>
        <v>1510</v>
      </c>
      <c r="W174" t="str">
        <f t="shared" si="34"/>
        <v>11</v>
      </c>
      <c r="X174" t="s">
        <v>75</v>
      </c>
      <c r="Y174" t="s">
        <v>76</v>
      </c>
      <c r="Z174" t="s">
        <v>180</v>
      </c>
      <c r="AA174" t="s">
        <v>181</v>
      </c>
      <c r="AB174" t="s">
        <v>79</v>
      </c>
      <c r="AD174" t="s">
        <v>80</v>
      </c>
      <c r="AE174" t="s">
        <v>81</v>
      </c>
      <c r="AF174" t="s">
        <v>82</v>
      </c>
      <c r="AG174" t="s">
        <v>83</v>
      </c>
      <c r="AH174" t="s">
        <v>84</v>
      </c>
      <c r="AI174" t="str">
        <f>"01"</f>
        <v>01</v>
      </c>
      <c r="AJ174" t="str">
        <f t="shared" si="38"/>
        <v>1</v>
      </c>
      <c r="AK174" t="s">
        <v>93</v>
      </c>
      <c r="AL174" t="s">
        <v>94</v>
      </c>
      <c r="AM174" t="s">
        <v>95</v>
      </c>
      <c r="AN174" t="str">
        <f t="shared" si="39"/>
        <v>.9700</v>
      </c>
      <c r="AO174" t="str">
        <f>"11.41"</f>
        <v>11.41</v>
      </c>
      <c r="AP174" t="s">
        <v>96</v>
      </c>
      <c r="AQ174" t="str">
        <f>"11.41"</f>
        <v>11.41</v>
      </c>
      <c r="AR174">
        <v>14</v>
      </c>
      <c r="AS174">
        <v>0</v>
      </c>
      <c r="AT174">
        <v>14</v>
      </c>
      <c r="AU174">
        <v>159.72999999999999</v>
      </c>
      <c r="AV174">
        <v>13.69</v>
      </c>
      <c r="AW174">
        <v>146.04</v>
      </c>
      <c r="AX174">
        <v>0</v>
      </c>
      <c r="AY174">
        <v>146.04</v>
      </c>
      <c r="AZ174">
        <v>0</v>
      </c>
    </row>
    <row r="175" spans="1:52">
      <c r="A175" t="s">
        <v>65</v>
      </c>
      <c r="B175" t="s">
        <v>66</v>
      </c>
      <c r="C175" t="s">
        <v>67</v>
      </c>
      <c r="D175" t="s">
        <v>68</v>
      </c>
      <c r="E175" t="s">
        <v>69</v>
      </c>
      <c r="F175" t="s">
        <v>70</v>
      </c>
      <c r="G175" t="s">
        <v>71</v>
      </c>
      <c r="H175" t="s">
        <v>70</v>
      </c>
      <c r="I175" t="str">
        <f t="shared" si="32"/>
        <v>1010</v>
      </c>
      <c r="J175" t="str">
        <f t="shared" si="33"/>
        <v>05</v>
      </c>
      <c r="K175" t="s">
        <v>68</v>
      </c>
      <c r="L175" t="s">
        <v>72</v>
      </c>
      <c r="M175" t="s">
        <v>68</v>
      </c>
      <c r="N175" t="s">
        <v>181</v>
      </c>
      <c r="O175" t="s">
        <v>439</v>
      </c>
      <c r="P175" t="str">
        <f>"3020667722"</f>
        <v>3020667722</v>
      </c>
      <c r="R175" t="str">
        <f>"00030206677225"</f>
        <v>00030206677225</v>
      </c>
      <c r="S175" s="1">
        <v>39035</v>
      </c>
      <c r="T175" s="1">
        <v>39035</v>
      </c>
      <c r="U175" t="str">
        <f>"3020667722"</f>
        <v>3020667722</v>
      </c>
      <c r="V175" t="str">
        <f>"1510"</f>
        <v>1510</v>
      </c>
      <c r="W175" t="str">
        <f t="shared" si="34"/>
        <v>11</v>
      </c>
      <c r="X175" t="s">
        <v>75</v>
      </c>
      <c r="Y175" t="s">
        <v>76</v>
      </c>
      <c r="Z175" t="s">
        <v>180</v>
      </c>
      <c r="AA175" t="s">
        <v>181</v>
      </c>
      <c r="AB175" t="s">
        <v>79</v>
      </c>
      <c r="AD175" t="s">
        <v>80</v>
      </c>
      <c r="AE175" t="s">
        <v>81</v>
      </c>
      <c r="AF175" t="s">
        <v>82</v>
      </c>
      <c r="AG175" t="s">
        <v>83</v>
      </c>
      <c r="AH175" t="s">
        <v>84</v>
      </c>
      <c r="AI175" t="str">
        <f>"02"</f>
        <v>02</v>
      </c>
      <c r="AJ175" t="str">
        <f>"2"</f>
        <v>2</v>
      </c>
      <c r="AK175" t="s">
        <v>93</v>
      </c>
      <c r="AL175" t="s">
        <v>94</v>
      </c>
      <c r="AM175" t="s">
        <v>95</v>
      </c>
      <c r="AN175" t="str">
        <f t="shared" si="39"/>
        <v>.9700</v>
      </c>
      <c r="AO175" t="str">
        <f>"11.41"</f>
        <v>11.41</v>
      </c>
      <c r="AP175" t="s">
        <v>96</v>
      </c>
      <c r="AQ175" t="str">
        <f>"11.41"</f>
        <v>11.41</v>
      </c>
      <c r="AR175">
        <v>20</v>
      </c>
      <c r="AS175">
        <v>-1</v>
      </c>
      <c r="AT175">
        <v>19</v>
      </c>
      <c r="AU175">
        <v>228.19</v>
      </c>
      <c r="AV175">
        <v>26.02</v>
      </c>
      <c r="AW175">
        <v>202.17</v>
      </c>
      <c r="AX175">
        <v>-11.06</v>
      </c>
      <c r="AY175">
        <v>191.11</v>
      </c>
      <c r="AZ175">
        <v>0</v>
      </c>
    </row>
    <row r="176" spans="1:52">
      <c r="A176" t="s">
        <v>65</v>
      </c>
      <c r="B176" t="s">
        <v>66</v>
      </c>
      <c r="C176" t="s">
        <v>67</v>
      </c>
      <c r="D176" t="s">
        <v>68</v>
      </c>
      <c r="E176" t="s">
        <v>69</v>
      </c>
      <c r="F176" t="s">
        <v>70</v>
      </c>
      <c r="G176" t="s">
        <v>71</v>
      </c>
      <c r="H176" t="s">
        <v>70</v>
      </c>
      <c r="I176" t="str">
        <f t="shared" si="32"/>
        <v>1010</v>
      </c>
      <c r="J176" t="str">
        <f t="shared" si="33"/>
        <v>05</v>
      </c>
      <c r="K176" t="s">
        <v>68</v>
      </c>
      <c r="L176" t="s">
        <v>72</v>
      </c>
      <c r="M176" t="s">
        <v>68</v>
      </c>
      <c r="N176" t="s">
        <v>181</v>
      </c>
      <c r="O176" t="s">
        <v>440</v>
      </c>
      <c r="P176" t="str">
        <f>"3020672468"</f>
        <v>3020672468</v>
      </c>
      <c r="R176" t="str">
        <f>"00030206724684"</f>
        <v>00030206724684</v>
      </c>
      <c r="S176" s="1">
        <v>41632</v>
      </c>
      <c r="T176" s="1">
        <v>41625</v>
      </c>
      <c r="U176" t="str">
        <f>"3020672468"</f>
        <v>3020672468</v>
      </c>
      <c r="V176" t="str">
        <f>"1010"</f>
        <v>1010</v>
      </c>
      <c r="W176" t="str">
        <f t="shared" si="34"/>
        <v>11</v>
      </c>
      <c r="X176" t="s">
        <v>75</v>
      </c>
      <c r="Y176" t="s">
        <v>173</v>
      </c>
      <c r="Z176" t="s">
        <v>180</v>
      </c>
      <c r="AA176" t="s">
        <v>181</v>
      </c>
      <c r="AB176" t="s">
        <v>79</v>
      </c>
      <c r="AD176" t="s">
        <v>80</v>
      </c>
      <c r="AE176" t="s">
        <v>81</v>
      </c>
      <c r="AF176" t="s">
        <v>82</v>
      </c>
      <c r="AG176" t="s">
        <v>83</v>
      </c>
      <c r="AH176" t="s">
        <v>84</v>
      </c>
      <c r="AJ176" t="str">
        <f t="shared" ref="AJ176:AJ211" si="40">"1"</f>
        <v>1</v>
      </c>
      <c r="AK176" t="s">
        <v>93</v>
      </c>
      <c r="AL176" t="s">
        <v>143</v>
      </c>
      <c r="AM176" t="s">
        <v>95</v>
      </c>
      <c r="AN176" t="str">
        <f t="shared" si="39"/>
        <v>.9700</v>
      </c>
      <c r="AO176" t="str">
        <f>"11.41"</f>
        <v>11.41</v>
      </c>
      <c r="AP176" t="s">
        <v>96</v>
      </c>
      <c r="AQ176" t="str">
        <f>"11.41"</f>
        <v>11.41</v>
      </c>
      <c r="AR176">
        <v>3</v>
      </c>
      <c r="AS176">
        <v>-51</v>
      </c>
      <c r="AT176">
        <v>-48</v>
      </c>
      <c r="AU176">
        <v>34.229999999999997</v>
      </c>
      <c r="AV176">
        <v>3.42</v>
      </c>
      <c r="AW176">
        <v>30.81</v>
      </c>
      <c r="AX176">
        <v>-503.84</v>
      </c>
      <c r="AY176">
        <v>-473.03</v>
      </c>
      <c r="AZ176">
        <v>0</v>
      </c>
    </row>
    <row r="177" spans="1:52">
      <c r="A177" t="s">
        <v>65</v>
      </c>
      <c r="B177" t="s">
        <v>66</v>
      </c>
      <c r="C177" t="s">
        <v>67</v>
      </c>
      <c r="D177" t="s">
        <v>68</v>
      </c>
      <c r="E177" t="s">
        <v>69</v>
      </c>
      <c r="F177" t="s">
        <v>70</v>
      </c>
      <c r="G177" t="s">
        <v>71</v>
      </c>
      <c r="H177" t="s">
        <v>70</v>
      </c>
      <c r="I177" t="str">
        <f t="shared" si="32"/>
        <v>1010</v>
      </c>
      <c r="J177" t="str">
        <f t="shared" si="33"/>
        <v>05</v>
      </c>
      <c r="K177" t="s">
        <v>68</v>
      </c>
      <c r="L177" t="s">
        <v>72</v>
      </c>
      <c r="M177" t="s">
        <v>68</v>
      </c>
      <c r="N177" t="s">
        <v>181</v>
      </c>
      <c r="O177" t="s">
        <v>441</v>
      </c>
      <c r="P177" t="str">
        <f>"3020672168"</f>
        <v>3020672168</v>
      </c>
      <c r="R177" t="str">
        <f>"00030206721683"</f>
        <v>00030206721683</v>
      </c>
      <c r="S177" s="1">
        <v>41541</v>
      </c>
      <c r="T177" s="1">
        <v>41520</v>
      </c>
      <c r="U177" t="str">
        <f>"3020672168"</f>
        <v>3020672168</v>
      </c>
      <c r="V177" t="str">
        <f>"1010"</f>
        <v>1010</v>
      </c>
      <c r="W177" t="str">
        <f t="shared" si="34"/>
        <v>11</v>
      </c>
      <c r="X177" t="s">
        <v>75</v>
      </c>
      <c r="Y177" t="s">
        <v>173</v>
      </c>
      <c r="Z177" t="s">
        <v>105</v>
      </c>
      <c r="AA177" t="s">
        <v>106</v>
      </c>
      <c r="AB177" t="s">
        <v>79</v>
      </c>
      <c r="AD177" t="s">
        <v>80</v>
      </c>
      <c r="AE177" t="s">
        <v>81</v>
      </c>
      <c r="AF177" t="s">
        <v>82</v>
      </c>
      <c r="AG177" t="s">
        <v>83</v>
      </c>
      <c r="AH177" t="s">
        <v>84</v>
      </c>
      <c r="AJ177" t="str">
        <f t="shared" si="40"/>
        <v>1</v>
      </c>
      <c r="AK177" t="s">
        <v>93</v>
      </c>
      <c r="AL177" t="s">
        <v>143</v>
      </c>
      <c r="AM177" t="s">
        <v>95</v>
      </c>
      <c r="AN177" t="str">
        <f t="shared" si="39"/>
        <v>.9700</v>
      </c>
      <c r="AO177" t="str">
        <f>"11.41"</f>
        <v>11.41</v>
      </c>
      <c r="AP177" t="s">
        <v>96</v>
      </c>
      <c r="AQ177" t="str">
        <f>"11.41"</f>
        <v>11.41</v>
      </c>
      <c r="AR177">
        <v>0</v>
      </c>
      <c r="AS177">
        <v>-13</v>
      </c>
      <c r="AT177">
        <v>-13</v>
      </c>
      <c r="AU177">
        <v>0</v>
      </c>
      <c r="AV177">
        <v>0</v>
      </c>
      <c r="AW177">
        <v>0</v>
      </c>
      <c r="AX177">
        <v>-133.79</v>
      </c>
      <c r="AY177">
        <v>-133.79</v>
      </c>
      <c r="AZ177">
        <v>0</v>
      </c>
    </row>
    <row r="178" spans="1:52">
      <c r="A178" t="s">
        <v>65</v>
      </c>
      <c r="B178" t="s">
        <v>66</v>
      </c>
      <c r="C178" t="s">
        <v>67</v>
      </c>
      <c r="D178" t="s">
        <v>68</v>
      </c>
      <c r="E178" t="s">
        <v>69</v>
      </c>
      <c r="F178" t="s">
        <v>70</v>
      </c>
      <c r="G178" t="s">
        <v>71</v>
      </c>
      <c r="H178" t="s">
        <v>70</v>
      </c>
      <c r="I178" t="str">
        <f t="shared" si="32"/>
        <v>1010</v>
      </c>
      <c r="J178" t="str">
        <f t="shared" si="33"/>
        <v>05</v>
      </c>
      <c r="K178" t="s">
        <v>68</v>
      </c>
      <c r="L178" t="s">
        <v>72</v>
      </c>
      <c r="M178" t="s">
        <v>68</v>
      </c>
      <c r="N178" t="s">
        <v>181</v>
      </c>
      <c r="O178" t="s">
        <v>442</v>
      </c>
      <c r="P178" t="str">
        <f>"3020672568"</f>
        <v>3020672568</v>
      </c>
      <c r="R178" t="str">
        <f>"00030206725681"</f>
        <v>00030206725681</v>
      </c>
      <c r="S178" s="1">
        <v>41709</v>
      </c>
      <c r="T178" s="1">
        <v>41702</v>
      </c>
      <c r="U178" t="str">
        <f>"3020672568"</f>
        <v>3020672568</v>
      </c>
      <c r="V178" t="str">
        <f>"1010"</f>
        <v>1010</v>
      </c>
      <c r="W178" t="str">
        <f t="shared" si="34"/>
        <v>11</v>
      </c>
      <c r="X178" t="s">
        <v>75</v>
      </c>
      <c r="Y178" t="s">
        <v>139</v>
      </c>
      <c r="Z178" t="s">
        <v>180</v>
      </c>
      <c r="AA178" t="s">
        <v>181</v>
      </c>
      <c r="AB178" t="s">
        <v>79</v>
      </c>
      <c r="AD178" t="s">
        <v>80</v>
      </c>
      <c r="AE178" t="s">
        <v>81</v>
      </c>
      <c r="AF178" t="s">
        <v>82</v>
      </c>
      <c r="AG178" t="s">
        <v>83</v>
      </c>
      <c r="AH178" t="s">
        <v>84</v>
      </c>
      <c r="AJ178" t="str">
        <f t="shared" si="40"/>
        <v>1</v>
      </c>
      <c r="AK178" t="s">
        <v>101</v>
      </c>
      <c r="AL178" t="s">
        <v>143</v>
      </c>
      <c r="AM178" t="s">
        <v>95</v>
      </c>
      <c r="AN178" t="str">
        <f t="shared" si="39"/>
        <v>.9700</v>
      </c>
      <c r="AO178" t="str">
        <f>"9.07"</f>
        <v>9.07</v>
      </c>
      <c r="AP178" t="s">
        <v>102</v>
      </c>
      <c r="AQ178" t="str">
        <f>"9.07"</f>
        <v>9.07</v>
      </c>
      <c r="AR178">
        <v>1</v>
      </c>
      <c r="AS178">
        <v>-93</v>
      </c>
      <c r="AT178">
        <v>-92</v>
      </c>
      <c r="AU178">
        <v>9.07</v>
      </c>
      <c r="AV178">
        <v>0</v>
      </c>
      <c r="AW178">
        <v>9.07</v>
      </c>
      <c r="AX178">
        <v>-726.34</v>
      </c>
      <c r="AY178">
        <v>-717.27</v>
      </c>
      <c r="AZ178">
        <v>0</v>
      </c>
    </row>
    <row r="179" spans="1:52">
      <c r="A179" t="s">
        <v>65</v>
      </c>
      <c r="B179" t="s">
        <v>66</v>
      </c>
      <c r="C179" t="s">
        <v>67</v>
      </c>
      <c r="D179" t="s">
        <v>68</v>
      </c>
      <c r="E179" t="s">
        <v>69</v>
      </c>
      <c r="F179" t="s">
        <v>70</v>
      </c>
      <c r="G179" t="s">
        <v>71</v>
      </c>
      <c r="H179" t="s">
        <v>70</v>
      </c>
      <c r="I179" t="str">
        <f t="shared" si="32"/>
        <v>1010</v>
      </c>
      <c r="J179" t="str">
        <f t="shared" si="33"/>
        <v>05</v>
      </c>
      <c r="K179" t="s">
        <v>68</v>
      </c>
      <c r="L179" t="s">
        <v>72</v>
      </c>
      <c r="M179" t="s">
        <v>68</v>
      </c>
      <c r="N179" t="s">
        <v>181</v>
      </c>
      <c r="O179" t="s">
        <v>443</v>
      </c>
      <c r="P179" t="s">
        <v>444</v>
      </c>
      <c r="R179" t="str">
        <f>"00030206582529"</f>
        <v>00030206582529</v>
      </c>
      <c r="S179" s="1">
        <v>35640</v>
      </c>
      <c r="T179" s="1">
        <v>35640</v>
      </c>
      <c r="U179" t="s">
        <v>444</v>
      </c>
      <c r="V179" t="str">
        <f>"1510"</f>
        <v>1510</v>
      </c>
      <c r="W179" t="str">
        <f t="shared" si="34"/>
        <v>11</v>
      </c>
      <c r="X179" t="s">
        <v>75</v>
      </c>
      <c r="Y179" t="s">
        <v>76</v>
      </c>
      <c r="Z179" t="s">
        <v>180</v>
      </c>
      <c r="AA179" t="s">
        <v>181</v>
      </c>
      <c r="AB179" t="s">
        <v>79</v>
      </c>
      <c r="AD179" t="s">
        <v>80</v>
      </c>
      <c r="AE179" t="s">
        <v>81</v>
      </c>
      <c r="AF179" t="s">
        <v>82</v>
      </c>
      <c r="AG179" t="s">
        <v>83</v>
      </c>
      <c r="AH179" t="s">
        <v>84</v>
      </c>
      <c r="AI179" t="str">
        <f>"01"</f>
        <v>01</v>
      </c>
      <c r="AJ179" t="str">
        <f t="shared" si="40"/>
        <v>1</v>
      </c>
      <c r="AK179" t="s">
        <v>107</v>
      </c>
      <c r="AL179" t="s">
        <v>94</v>
      </c>
      <c r="AM179" t="s">
        <v>95</v>
      </c>
      <c r="AN179" t="str">
        <f t="shared" si="39"/>
        <v>.9700</v>
      </c>
      <c r="AO179" t="str">
        <f>"10.78"</f>
        <v>10.78</v>
      </c>
      <c r="AP179" t="s">
        <v>108</v>
      </c>
      <c r="AQ179" t="str">
        <f>"10.78"</f>
        <v>10.78</v>
      </c>
      <c r="AR179">
        <v>16</v>
      </c>
      <c r="AS179">
        <v>0</v>
      </c>
      <c r="AT179">
        <v>16</v>
      </c>
      <c r="AU179">
        <v>172.54</v>
      </c>
      <c r="AV179">
        <v>20.7</v>
      </c>
      <c r="AW179">
        <v>151.84</v>
      </c>
      <c r="AX179">
        <v>0</v>
      </c>
      <c r="AY179">
        <v>151.84</v>
      </c>
      <c r="AZ179">
        <v>0</v>
      </c>
    </row>
    <row r="180" spans="1:52">
      <c r="A180" t="s">
        <v>65</v>
      </c>
      <c r="B180" t="s">
        <v>66</v>
      </c>
      <c r="C180" t="s">
        <v>67</v>
      </c>
      <c r="D180" t="s">
        <v>68</v>
      </c>
      <c r="E180" t="s">
        <v>69</v>
      </c>
      <c r="F180" t="s">
        <v>70</v>
      </c>
      <c r="G180" t="s">
        <v>71</v>
      </c>
      <c r="H180" t="s">
        <v>70</v>
      </c>
      <c r="I180" t="str">
        <f t="shared" si="32"/>
        <v>1010</v>
      </c>
      <c r="J180" t="str">
        <f t="shared" si="33"/>
        <v>05</v>
      </c>
      <c r="K180" t="s">
        <v>68</v>
      </c>
      <c r="L180" t="s">
        <v>72</v>
      </c>
      <c r="M180" t="s">
        <v>68</v>
      </c>
      <c r="N180" t="s">
        <v>181</v>
      </c>
      <c r="O180" t="s">
        <v>445</v>
      </c>
      <c r="P180" t="str">
        <f>"3020671262"</f>
        <v>3020671262</v>
      </c>
      <c r="R180" t="str">
        <f>"00030206712629"</f>
        <v>00030206712629</v>
      </c>
      <c r="S180" s="1">
        <v>40890</v>
      </c>
      <c r="T180" s="1">
        <v>40890</v>
      </c>
      <c r="U180" t="str">
        <f>"3020671262"</f>
        <v>3020671262</v>
      </c>
      <c r="V180" t="str">
        <f>"1510"</f>
        <v>1510</v>
      </c>
      <c r="W180" t="str">
        <f t="shared" si="34"/>
        <v>11</v>
      </c>
      <c r="X180" t="s">
        <v>75</v>
      </c>
      <c r="Y180" t="s">
        <v>76</v>
      </c>
      <c r="Z180" t="s">
        <v>180</v>
      </c>
      <c r="AA180" t="s">
        <v>181</v>
      </c>
      <c r="AB180" t="s">
        <v>79</v>
      </c>
      <c r="AD180" t="s">
        <v>80</v>
      </c>
      <c r="AE180" t="s">
        <v>81</v>
      </c>
      <c r="AF180" t="s">
        <v>82</v>
      </c>
      <c r="AG180" t="s">
        <v>83</v>
      </c>
      <c r="AH180" t="s">
        <v>84</v>
      </c>
      <c r="AI180" t="str">
        <f>"01"</f>
        <v>01</v>
      </c>
      <c r="AJ180" t="str">
        <f t="shared" si="40"/>
        <v>1</v>
      </c>
      <c r="AK180" t="s">
        <v>93</v>
      </c>
      <c r="AL180" t="s">
        <v>94</v>
      </c>
      <c r="AM180" t="s">
        <v>95</v>
      </c>
      <c r="AN180" t="str">
        <f t="shared" si="39"/>
        <v>.9700</v>
      </c>
      <c r="AO180" t="str">
        <f>"11.41"</f>
        <v>11.41</v>
      </c>
      <c r="AP180" t="s">
        <v>96</v>
      </c>
      <c r="AQ180" t="str">
        <f>"11.41"</f>
        <v>11.41</v>
      </c>
      <c r="AR180">
        <v>3</v>
      </c>
      <c r="AS180">
        <v>-1</v>
      </c>
      <c r="AT180">
        <v>2</v>
      </c>
      <c r="AU180">
        <v>34.229999999999997</v>
      </c>
      <c r="AV180">
        <v>4.1100000000000003</v>
      </c>
      <c r="AW180">
        <v>30.12</v>
      </c>
      <c r="AX180">
        <v>-10.54</v>
      </c>
      <c r="AY180">
        <v>19.579999999999998</v>
      </c>
      <c r="AZ180">
        <v>0</v>
      </c>
    </row>
    <row r="181" spans="1:52">
      <c r="A181" t="s">
        <v>65</v>
      </c>
      <c r="B181" t="s">
        <v>66</v>
      </c>
      <c r="C181" t="s">
        <v>67</v>
      </c>
      <c r="D181" t="s">
        <v>68</v>
      </c>
      <c r="E181" t="s">
        <v>69</v>
      </c>
      <c r="F181" t="s">
        <v>70</v>
      </c>
      <c r="G181" t="s">
        <v>71</v>
      </c>
      <c r="H181" t="s">
        <v>70</v>
      </c>
      <c r="I181" t="str">
        <f t="shared" si="32"/>
        <v>1010</v>
      </c>
      <c r="J181" t="str">
        <f t="shared" si="33"/>
        <v>05</v>
      </c>
      <c r="K181" t="s">
        <v>68</v>
      </c>
      <c r="L181" t="s">
        <v>72</v>
      </c>
      <c r="M181" t="s">
        <v>68</v>
      </c>
      <c r="N181" t="s">
        <v>181</v>
      </c>
      <c r="O181" t="s">
        <v>446</v>
      </c>
      <c r="P181" t="str">
        <f>"3020662412"</f>
        <v>3020662412</v>
      </c>
      <c r="R181" t="str">
        <f>"00030206624120"</f>
        <v>00030206624120</v>
      </c>
      <c r="S181" s="1">
        <v>37012</v>
      </c>
      <c r="T181" s="1">
        <v>37012</v>
      </c>
      <c r="U181" t="str">
        <f>"3020662412"</f>
        <v>3020662412</v>
      </c>
      <c r="V181" t="str">
        <f>"1510"</f>
        <v>1510</v>
      </c>
      <c r="W181" t="str">
        <f t="shared" si="34"/>
        <v>11</v>
      </c>
      <c r="X181" t="s">
        <v>75</v>
      </c>
      <c r="Y181" t="s">
        <v>76</v>
      </c>
      <c r="Z181" t="s">
        <v>180</v>
      </c>
      <c r="AA181" t="s">
        <v>181</v>
      </c>
      <c r="AB181" t="s">
        <v>79</v>
      </c>
      <c r="AD181" t="s">
        <v>80</v>
      </c>
      <c r="AE181" t="s">
        <v>81</v>
      </c>
      <c r="AF181" t="s">
        <v>82</v>
      </c>
      <c r="AG181" t="s">
        <v>83</v>
      </c>
      <c r="AH181" t="s">
        <v>84</v>
      </c>
      <c r="AI181" t="str">
        <f>"01"</f>
        <v>01</v>
      </c>
      <c r="AJ181" t="str">
        <f t="shared" si="40"/>
        <v>1</v>
      </c>
      <c r="AK181" t="s">
        <v>93</v>
      </c>
      <c r="AL181" t="s">
        <v>94</v>
      </c>
      <c r="AM181" t="s">
        <v>95</v>
      </c>
      <c r="AN181" t="str">
        <f t="shared" si="39"/>
        <v>.9700</v>
      </c>
      <c r="AO181" t="str">
        <f>"11.41"</f>
        <v>11.41</v>
      </c>
      <c r="AP181" t="s">
        <v>96</v>
      </c>
      <c r="AQ181" t="str">
        <f>"11.41"</f>
        <v>11.41</v>
      </c>
      <c r="AR181">
        <v>34</v>
      </c>
      <c r="AS181">
        <v>0</v>
      </c>
      <c r="AT181">
        <v>34</v>
      </c>
      <c r="AU181">
        <v>386.2</v>
      </c>
      <c r="AV181">
        <v>43.81</v>
      </c>
      <c r="AW181">
        <v>342.39</v>
      </c>
      <c r="AX181">
        <v>0</v>
      </c>
      <c r="AY181">
        <v>342.39</v>
      </c>
      <c r="AZ181">
        <v>0</v>
      </c>
    </row>
    <row r="182" spans="1:52">
      <c r="A182" t="s">
        <v>65</v>
      </c>
      <c r="B182" t="s">
        <v>66</v>
      </c>
      <c r="C182" t="s">
        <v>67</v>
      </c>
      <c r="D182" t="s">
        <v>68</v>
      </c>
      <c r="E182" t="s">
        <v>69</v>
      </c>
      <c r="F182" t="s">
        <v>70</v>
      </c>
      <c r="G182" t="s">
        <v>71</v>
      </c>
      <c r="H182" t="s">
        <v>70</v>
      </c>
      <c r="I182" t="str">
        <f t="shared" si="32"/>
        <v>1010</v>
      </c>
      <c r="J182" t="str">
        <f t="shared" si="33"/>
        <v>05</v>
      </c>
      <c r="K182" t="s">
        <v>68</v>
      </c>
      <c r="L182" t="s">
        <v>72</v>
      </c>
      <c r="M182" t="s">
        <v>68</v>
      </c>
      <c r="N182" t="s">
        <v>181</v>
      </c>
      <c r="O182" t="s">
        <v>447</v>
      </c>
      <c r="P182" t="str">
        <f>"3020670982"</f>
        <v>3020670982</v>
      </c>
      <c r="R182" t="str">
        <f>"00030206709827"</f>
        <v>00030206709827</v>
      </c>
      <c r="S182" s="1">
        <v>40708</v>
      </c>
      <c r="T182" s="1">
        <v>40708</v>
      </c>
      <c r="U182" t="str">
        <f>"3020670982"</f>
        <v>3020670982</v>
      </c>
      <c r="V182" t="str">
        <f>"1510"</f>
        <v>1510</v>
      </c>
      <c r="W182" t="str">
        <f t="shared" si="34"/>
        <v>11</v>
      </c>
      <c r="X182" t="s">
        <v>75</v>
      </c>
      <c r="Y182" t="s">
        <v>76</v>
      </c>
      <c r="Z182" t="s">
        <v>180</v>
      </c>
      <c r="AA182" t="s">
        <v>181</v>
      </c>
      <c r="AB182" t="s">
        <v>79</v>
      </c>
      <c r="AD182" t="s">
        <v>80</v>
      </c>
      <c r="AE182" t="s">
        <v>81</v>
      </c>
      <c r="AF182" t="s">
        <v>82</v>
      </c>
      <c r="AG182" t="s">
        <v>83</v>
      </c>
      <c r="AH182" t="s">
        <v>84</v>
      </c>
      <c r="AI182" t="str">
        <f>"01"</f>
        <v>01</v>
      </c>
      <c r="AJ182" t="str">
        <f t="shared" si="40"/>
        <v>1</v>
      </c>
      <c r="AK182" t="s">
        <v>93</v>
      </c>
      <c r="AL182" t="s">
        <v>94</v>
      </c>
      <c r="AM182" t="s">
        <v>95</v>
      </c>
      <c r="AN182" t="str">
        <f t="shared" si="39"/>
        <v>.9700</v>
      </c>
      <c r="AO182" t="str">
        <f>"11.41"</f>
        <v>11.41</v>
      </c>
      <c r="AP182" t="s">
        <v>96</v>
      </c>
      <c r="AQ182" t="str">
        <f>"11.41"</f>
        <v>11.41</v>
      </c>
      <c r="AR182">
        <v>3</v>
      </c>
      <c r="AS182">
        <v>0</v>
      </c>
      <c r="AT182">
        <v>3</v>
      </c>
      <c r="AU182">
        <v>34.229999999999997</v>
      </c>
      <c r="AV182">
        <v>0</v>
      </c>
      <c r="AW182">
        <v>34.229999999999997</v>
      </c>
      <c r="AX182">
        <v>0</v>
      </c>
      <c r="AY182">
        <v>34.229999999999997</v>
      </c>
      <c r="AZ182">
        <v>0</v>
      </c>
    </row>
    <row r="183" spans="1:52">
      <c r="A183" t="s">
        <v>65</v>
      </c>
      <c r="B183" t="s">
        <v>66</v>
      </c>
      <c r="C183" t="s">
        <v>67</v>
      </c>
      <c r="D183" t="s">
        <v>68</v>
      </c>
      <c r="E183" t="s">
        <v>69</v>
      </c>
      <c r="F183" t="s">
        <v>70</v>
      </c>
      <c r="G183" t="s">
        <v>71</v>
      </c>
      <c r="H183" t="s">
        <v>70</v>
      </c>
      <c r="I183" t="str">
        <f t="shared" si="32"/>
        <v>1010</v>
      </c>
      <c r="J183" t="str">
        <f t="shared" si="33"/>
        <v>05</v>
      </c>
      <c r="K183" t="s">
        <v>68</v>
      </c>
      <c r="L183" t="s">
        <v>72</v>
      </c>
      <c r="M183" t="s">
        <v>68</v>
      </c>
      <c r="N183" t="s">
        <v>181</v>
      </c>
      <c r="O183" t="s">
        <v>448</v>
      </c>
      <c r="P183" t="str">
        <f>"3020672368"</f>
        <v>3020672368</v>
      </c>
      <c r="R183" t="str">
        <f>"00030206723687"</f>
        <v>00030206723687</v>
      </c>
      <c r="S183" s="1">
        <v>41688</v>
      </c>
      <c r="T183" s="1">
        <v>41688</v>
      </c>
      <c r="U183" t="str">
        <f>"3020672368"</f>
        <v>3020672368</v>
      </c>
      <c r="V183" t="str">
        <f>"1010"</f>
        <v>1010</v>
      </c>
      <c r="W183" t="str">
        <f t="shared" si="34"/>
        <v>11</v>
      </c>
      <c r="X183" t="s">
        <v>75</v>
      </c>
      <c r="Y183" t="s">
        <v>139</v>
      </c>
      <c r="Z183" t="s">
        <v>180</v>
      </c>
      <c r="AA183" t="s">
        <v>181</v>
      </c>
      <c r="AB183" t="s">
        <v>79</v>
      </c>
      <c r="AD183" t="s">
        <v>80</v>
      </c>
      <c r="AE183" t="s">
        <v>81</v>
      </c>
      <c r="AF183" t="s">
        <v>82</v>
      </c>
      <c r="AG183" t="s">
        <v>83</v>
      </c>
      <c r="AH183" t="s">
        <v>84</v>
      </c>
      <c r="AJ183" t="str">
        <f t="shared" si="40"/>
        <v>1</v>
      </c>
      <c r="AK183" t="s">
        <v>101</v>
      </c>
      <c r="AL183" t="s">
        <v>143</v>
      </c>
      <c r="AM183" t="s">
        <v>95</v>
      </c>
      <c r="AN183" t="str">
        <f t="shared" si="39"/>
        <v>.9700</v>
      </c>
      <c r="AO183" t="str">
        <f>"9.07"</f>
        <v>9.07</v>
      </c>
      <c r="AP183" t="s">
        <v>102</v>
      </c>
      <c r="AQ183" t="str">
        <f>"9.07"</f>
        <v>9.07</v>
      </c>
      <c r="AR183">
        <v>38</v>
      </c>
      <c r="AS183">
        <v>-19</v>
      </c>
      <c r="AT183">
        <v>19</v>
      </c>
      <c r="AU183">
        <v>344.66</v>
      </c>
      <c r="AV183">
        <v>0</v>
      </c>
      <c r="AW183">
        <v>344.66</v>
      </c>
      <c r="AX183">
        <v>-154.21</v>
      </c>
      <c r="AY183">
        <v>190.45</v>
      </c>
      <c r="AZ183">
        <v>0</v>
      </c>
    </row>
    <row r="184" spans="1:52">
      <c r="A184" t="s">
        <v>65</v>
      </c>
      <c r="B184" t="s">
        <v>66</v>
      </c>
      <c r="C184" t="s">
        <v>67</v>
      </c>
      <c r="D184" t="s">
        <v>68</v>
      </c>
      <c r="E184" t="s">
        <v>69</v>
      </c>
      <c r="F184" t="s">
        <v>70</v>
      </c>
      <c r="G184" t="s">
        <v>71</v>
      </c>
      <c r="H184" t="s">
        <v>70</v>
      </c>
      <c r="I184" t="str">
        <f t="shared" si="32"/>
        <v>1010</v>
      </c>
      <c r="J184" t="str">
        <f t="shared" si="33"/>
        <v>05</v>
      </c>
      <c r="K184" t="s">
        <v>68</v>
      </c>
      <c r="L184" t="s">
        <v>72</v>
      </c>
      <c r="M184" t="s">
        <v>68</v>
      </c>
      <c r="N184" t="s">
        <v>181</v>
      </c>
      <c r="O184" t="s">
        <v>449</v>
      </c>
      <c r="P184" t="str">
        <f>"3020671622"</f>
        <v>3020671622</v>
      </c>
      <c r="R184" t="str">
        <f>"00030206716221"</f>
        <v>00030206716221</v>
      </c>
      <c r="S184" s="1">
        <v>41142</v>
      </c>
      <c r="T184" s="1">
        <v>41142</v>
      </c>
      <c r="U184" t="str">
        <f>"3020671622"</f>
        <v>3020671622</v>
      </c>
      <c r="V184" t="str">
        <f>"1510"</f>
        <v>1510</v>
      </c>
      <c r="W184" t="str">
        <f t="shared" si="34"/>
        <v>11</v>
      </c>
      <c r="X184" t="s">
        <v>75</v>
      </c>
      <c r="Y184" t="s">
        <v>76</v>
      </c>
      <c r="Z184" t="s">
        <v>180</v>
      </c>
      <c r="AA184" t="s">
        <v>181</v>
      </c>
      <c r="AB184" t="s">
        <v>79</v>
      </c>
      <c r="AD184" t="s">
        <v>80</v>
      </c>
      <c r="AE184" t="s">
        <v>81</v>
      </c>
      <c r="AF184" t="s">
        <v>82</v>
      </c>
      <c r="AG184" t="s">
        <v>83</v>
      </c>
      <c r="AH184" t="s">
        <v>84</v>
      </c>
      <c r="AI184" t="str">
        <f>"01"</f>
        <v>01</v>
      </c>
      <c r="AJ184" t="str">
        <f t="shared" si="40"/>
        <v>1</v>
      </c>
      <c r="AK184" t="s">
        <v>93</v>
      </c>
      <c r="AL184" t="s">
        <v>94</v>
      </c>
      <c r="AM184" t="s">
        <v>95</v>
      </c>
      <c r="AN184" t="str">
        <f t="shared" si="39"/>
        <v>.9700</v>
      </c>
      <c r="AO184" t="str">
        <f>"11.41"</f>
        <v>11.41</v>
      </c>
      <c r="AP184" t="s">
        <v>96</v>
      </c>
      <c r="AQ184" t="str">
        <f>"11.41"</f>
        <v>11.41</v>
      </c>
      <c r="AR184">
        <v>3</v>
      </c>
      <c r="AS184">
        <v>-2</v>
      </c>
      <c r="AT184">
        <v>1</v>
      </c>
      <c r="AU184">
        <v>34.229999999999997</v>
      </c>
      <c r="AV184">
        <v>0</v>
      </c>
      <c r="AW184">
        <v>34.229999999999997</v>
      </c>
      <c r="AX184">
        <v>-20.65</v>
      </c>
      <c r="AY184">
        <v>13.58</v>
      </c>
      <c r="AZ184">
        <v>0</v>
      </c>
    </row>
    <row r="185" spans="1:52">
      <c r="A185" t="s">
        <v>65</v>
      </c>
      <c r="B185" t="s">
        <v>66</v>
      </c>
      <c r="C185" t="s">
        <v>67</v>
      </c>
      <c r="D185" t="s">
        <v>68</v>
      </c>
      <c r="E185" t="s">
        <v>69</v>
      </c>
      <c r="F185" t="s">
        <v>70</v>
      </c>
      <c r="G185" t="s">
        <v>71</v>
      </c>
      <c r="H185" t="s">
        <v>70</v>
      </c>
      <c r="I185" t="str">
        <f t="shared" si="32"/>
        <v>1010</v>
      </c>
      <c r="J185" t="str">
        <f t="shared" si="33"/>
        <v>05</v>
      </c>
      <c r="K185" t="s">
        <v>68</v>
      </c>
      <c r="L185" t="s">
        <v>72</v>
      </c>
      <c r="M185" t="s">
        <v>68</v>
      </c>
      <c r="N185" t="s">
        <v>181</v>
      </c>
      <c r="O185" t="s">
        <v>450</v>
      </c>
      <c r="P185" t="str">
        <f>"3020672338"</f>
        <v>3020672338</v>
      </c>
      <c r="R185" t="str">
        <f>"00030206723380"</f>
        <v>00030206723380</v>
      </c>
      <c r="S185" s="1">
        <v>41597</v>
      </c>
      <c r="T185" s="1">
        <v>41590</v>
      </c>
      <c r="U185" t="str">
        <f>"3020672338"</f>
        <v>3020672338</v>
      </c>
      <c r="V185" t="str">
        <f>"1010"</f>
        <v>1010</v>
      </c>
      <c r="W185" t="str">
        <f t="shared" si="34"/>
        <v>11</v>
      </c>
      <c r="X185" t="s">
        <v>75</v>
      </c>
      <c r="Y185" t="s">
        <v>173</v>
      </c>
      <c r="Z185" t="s">
        <v>180</v>
      </c>
      <c r="AA185" t="s">
        <v>181</v>
      </c>
      <c r="AB185" t="s">
        <v>79</v>
      </c>
      <c r="AD185" t="s">
        <v>80</v>
      </c>
      <c r="AE185" t="s">
        <v>81</v>
      </c>
      <c r="AF185" t="s">
        <v>82</v>
      </c>
      <c r="AG185" t="s">
        <v>83</v>
      </c>
      <c r="AH185" t="s">
        <v>84</v>
      </c>
      <c r="AJ185" t="str">
        <f t="shared" si="40"/>
        <v>1</v>
      </c>
      <c r="AK185" t="s">
        <v>118</v>
      </c>
      <c r="AL185" t="s">
        <v>143</v>
      </c>
      <c r="AM185" t="s">
        <v>95</v>
      </c>
      <c r="AN185" t="str">
        <f t="shared" si="39"/>
        <v>.9700</v>
      </c>
      <c r="AO185" t="str">
        <f>"10.32"</f>
        <v>10.32</v>
      </c>
      <c r="AP185" t="s">
        <v>119</v>
      </c>
      <c r="AQ185" t="str">
        <f>"10.32"</f>
        <v>10.32</v>
      </c>
      <c r="AR185">
        <v>0</v>
      </c>
      <c r="AS185">
        <v>-119</v>
      </c>
      <c r="AT185">
        <v>-119</v>
      </c>
      <c r="AU185">
        <v>0</v>
      </c>
      <c r="AV185">
        <v>0</v>
      </c>
      <c r="AW185">
        <v>0</v>
      </c>
      <c r="AX185">
        <v>-1118.3699999999999</v>
      </c>
      <c r="AY185">
        <v>-1118.3699999999999</v>
      </c>
      <c r="AZ185">
        <v>0</v>
      </c>
    </row>
    <row r="186" spans="1:52">
      <c r="A186" t="s">
        <v>65</v>
      </c>
      <c r="B186" t="s">
        <v>66</v>
      </c>
      <c r="C186" t="s">
        <v>67</v>
      </c>
      <c r="D186" t="s">
        <v>68</v>
      </c>
      <c r="E186" t="s">
        <v>69</v>
      </c>
      <c r="F186" t="s">
        <v>70</v>
      </c>
      <c r="G186" t="s">
        <v>71</v>
      </c>
      <c r="H186" t="s">
        <v>70</v>
      </c>
      <c r="I186" t="str">
        <f t="shared" si="32"/>
        <v>1010</v>
      </c>
      <c r="J186" t="str">
        <f t="shared" si="33"/>
        <v>05</v>
      </c>
      <c r="K186" t="s">
        <v>68</v>
      </c>
      <c r="L186" t="s">
        <v>72</v>
      </c>
      <c r="M186" t="s">
        <v>68</v>
      </c>
      <c r="N186" t="s">
        <v>181</v>
      </c>
      <c r="O186" t="s">
        <v>451</v>
      </c>
      <c r="P186" t="str">
        <f>"3020670322"</f>
        <v>3020670322</v>
      </c>
      <c r="R186" t="str">
        <f>"00030206703221"</f>
        <v>00030206703221</v>
      </c>
      <c r="S186" s="1">
        <v>40350</v>
      </c>
      <c r="T186" s="1">
        <v>40350</v>
      </c>
      <c r="U186" t="str">
        <f>"3020670322"</f>
        <v>3020670322</v>
      </c>
      <c r="V186" t="str">
        <f t="shared" ref="V186:V192" si="41">"1510"</f>
        <v>1510</v>
      </c>
      <c r="W186" t="str">
        <f t="shared" si="34"/>
        <v>11</v>
      </c>
      <c r="X186" t="s">
        <v>75</v>
      </c>
      <c r="Y186" t="s">
        <v>76</v>
      </c>
      <c r="Z186" t="s">
        <v>180</v>
      </c>
      <c r="AA186" t="s">
        <v>181</v>
      </c>
      <c r="AB186" t="s">
        <v>79</v>
      </c>
      <c r="AD186" t="s">
        <v>80</v>
      </c>
      <c r="AE186" t="s">
        <v>81</v>
      </c>
      <c r="AF186" t="s">
        <v>82</v>
      </c>
      <c r="AG186" t="s">
        <v>83</v>
      </c>
      <c r="AH186" t="s">
        <v>84</v>
      </c>
      <c r="AI186" t="str">
        <f>"01"</f>
        <v>01</v>
      </c>
      <c r="AJ186" t="str">
        <f t="shared" si="40"/>
        <v>1</v>
      </c>
      <c r="AK186" t="s">
        <v>93</v>
      </c>
      <c r="AL186" t="s">
        <v>94</v>
      </c>
      <c r="AM186" t="s">
        <v>95</v>
      </c>
      <c r="AN186" t="str">
        <f t="shared" si="39"/>
        <v>.9700</v>
      </c>
      <c r="AO186" t="str">
        <f>"11.41"</f>
        <v>11.41</v>
      </c>
      <c r="AP186" t="s">
        <v>96</v>
      </c>
      <c r="AQ186" t="str">
        <f>"11.41"</f>
        <v>11.41</v>
      </c>
      <c r="AR186">
        <v>10</v>
      </c>
      <c r="AS186">
        <v>-13</v>
      </c>
      <c r="AT186">
        <v>-3</v>
      </c>
      <c r="AU186">
        <v>114.09</v>
      </c>
      <c r="AV186">
        <v>13.69</v>
      </c>
      <c r="AW186">
        <v>100.4</v>
      </c>
      <c r="AX186">
        <v>-127.63</v>
      </c>
      <c r="AY186">
        <v>-27.23</v>
      </c>
      <c r="AZ186">
        <v>0</v>
      </c>
    </row>
    <row r="187" spans="1:52">
      <c r="A187" t="s">
        <v>65</v>
      </c>
      <c r="B187" t="s">
        <v>66</v>
      </c>
      <c r="C187" t="s">
        <v>67</v>
      </c>
      <c r="D187" t="s">
        <v>68</v>
      </c>
      <c r="E187" t="s">
        <v>69</v>
      </c>
      <c r="F187" t="s">
        <v>70</v>
      </c>
      <c r="G187" t="s">
        <v>71</v>
      </c>
      <c r="H187" t="s">
        <v>70</v>
      </c>
      <c r="I187" t="str">
        <f t="shared" si="32"/>
        <v>1010</v>
      </c>
      <c r="J187" t="str">
        <f t="shared" si="33"/>
        <v>05</v>
      </c>
      <c r="K187" t="s">
        <v>68</v>
      </c>
      <c r="L187" t="s">
        <v>72</v>
      </c>
      <c r="M187" t="s">
        <v>68</v>
      </c>
      <c r="N187" t="s">
        <v>181</v>
      </c>
      <c r="O187" t="s">
        <v>452</v>
      </c>
      <c r="P187" t="str">
        <f>"3020659502"</f>
        <v>3020659502</v>
      </c>
      <c r="R187" t="str">
        <f>"00030206595024"</f>
        <v>00030206595024</v>
      </c>
      <c r="S187" s="1">
        <v>36424</v>
      </c>
      <c r="T187" s="1">
        <v>36424</v>
      </c>
      <c r="U187" t="str">
        <f>"3020659502"</f>
        <v>3020659502</v>
      </c>
      <c r="V187" t="str">
        <f t="shared" si="41"/>
        <v>1510</v>
      </c>
      <c r="W187" t="str">
        <f t="shared" si="34"/>
        <v>11</v>
      </c>
      <c r="X187" t="s">
        <v>75</v>
      </c>
      <c r="Y187" t="s">
        <v>76</v>
      </c>
      <c r="Z187" t="s">
        <v>180</v>
      </c>
      <c r="AA187" t="s">
        <v>181</v>
      </c>
      <c r="AB187" t="s">
        <v>79</v>
      </c>
      <c r="AD187" t="s">
        <v>80</v>
      </c>
      <c r="AE187" t="s">
        <v>81</v>
      </c>
      <c r="AF187" t="s">
        <v>82</v>
      </c>
      <c r="AG187" t="s">
        <v>83</v>
      </c>
      <c r="AH187" t="s">
        <v>84</v>
      </c>
      <c r="AJ187" t="str">
        <f t="shared" si="40"/>
        <v>1</v>
      </c>
      <c r="AK187" t="s">
        <v>93</v>
      </c>
      <c r="AL187" t="s">
        <v>94</v>
      </c>
      <c r="AM187" t="s">
        <v>95</v>
      </c>
      <c r="AN187" t="str">
        <f t="shared" si="39"/>
        <v>.9700</v>
      </c>
      <c r="AO187" t="str">
        <f>"11.41"</f>
        <v>11.41</v>
      </c>
      <c r="AP187" t="s">
        <v>96</v>
      </c>
      <c r="AQ187" t="str">
        <f>"11.41"</f>
        <v>11.41</v>
      </c>
      <c r="AR187">
        <v>0</v>
      </c>
      <c r="AS187">
        <v>-1</v>
      </c>
      <c r="AT187">
        <v>-1</v>
      </c>
      <c r="AU187">
        <v>0</v>
      </c>
      <c r="AV187">
        <v>0</v>
      </c>
      <c r="AW187">
        <v>0</v>
      </c>
      <c r="AX187">
        <v>-10.34</v>
      </c>
      <c r="AY187">
        <v>-10.34</v>
      </c>
      <c r="AZ187">
        <v>0</v>
      </c>
    </row>
    <row r="188" spans="1:52">
      <c r="A188" t="s">
        <v>65</v>
      </c>
      <c r="B188" t="s">
        <v>66</v>
      </c>
      <c r="C188" t="s">
        <v>67</v>
      </c>
      <c r="D188" t="s">
        <v>68</v>
      </c>
      <c r="E188" t="s">
        <v>69</v>
      </c>
      <c r="F188" t="s">
        <v>70</v>
      </c>
      <c r="G188" t="s">
        <v>71</v>
      </c>
      <c r="H188" t="s">
        <v>70</v>
      </c>
      <c r="I188" t="str">
        <f t="shared" si="32"/>
        <v>1010</v>
      </c>
      <c r="J188" t="str">
        <f t="shared" si="33"/>
        <v>05</v>
      </c>
      <c r="K188" t="s">
        <v>68</v>
      </c>
      <c r="L188" t="s">
        <v>72</v>
      </c>
      <c r="M188" t="s">
        <v>68</v>
      </c>
      <c r="N188" t="s">
        <v>181</v>
      </c>
      <c r="O188" t="s">
        <v>453</v>
      </c>
      <c r="P188" t="s">
        <v>454</v>
      </c>
      <c r="R188" t="str">
        <f>"00030206527223"</f>
        <v>00030206527223</v>
      </c>
      <c r="S188" s="1">
        <v>33022</v>
      </c>
      <c r="T188" s="1">
        <v>33022</v>
      </c>
      <c r="U188" t="s">
        <v>454</v>
      </c>
      <c r="V188" t="str">
        <f t="shared" si="41"/>
        <v>1510</v>
      </c>
      <c r="W188" t="str">
        <f t="shared" si="34"/>
        <v>11</v>
      </c>
      <c r="X188" t="s">
        <v>75</v>
      </c>
      <c r="Y188" t="s">
        <v>76</v>
      </c>
      <c r="Z188" t="s">
        <v>180</v>
      </c>
      <c r="AA188" t="s">
        <v>181</v>
      </c>
      <c r="AB188" t="s">
        <v>79</v>
      </c>
      <c r="AD188" t="s">
        <v>80</v>
      </c>
      <c r="AE188" t="s">
        <v>81</v>
      </c>
      <c r="AF188" t="s">
        <v>82</v>
      </c>
      <c r="AG188" t="s">
        <v>83</v>
      </c>
      <c r="AH188" t="s">
        <v>84</v>
      </c>
      <c r="AI188" t="str">
        <f>"01"</f>
        <v>01</v>
      </c>
      <c r="AJ188" t="str">
        <f t="shared" si="40"/>
        <v>1</v>
      </c>
      <c r="AK188" t="s">
        <v>107</v>
      </c>
      <c r="AL188" t="s">
        <v>94</v>
      </c>
      <c r="AM188" t="s">
        <v>95</v>
      </c>
      <c r="AN188" t="str">
        <f t="shared" si="39"/>
        <v>.9700</v>
      </c>
      <c r="AO188" t="str">
        <f>"10.78"</f>
        <v>10.78</v>
      </c>
      <c r="AP188" t="s">
        <v>108</v>
      </c>
      <c r="AQ188" t="str">
        <f>"10.78"</f>
        <v>10.78</v>
      </c>
      <c r="AR188">
        <v>78</v>
      </c>
      <c r="AS188">
        <v>-1</v>
      </c>
      <c r="AT188">
        <v>77</v>
      </c>
      <c r="AU188">
        <v>841.15</v>
      </c>
      <c r="AV188">
        <v>94.48</v>
      </c>
      <c r="AW188">
        <v>746.67</v>
      </c>
      <c r="AX188">
        <v>-9.7100000000000009</v>
      </c>
      <c r="AY188">
        <v>736.96</v>
      </c>
      <c r="AZ188">
        <v>0</v>
      </c>
    </row>
    <row r="189" spans="1:52">
      <c r="A189" t="s">
        <v>65</v>
      </c>
      <c r="B189" t="s">
        <v>66</v>
      </c>
      <c r="C189" t="s">
        <v>67</v>
      </c>
      <c r="D189" t="s">
        <v>68</v>
      </c>
      <c r="E189" t="s">
        <v>69</v>
      </c>
      <c r="F189" t="s">
        <v>70</v>
      </c>
      <c r="G189" t="s">
        <v>71</v>
      </c>
      <c r="H189" t="s">
        <v>70</v>
      </c>
      <c r="I189" t="str">
        <f t="shared" si="32"/>
        <v>1010</v>
      </c>
      <c r="J189" t="str">
        <f t="shared" si="33"/>
        <v>05</v>
      </c>
      <c r="K189" t="s">
        <v>68</v>
      </c>
      <c r="L189" t="s">
        <v>72</v>
      </c>
      <c r="M189" t="s">
        <v>68</v>
      </c>
      <c r="N189" t="s">
        <v>181</v>
      </c>
      <c r="O189" t="s">
        <v>455</v>
      </c>
      <c r="P189" t="str">
        <f>"3020671602"</f>
        <v>3020671602</v>
      </c>
      <c r="R189" t="str">
        <f>"00030206716023"</f>
        <v>00030206716023</v>
      </c>
      <c r="S189" s="1">
        <v>41163</v>
      </c>
      <c r="T189" s="1">
        <v>41163</v>
      </c>
      <c r="U189" t="str">
        <f>"3020671602"</f>
        <v>3020671602</v>
      </c>
      <c r="V189" t="str">
        <f t="shared" si="41"/>
        <v>1510</v>
      </c>
      <c r="W189" t="str">
        <f t="shared" si="34"/>
        <v>11</v>
      </c>
      <c r="X189" t="s">
        <v>75</v>
      </c>
      <c r="Y189" t="s">
        <v>173</v>
      </c>
      <c r="Z189" t="s">
        <v>180</v>
      </c>
      <c r="AA189" t="s">
        <v>181</v>
      </c>
      <c r="AB189" t="s">
        <v>79</v>
      </c>
      <c r="AD189" t="s">
        <v>80</v>
      </c>
      <c r="AE189" t="s">
        <v>81</v>
      </c>
      <c r="AF189" t="s">
        <v>82</v>
      </c>
      <c r="AG189" t="s">
        <v>83</v>
      </c>
      <c r="AH189" t="s">
        <v>84</v>
      </c>
      <c r="AI189" t="str">
        <f>"01"</f>
        <v>01</v>
      </c>
      <c r="AJ189" t="str">
        <f t="shared" si="40"/>
        <v>1</v>
      </c>
      <c r="AK189" t="s">
        <v>101</v>
      </c>
      <c r="AL189" t="s">
        <v>94</v>
      </c>
      <c r="AM189" t="s">
        <v>95</v>
      </c>
      <c r="AN189" t="str">
        <f t="shared" si="39"/>
        <v>.9700</v>
      </c>
      <c r="AO189" t="str">
        <f>"9.07"</f>
        <v>9.07</v>
      </c>
      <c r="AP189" t="s">
        <v>102</v>
      </c>
      <c r="AQ189" t="str">
        <f>"9.07"</f>
        <v>9.07</v>
      </c>
      <c r="AR189">
        <v>11</v>
      </c>
      <c r="AS189">
        <v>-1</v>
      </c>
      <c r="AT189">
        <v>10</v>
      </c>
      <c r="AU189">
        <v>99.77</v>
      </c>
      <c r="AV189">
        <v>0</v>
      </c>
      <c r="AW189">
        <v>99.77</v>
      </c>
      <c r="AX189">
        <v>-8.09</v>
      </c>
      <c r="AY189">
        <v>91.68</v>
      </c>
      <c r="AZ189">
        <v>0</v>
      </c>
    </row>
    <row r="190" spans="1:52">
      <c r="A190" t="s">
        <v>65</v>
      </c>
      <c r="B190" t="s">
        <v>66</v>
      </c>
      <c r="C190" t="s">
        <v>67</v>
      </c>
      <c r="D190" t="s">
        <v>68</v>
      </c>
      <c r="E190" t="s">
        <v>69</v>
      </c>
      <c r="F190" t="s">
        <v>70</v>
      </c>
      <c r="G190" t="s">
        <v>71</v>
      </c>
      <c r="H190" t="s">
        <v>70</v>
      </c>
      <c r="I190" t="str">
        <f t="shared" si="32"/>
        <v>1010</v>
      </c>
      <c r="J190" t="str">
        <f t="shared" si="33"/>
        <v>05</v>
      </c>
      <c r="K190" t="s">
        <v>68</v>
      </c>
      <c r="L190" t="s">
        <v>72</v>
      </c>
      <c r="M190" t="s">
        <v>68</v>
      </c>
      <c r="N190" t="s">
        <v>181</v>
      </c>
      <c r="O190" t="s">
        <v>456</v>
      </c>
      <c r="P190" t="str">
        <f>"3020670682"</f>
        <v>3020670682</v>
      </c>
      <c r="R190" t="str">
        <f>"00030206706826"</f>
        <v>00030206706826</v>
      </c>
      <c r="S190" s="1">
        <v>40610</v>
      </c>
      <c r="T190" s="1">
        <v>40610</v>
      </c>
      <c r="U190" t="str">
        <f>"3020670682"</f>
        <v>3020670682</v>
      </c>
      <c r="V190" t="str">
        <f t="shared" si="41"/>
        <v>1510</v>
      </c>
      <c r="W190" t="str">
        <f t="shared" si="34"/>
        <v>11</v>
      </c>
      <c r="X190" t="s">
        <v>75</v>
      </c>
      <c r="Y190" t="s">
        <v>76</v>
      </c>
      <c r="Z190" t="s">
        <v>180</v>
      </c>
      <c r="AA190" t="s">
        <v>181</v>
      </c>
      <c r="AB190" t="s">
        <v>79</v>
      </c>
      <c r="AD190" t="s">
        <v>80</v>
      </c>
      <c r="AE190" t="s">
        <v>81</v>
      </c>
      <c r="AF190" t="s">
        <v>82</v>
      </c>
      <c r="AG190" t="s">
        <v>83</v>
      </c>
      <c r="AH190" t="s">
        <v>84</v>
      </c>
      <c r="AI190" t="str">
        <f>"01"</f>
        <v>01</v>
      </c>
      <c r="AJ190" t="str">
        <f t="shared" si="40"/>
        <v>1</v>
      </c>
      <c r="AK190" t="s">
        <v>93</v>
      </c>
      <c r="AL190" t="s">
        <v>94</v>
      </c>
      <c r="AM190" t="s">
        <v>95</v>
      </c>
      <c r="AN190" t="str">
        <f t="shared" si="39"/>
        <v>.9700</v>
      </c>
      <c r="AO190" t="str">
        <f t="shared" ref="AO190:AO196" si="42">"11.41"</f>
        <v>11.41</v>
      </c>
      <c r="AP190" t="s">
        <v>96</v>
      </c>
      <c r="AQ190" t="str">
        <f t="shared" ref="AQ190:AQ196" si="43">"11.41"</f>
        <v>11.41</v>
      </c>
      <c r="AR190">
        <v>26</v>
      </c>
      <c r="AS190">
        <v>-9</v>
      </c>
      <c r="AT190">
        <v>17</v>
      </c>
      <c r="AU190">
        <v>296.64</v>
      </c>
      <c r="AV190">
        <v>35.6</v>
      </c>
      <c r="AW190">
        <v>261.04000000000002</v>
      </c>
      <c r="AX190">
        <v>-90.54</v>
      </c>
      <c r="AY190">
        <v>170.5</v>
      </c>
      <c r="AZ190">
        <v>0</v>
      </c>
    </row>
    <row r="191" spans="1:52">
      <c r="A191" t="s">
        <v>65</v>
      </c>
      <c r="B191" t="s">
        <v>66</v>
      </c>
      <c r="C191" t="s">
        <v>67</v>
      </c>
      <c r="D191" t="s">
        <v>68</v>
      </c>
      <c r="E191" t="s">
        <v>69</v>
      </c>
      <c r="F191" t="s">
        <v>70</v>
      </c>
      <c r="G191" t="s">
        <v>71</v>
      </c>
      <c r="H191" t="s">
        <v>70</v>
      </c>
      <c r="I191" t="str">
        <f t="shared" si="32"/>
        <v>1010</v>
      </c>
      <c r="J191" t="str">
        <f t="shared" si="33"/>
        <v>05</v>
      </c>
      <c r="K191" t="s">
        <v>68</v>
      </c>
      <c r="L191" t="s">
        <v>72</v>
      </c>
      <c r="M191" t="s">
        <v>68</v>
      </c>
      <c r="N191" t="s">
        <v>181</v>
      </c>
      <c r="O191" t="s">
        <v>457</v>
      </c>
      <c r="P191" t="str">
        <f>"3020671462"</f>
        <v>3020671462</v>
      </c>
      <c r="R191" t="str">
        <f>"00030206714623"</f>
        <v>00030206714623</v>
      </c>
      <c r="S191" s="1">
        <v>41037</v>
      </c>
      <c r="T191" s="1">
        <v>41037</v>
      </c>
      <c r="U191" t="str">
        <f>"3020671462"</f>
        <v>3020671462</v>
      </c>
      <c r="V191" t="str">
        <f t="shared" si="41"/>
        <v>1510</v>
      </c>
      <c r="W191" t="str">
        <f t="shared" si="34"/>
        <v>11</v>
      </c>
      <c r="X191" t="s">
        <v>75</v>
      </c>
      <c r="Y191" t="s">
        <v>76</v>
      </c>
      <c r="Z191" t="s">
        <v>180</v>
      </c>
      <c r="AA191" t="s">
        <v>181</v>
      </c>
      <c r="AB191" t="s">
        <v>79</v>
      </c>
      <c r="AD191" t="s">
        <v>80</v>
      </c>
      <c r="AE191" t="s">
        <v>81</v>
      </c>
      <c r="AF191" t="s">
        <v>82</v>
      </c>
      <c r="AG191" t="s">
        <v>83</v>
      </c>
      <c r="AH191" t="s">
        <v>84</v>
      </c>
      <c r="AI191" t="str">
        <f>"01"</f>
        <v>01</v>
      </c>
      <c r="AJ191" t="str">
        <f t="shared" si="40"/>
        <v>1</v>
      </c>
      <c r="AK191" t="s">
        <v>93</v>
      </c>
      <c r="AL191" t="s">
        <v>94</v>
      </c>
      <c r="AM191" t="s">
        <v>95</v>
      </c>
      <c r="AN191" t="str">
        <f t="shared" si="39"/>
        <v>.9700</v>
      </c>
      <c r="AO191" t="str">
        <f t="shared" si="42"/>
        <v>11.41</v>
      </c>
      <c r="AP191" t="s">
        <v>96</v>
      </c>
      <c r="AQ191" t="str">
        <f t="shared" si="43"/>
        <v>11.41</v>
      </c>
      <c r="AR191">
        <v>28</v>
      </c>
      <c r="AS191">
        <v>-14</v>
      </c>
      <c r="AT191">
        <v>14</v>
      </c>
      <c r="AU191">
        <v>303.45999999999998</v>
      </c>
      <c r="AV191">
        <v>0</v>
      </c>
      <c r="AW191">
        <v>303.45999999999998</v>
      </c>
      <c r="AX191">
        <v>-139.86000000000001</v>
      </c>
      <c r="AY191">
        <v>163.6</v>
      </c>
      <c r="AZ191">
        <v>0</v>
      </c>
    </row>
    <row r="192" spans="1:52">
      <c r="A192" t="s">
        <v>65</v>
      </c>
      <c r="B192" t="s">
        <v>66</v>
      </c>
      <c r="C192" t="s">
        <v>67</v>
      </c>
      <c r="D192" t="s">
        <v>68</v>
      </c>
      <c r="E192" t="s">
        <v>69</v>
      </c>
      <c r="F192" t="s">
        <v>70</v>
      </c>
      <c r="G192" t="s">
        <v>71</v>
      </c>
      <c r="H192" t="s">
        <v>70</v>
      </c>
      <c r="I192" t="str">
        <f t="shared" si="32"/>
        <v>1010</v>
      </c>
      <c r="J192" t="str">
        <f t="shared" si="33"/>
        <v>05</v>
      </c>
      <c r="K192" t="s">
        <v>68</v>
      </c>
      <c r="L192" t="s">
        <v>72</v>
      </c>
      <c r="M192" t="s">
        <v>68</v>
      </c>
      <c r="N192" t="s">
        <v>181</v>
      </c>
      <c r="O192" t="s">
        <v>458</v>
      </c>
      <c r="P192" t="str">
        <f>"3020671422"</f>
        <v>3020671422</v>
      </c>
      <c r="R192" t="str">
        <f>"00030206714227"</f>
        <v>00030206714227</v>
      </c>
      <c r="S192" s="1">
        <v>41002</v>
      </c>
      <c r="T192" s="1">
        <v>40988</v>
      </c>
      <c r="U192" t="str">
        <f>"3020671422"</f>
        <v>3020671422</v>
      </c>
      <c r="V192" t="str">
        <f t="shared" si="41"/>
        <v>1510</v>
      </c>
      <c r="W192" t="str">
        <f t="shared" si="34"/>
        <v>11</v>
      </c>
      <c r="X192" t="s">
        <v>75</v>
      </c>
      <c r="Y192" t="s">
        <v>139</v>
      </c>
      <c r="Z192" t="s">
        <v>180</v>
      </c>
      <c r="AA192" t="s">
        <v>181</v>
      </c>
      <c r="AB192" t="s">
        <v>79</v>
      </c>
      <c r="AD192" t="s">
        <v>80</v>
      </c>
      <c r="AE192" t="s">
        <v>81</v>
      </c>
      <c r="AF192" t="s">
        <v>82</v>
      </c>
      <c r="AG192" t="s">
        <v>83</v>
      </c>
      <c r="AH192" t="s">
        <v>84</v>
      </c>
      <c r="AI192" t="str">
        <f>"01"</f>
        <v>01</v>
      </c>
      <c r="AJ192" t="str">
        <f t="shared" si="40"/>
        <v>1</v>
      </c>
      <c r="AK192" t="s">
        <v>93</v>
      </c>
      <c r="AL192" t="s">
        <v>94</v>
      </c>
      <c r="AM192" t="s">
        <v>95</v>
      </c>
      <c r="AN192" t="str">
        <f>"1.9400"</f>
        <v>1.9400</v>
      </c>
      <c r="AO192" t="str">
        <f t="shared" si="42"/>
        <v>11.41</v>
      </c>
      <c r="AP192" t="s">
        <v>96</v>
      </c>
      <c r="AQ192" t="str">
        <f t="shared" si="43"/>
        <v>11.41</v>
      </c>
      <c r="AR192">
        <v>0</v>
      </c>
      <c r="AS192">
        <v>-1</v>
      </c>
      <c r="AT192">
        <v>-1</v>
      </c>
      <c r="AU192">
        <v>0</v>
      </c>
      <c r="AV192">
        <v>0</v>
      </c>
      <c r="AW192">
        <v>0</v>
      </c>
      <c r="AX192">
        <v>-10.25</v>
      </c>
      <c r="AY192">
        <v>-10.25</v>
      </c>
      <c r="AZ192">
        <v>0</v>
      </c>
    </row>
    <row r="193" spans="1:52">
      <c r="A193" t="s">
        <v>65</v>
      </c>
      <c r="B193" t="s">
        <v>66</v>
      </c>
      <c r="C193" t="s">
        <v>67</v>
      </c>
      <c r="D193" t="s">
        <v>68</v>
      </c>
      <c r="E193" t="s">
        <v>69</v>
      </c>
      <c r="F193" t="s">
        <v>70</v>
      </c>
      <c r="G193" t="s">
        <v>71</v>
      </c>
      <c r="H193" t="s">
        <v>70</v>
      </c>
      <c r="I193" t="str">
        <f t="shared" si="32"/>
        <v>1010</v>
      </c>
      <c r="J193" t="str">
        <f t="shared" si="33"/>
        <v>05</v>
      </c>
      <c r="K193" t="s">
        <v>68</v>
      </c>
      <c r="L193" t="s">
        <v>72</v>
      </c>
      <c r="M193" t="s">
        <v>68</v>
      </c>
      <c r="N193" t="s">
        <v>181</v>
      </c>
      <c r="O193" t="s">
        <v>459</v>
      </c>
      <c r="P193" t="str">
        <f>"3020672788"</f>
        <v>3020672788</v>
      </c>
      <c r="R193" t="str">
        <f>"00030206727883"</f>
        <v>00030206727883</v>
      </c>
      <c r="S193" s="1">
        <v>41778</v>
      </c>
      <c r="T193" s="1">
        <v>41772</v>
      </c>
      <c r="U193" t="str">
        <f>"3020672788"</f>
        <v>3020672788</v>
      </c>
      <c r="V193" t="str">
        <f>"1010"</f>
        <v>1010</v>
      </c>
      <c r="W193" t="str">
        <f t="shared" si="34"/>
        <v>11</v>
      </c>
      <c r="X193" t="s">
        <v>75</v>
      </c>
      <c r="Y193" t="s">
        <v>139</v>
      </c>
      <c r="Z193" t="s">
        <v>180</v>
      </c>
      <c r="AA193" t="s">
        <v>181</v>
      </c>
      <c r="AB193" t="s">
        <v>79</v>
      </c>
      <c r="AD193" t="s">
        <v>80</v>
      </c>
      <c r="AE193" t="s">
        <v>81</v>
      </c>
      <c r="AF193" t="s">
        <v>82</v>
      </c>
      <c r="AG193" t="s">
        <v>83</v>
      </c>
      <c r="AH193" t="s">
        <v>84</v>
      </c>
      <c r="AJ193" t="str">
        <f t="shared" si="40"/>
        <v>1</v>
      </c>
      <c r="AK193" t="s">
        <v>93</v>
      </c>
      <c r="AL193" t="s">
        <v>143</v>
      </c>
      <c r="AM193" t="s">
        <v>95</v>
      </c>
      <c r="AN193" t="str">
        <f t="shared" ref="AN193:AN201" si="44">".9700"</f>
        <v>.9700</v>
      </c>
      <c r="AO193" t="str">
        <f t="shared" si="42"/>
        <v>11.41</v>
      </c>
      <c r="AP193" t="s">
        <v>96</v>
      </c>
      <c r="AQ193" t="str">
        <f t="shared" si="43"/>
        <v>11.41</v>
      </c>
      <c r="AR193">
        <v>224</v>
      </c>
      <c r="AS193">
        <v>0</v>
      </c>
      <c r="AT193">
        <v>224</v>
      </c>
      <c r="AU193">
        <v>2366.69</v>
      </c>
      <c r="AV193">
        <v>0.8</v>
      </c>
      <c r="AW193">
        <v>2365.89</v>
      </c>
      <c r="AX193">
        <v>0</v>
      </c>
      <c r="AY193">
        <v>2365.89</v>
      </c>
      <c r="AZ193">
        <v>0</v>
      </c>
    </row>
    <row r="194" spans="1:52">
      <c r="A194" t="s">
        <v>65</v>
      </c>
      <c r="B194" t="s">
        <v>66</v>
      </c>
      <c r="C194" t="s">
        <v>67</v>
      </c>
      <c r="D194" t="s">
        <v>68</v>
      </c>
      <c r="E194" t="s">
        <v>69</v>
      </c>
      <c r="F194" t="s">
        <v>70</v>
      </c>
      <c r="G194" t="s">
        <v>71</v>
      </c>
      <c r="H194" t="s">
        <v>70</v>
      </c>
      <c r="I194" t="str">
        <f t="shared" si="32"/>
        <v>1010</v>
      </c>
      <c r="J194" t="str">
        <f t="shared" si="33"/>
        <v>05</v>
      </c>
      <c r="K194" t="s">
        <v>68</v>
      </c>
      <c r="L194" t="s">
        <v>72</v>
      </c>
      <c r="M194" t="s">
        <v>68</v>
      </c>
      <c r="N194" t="s">
        <v>181</v>
      </c>
      <c r="O194" t="s">
        <v>460</v>
      </c>
      <c r="P194" t="str">
        <f>"3020671312"</f>
        <v>3020671312</v>
      </c>
      <c r="R194" t="str">
        <f>"00030206713121"</f>
        <v>00030206713121</v>
      </c>
      <c r="S194" s="1">
        <v>40932</v>
      </c>
      <c r="T194" s="1">
        <v>40932</v>
      </c>
      <c r="U194" t="str">
        <f>"3020671312"</f>
        <v>3020671312</v>
      </c>
      <c r="V194" t="str">
        <f t="shared" ref="V194:V203" si="45">"1510"</f>
        <v>1510</v>
      </c>
      <c r="W194" t="str">
        <f t="shared" si="34"/>
        <v>11</v>
      </c>
      <c r="X194" t="s">
        <v>376</v>
      </c>
      <c r="Y194" t="s">
        <v>76</v>
      </c>
      <c r="Z194" t="s">
        <v>180</v>
      </c>
      <c r="AA194" t="s">
        <v>181</v>
      </c>
      <c r="AB194" t="s">
        <v>79</v>
      </c>
      <c r="AD194" t="s">
        <v>80</v>
      </c>
      <c r="AE194" t="s">
        <v>81</v>
      </c>
      <c r="AF194" t="s">
        <v>82</v>
      </c>
      <c r="AG194" t="s">
        <v>83</v>
      </c>
      <c r="AH194" t="s">
        <v>84</v>
      </c>
      <c r="AI194" t="str">
        <f t="shared" ref="AI194:AI203" si="46">"01"</f>
        <v>01</v>
      </c>
      <c r="AJ194" t="str">
        <f t="shared" si="40"/>
        <v>1</v>
      </c>
      <c r="AK194" t="s">
        <v>93</v>
      </c>
      <c r="AL194" t="s">
        <v>94</v>
      </c>
      <c r="AM194" t="s">
        <v>95</v>
      </c>
      <c r="AN194" t="str">
        <f t="shared" si="44"/>
        <v>.9700</v>
      </c>
      <c r="AO194" t="str">
        <f t="shared" si="42"/>
        <v>11.41</v>
      </c>
      <c r="AP194" t="s">
        <v>96</v>
      </c>
      <c r="AQ194" t="str">
        <f t="shared" si="43"/>
        <v>11.41</v>
      </c>
      <c r="AR194">
        <v>0</v>
      </c>
      <c r="AS194">
        <v>-1</v>
      </c>
      <c r="AT194">
        <v>-1</v>
      </c>
      <c r="AU194">
        <v>0</v>
      </c>
      <c r="AV194">
        <v>0</v>
      </c>
      <c r="AW194">
        <v>0</v>
      </c>
      <c r="AX194">
        <v>-9.92</v>
      </c>
      <c r="AY194">
        <v>-9.92</v>
      </c>
      <c r="AZ194">
        <v>0</v>
      </c>
    </row>
    <row r="195" spans="1:52">
      <c r="A195" t="s">
        <v>65</v>
      </c>
      <c r="B195" t="s">
        <v>66</v>
      </c>
      <c r="C195" t="s">
        <v>67</v>
      </c>
      <c r="D195" t="s">
        <v>68</v>
      </c>
      <c r="E195" t="s">
        <v>69</v>
      </c>
      <c r="F195" t="s">
        <v>70</v>
      </c>
      <c r="G195" t="s">
        <v>71</v>
      </c>
      <c r="H195" t="s">
        <v>70</v>
      </c>
      <c r="I195" t="str">
        <f t="shared" si="32"/>
        <v>1010</v>
      </c>
      <c r="J195" t="str">
        <f t="shared" si="33"/>
        <v>05</v>
      </c>
      <c r="K195" t="s">
        <v>68</v>
      </c>
      <c r="L195" t="s">
        <v>72</v>
      </c>
      <c r="M195" t="s">
        <v>68</v>
      </c>
      <c r="N195" t="s">
        <v>181</v>
      </c>
      <c r="O195" t="s">
        <v>461</v>
      </c>
      <c r="P195" t="str">
        <f>"3020671342"</f>
        <v>3020671342</v>
      </c>
      <c r="R195" t="str">
        <f>"00030206713428"</f>
        <v>00030206713428</v>
      </c>
      <c r="S195" s="1">
        <v>40953</v>
      </c>
      <c r="T195" s="1">
        <v>40946</v>
      </c>
      <c r="U195" t="str">
        <f>"3020671342"</f>
        <v>3020671342</v>
      </c>
      <c r="V195" t="str">
        <f t="shared" si="45"/>
        <v>1510</v>
      </c>
      <c r="W195" t="str">
        <f t="shared" si="34"/>
        <v>11</v>
      </c>
      <c r="X195" t="s">
        <v>75</v>
      </c>
      <c r="Y195" t="s">
        <v>76</v>
      </c>
      <c r="Z195" t="s">
        <v>180</v>
      </c>
      <c r="AA195" t="s">
        <v>181</v>
      </c>
      <c r="AB195" t="s">
        <v>79</v>
      </c>
      <c r="AD195" t="s">
        <v>80</v>
      </c>
      <c r="AE195" t="s">
        <v>81</v>
      </c>
      <c r="AF195" t="s">
        <v>82</v>
      </c>
      <c r="AG195" t="s">
        <v>83</v>
      </c>
      <c r="AH195" t="s">
        <v>84</v>
      </c>
      <c r="AI195" t="str">
        <f t="shared" si="46"/>
        <v>01</v>
      </c>
      <c r="AJ195" t="str">
        <f t="shared" si="40"/>
        <v>1</v>
      </c>
      <c r="AK195" t="s">
        <v>93</v>
      </c>
      <c r="AL195" t="s">
        <v>94</v>
      </c>
      <c r="AM195" t="s">
        <v>95</v>
      </c>
      <c r="AN195" t="str">
        <f t="shared" si="44"/>
        <v>.9700</v>
      </c>
      <c r="AO195" t="str">
        <f t="shared" si="42"/>
        <v>11.41</v>
      </c>
      <c r="AP195" t="s">
        <v>96</v>
      </c>
      <c r="AQ195" t="str">
        <f t="shared" si="43"/>
        <v>11.41</v>
      </c>
      <c r="AR195">
        <v>4</v>
      </c>
      <c r="AS195">
        <v>-1</v>
      </c>
      <c r="AT195">
        <v>3</v>
      </c>
      <c r="AU195">
        <v>45.64</v>
      </c>
      <c r="AV195">
        <v>0</v>
      </c>
      <c r="AW195">
        <v>45.64</v>
      </c>
      <c r="AX195">
        <v>-9.92</v>
      </c>
      <c r="AY195">
        <v>35.72</v>
      </c>
      <c r="AZ195">
        <v>0</v>
      </c>
    </row>
    <row r="196" spans="1:52">
      <c r="A196" t="s">
        <v>65</v>
      </c>
      <c r="B196" t="s">
        <v>66</v>
      </c>
      <c r="C196" t="s">
        <v>67</v>
      </c>
      <c r="D196" t="s">
        <v>68</v>
      </c>
      <c r="E196" t="s">
        <v>69</v>
      </c>
      <c r="F196" t="s">
        <v>70</v>
      </c>
      <c r="G196" t="s">
        <v>71</v>
      </c>
      <c r="H196" t="s">
        <v>70</v>
      </c>
      <c r="I196" t="str">
        <f t="shared" si="32"/>
        <v>1010</v>
      </c>
      <c r="J196" t="str">
        <f t="shared" si="33"/>
        <v>05</v>
      </c>
      <c r="K196" t="s">
        <v>68</v>
      </c>
      <c r="L196" t="s">
        <v>72</v>
      </c>
      <c r="M196" t="s">
        <v>68</v>
      </c>
      <c r="N196" t="s">
        <v>181</v>
      </c>
      <c r="O196" t="s">
        <v>462</v>
      </c>
      <c r="P196" t="str">
        <f>"3020667802"</f>
        <v>3020667802</v>
      </c>
      <c r="R196" t="str">
        <f>"00030206678024"</f>
        <v>00030206678024</v>
      </c>
      <c r="S196" s="1">
        <v>39070</v>
      </c>
      <c r="T196" s="1">
        <v>39070</v>
      </c>
      <c r="U196" t="str">
        <f>"3020667802"</f>
        <v>3020667802</v>
      </c>
      <c r="V196" t="str">
        <f t="shared" si="45"/>
        <v>1510</v>
      </c>
      <c r="W196" t="str">
        <f t="shared" si="34"/>
        <v>11</v>
      </c>
      <c r="X196" t="s">
        <v>75</v>
      </c>
      <c r="Y196" t="s">
        <v>76</v>
      </c>
      <c r="Z196" t="s">
        <v>180</v>
      </c>
      <c r="AA196" t="s">
        <v>181</v>
      </c>
      <c r="AB196" t="s">
        <v>79</v>
      </c>
      <c r="AD196" t="s">
        <v>80</v>
      </c>
      <c r="AE196" t="s">
        <v>81</v>
      </c>
      <c r="AF196" t="s">
        <v>82</v>
      </c>
      <c r="AG196" t="s">
        <v>83</v>
      </c>
      <c r="AH196" t="s">
        <v>84</v>
      </c>
      <c r="AI196" t="str">
        <f t="shared" si="46"/>
        <v>01</v>
      </c>
      <c r="AJ196" t="str">
        <f t="shared" si="40"/>
        <v>1</v>
      </c>
      <c r="AK196" t="s">
        <v>93</v>
      </c>
      <c r="AL196" t="s">
        <v>94</v>
      </c>
      <c r="AM196" t="s">
        <v>95</v>
      </c>
      <c r="AN196" t="str">
        <f t="shared" si="44"/>
        <v>.9700</v>
      </c>
      <c r="AO196" t="str">
        <f t="shared" si="42"/>
        <v>11.41</v>
      </c>
      <c r="AP196" t="s">
        <v>96</v>
      </c>
      <c r="AQ196" t="str">
        <f t="shared" si="43"/>
        <v>11.41</v>
      </c>
      <c r="AR196">
        <v>34</v>
      </c>
      <c r="AS196">
        <v>-2</v>
      </c>
      <c r="AT196">
        <v>32</v>
      </c>
      <c r="AU196">
        <v>387.91</v>
      </c>
      <c r="AV196">
        <v>42.44</v>
      </c>
      <c r="AW196">
        <v>345.47</v>
      </c>
      <c r="AX196">
        <v>-20.76</v>
      </c>
      <c r="AY196">
        <v>324.70999999999998</v>
      </c>
      <c r="AZ196">
        <v>0</v>
      </c>
    </row>
    <row r="197" spans="1:52">
      <c r="A197" t="s">
        <v>65</v>
      </c>
      <c r="B197" t="s">
        <v>66</v>
      </c>
      <c r="C197" t="s">
        <v>67</v>
      </c>
      <c r="D197" t="s">
        <v>68</v>
      </c>
      <c r="E197" t="s">
        <v>69</v>
      </c>
      <c r="F197" t="s">
        <v>70</v>
      </c>
      <c r="G197" t="s">
        <v>71</v>
      </c>
      <c r="H197" t="s">
        <v>70</v>
      </c>
      <c r="I197" t="str">
        <f t="shared" si="32"/>
        <v>1010</v>
      </c>
      <c r="J197" t="str">
        <f t="shared" si="33"/>
        <v>05</v>
      </c>
      <c r="K197" t="s">
        <v>68</v>
      </c>
      <c r="L197" t="s">
        <v>72</v>
      </c>
      <c r="M197" t="s">
        <v>68</v>
      </c>
      <c r="N197" t="s">
        <v>181</v>
      </c>
      <c r="O197" t="s">
        <v>463</v>
      </c>
      <c r="P197" t="s">
        <v>464</v>
      </c>
      <c r="R197" t="str">
        <f>"00030206829228"</f>
        <v>00030206829228</v>
      </c>
      <c r="S197" s="1">
        <v>32461</v>
      </c>
      <c r="T197" s="1">
        <v>32461</v>
      </c>
      <c r="U197" t="s">
        <v>464</v>
      </c>
      <c r="V197" t="str">
        <f t="shared" si="45"/>
        <v>1510</v>
      </c>
      <c r="W197" t="str">
        <f t="shared" si="34"/>
        <v>11</v>
      </c>
      <c r="X197" t="s">
        <v>75</v>
      </c>
      <c r="Y197" t="s">
        <v>76</v>
      </c>
      <c r="Z197" t="s">
        <v>180</v>
      </c>
      <c r="AA197" t="s">
        <v>181</v>
      </c>
      <c r="AB197" t="s">
        <v>79</v>
      </c>
      <c r="AD197" t="s">
        <v>80</v>
      </c>
      <c r="AE197" t="s">
        <v>81</v>
      </c>
      <c r="AF197" t="s">
        <v>82</v>
      </c>
      <c r="AG197" t="s">
        <v>83</v>
      </c>
      <c r="AH197" t="s">
        <v>84</v>
      </c>
      <c r="AI197" t="str">
        <f t="shared" si="46"/>
        <v>01</v>
      </c>
      <c r="AJ197" t="str">
        <f t="shared" si="40"/>
        <v>1</v>
      </c>
      <c r="AK197" t="s">
        <v>107</v>
      </c>
      <c r="AL197" t="s">
        <v>94</v>
      </c>
      <c r="AM197" t="s">
        <v>95</v>
      </c>
      <c r="AN197" t="str">
        <f t="shared" si="44"/>
        <v>.9700</v>
      </c>
      <c r="AO197" t="str">
        <f>"10.78"</f>
        <v>10.78</v>
      </c>
      <c r="AP197" t="s">
        <v>108</v>
      </c>
      <c r="AQ197" t="str">
        <f>"10.78"</f>
        <v>10.78</v>
      </c>
      <c r="AR197">
        <v>43</v>
      </c>
      <c r="AS197">
        <v>0</v>
      </c>
      <c r="AT197">
        <v>43</v>
      </c>
      <c r="AU197">
        <v>461.4</v>
      </c>
      <c r="AV197">
        <v>44</v>
      </c>
      <c r="AW197">
        <v>417.4</v>
      </c>
      <c r="AX197">
        <v>0</v>
      </c>
      <c r="AY197">
        <v>417.4</v>
      </c>
      <c r="AZ197">
        <v>0</v>
      </c>
    </row>
    <row r="198" spans="1:52">
      <c r="A198" t="s">
        <v>65</v>
      </c>
      <c r="B198" t="s">
        <v>66</v>
      </c>
      <c r="C198" t="s">
        <v>67</v>
      </c>
      <c r="D198" t="s">
        <v>68</v>
      </c>
      <c r="E198" t="s">
        <v>69</v>
      </c>
      <c r="F198" t="s">
        <v>70</v>
      </c>
      <c r="G198" t="s">
        <v>71</v>
      </c>
      <c r="H198" t="s">
        <v>70</v>
      </c>
      <c r="I198" t="str">
        <f t="shared" si="32"/>
        <v>1010</v>
      </c>
      <c r="J198" t="str">
        <f t="shared" si="33"/>
        <v>05</v>
      </c>
      <c r="K198" t="s">
        <v>68</v>
      </c>
      <c r="L198" t="s">
        <v>72</v>
      </c>
      <c r="M198" t="s">
        <v>68</v>
      </c>
      <c r="N198" t="s">
        <v>181</v>
      </c>
      <c r="O198" t="s">
        <v>465</v>
      </c>
      <c r="P198" t="str">
        <f>"3020670912"</f>
        <v>3020670912</v>
      </c>
      <c r="R198" t="str">
        <f>"00030206709124"</f>
        <v>00030206709124</v>
      </c>
      <c r="S198" s="1">
        <v>40708</v>
      </c>
      <c r="T198" s="1">
        <v>40680</v>
      </c>
      <c r="U198" t="str">
        <f>"3020670912"</f>
        <v>3020670912</v>
      </c>
      <c r="V198" t="str">
        <f t="shared" si="45"/>
        <v>1510</v>
      </c>
      <c r="W198" t="str">
        <f t="shared" si="34"/>
        <v>11</v>
      </c>
      <c r="X198" t="s">
        <v>75</v>
      </c>
      <c r="Y198" t="s">
        <v>76</v>
      </c>
      <c r="Z198" t="s">
        <v>180</v>
      </c>
      <c r="AA198" t="s">
        <v>181</v>
      </c>
      <c r="AB198" t="s">
        <v>79</v>
      </c>
      <c r="AD198" t="s">
        <v>80</v>
      </c>
      <c r="AE198" t="s">
        <v>81</v>
      </c>
      <c r="AF198" t="s">
        <v>82</v>
      </c>
      <c r="AG198" t="s">
        <v>83</v>
      </c>
      <c r="AH198" t="s">
        <v>84</v>
      </c>
      <c r="AI198" t="str">
        <f t="shared" si="46"/>
        <v>01</v>
      </c>
      <c r="AJ198" t="str">
        <f t="shared" si="40"/>
        <v>1</v>
      </c>
      <c r="AK198" t="s">
        <v>93</v>
      </c>
      <c r="AL198" t="s">
        <v>94</v>
      </c>
      <c r="AM198" t="s">
        <v>95</v>
      </c>
      <c r="AN198" t="str">
        <f t="shared" si="44"/>
        <v>.9700</v>
      </c>
      <c r="AO198" t="str">
        <f t="shared" ref="AO198:AO210" si="47">"11.41"</f>
        <v>11.41</v>
      </c>
      <c r="AP198" t="s">
        <v>96</v>
      </c>
      <c r="AQ198" t="str">
        <f t="shared" ref="AQ198:AQ210" si="48">"11.41"</f>
        <v>11.41</v>
      </c>
      <c r="AR198">
        <v>22</v>
      </c>
      <c r="AS198">
        <v>0</v>
      </c>
      <c r="AT198">
        <v>22</v>
      </c>
      <c r="AU198">
        <v>251</v>
      </c>
      <c r="AV198">
        <v>27.38</v>
      </c>
      <c r="AW198">
        <v>223.62</v>
      </c>
      <c r="AX198">
        <v>0</v>
      </c>
      <c r="AY198">
        <v>223.62</v>
      </c>
      <c r="AZ198">
        <v>0</v>
      </c>
    </row>
    <row r="199" spans="1:52">
      <c r="A199" t="s">
        <v>65</v>
      </c>
      <c r="B199" t="s">
        <v>66</v>
      </c>
      <c r="C199" t="s">
        <v>67</v>
      </c>
      <c r="D199" t="s">
        <v>68</v>
      </c>
      <c r="E199" t="s">
        <v>69</v>
      </c>
      <c r="F199" t="s">
        <v>70</v>
      </c>
      <c r="G199" t="s">
        <v>71</v>
      </c>
      <c r="H199" t="s">
        <v>70</v>
      </c>
      <c r="I199" t="str">
        <f t="shared" si="32"/>
        <v>1010</v>
      </c>
      <c r="J199" t="str">
        <f t="shared" si="33"/>
        <v>05</v>
      </c>
      <c r="K199" t="s">
        <v>68</v>
      </c>
      <c r="L199" t="s">
        <v>72</v>
      </c>
      <c r="M199" t="s">
        <v>68</v>
      </c>
      <c r="N199" t="s">
        <v>181</v>
      </c>
      <c r="O199" t="s">
        <v>466</v>
      </c>
      <c r="P199" t="str">
        <f>"3020663672"</f>
        <v>3020663672</v>
      </c>
      <c r="R199" t="str">
        <f>"00030206636727"</f>
        <v>00030206636727</v>
      </c>
      <c r="S199" s="1">
        <v>37418</v>
      </c>
      <c r="T199" s="1">
        <v>37418</v>
      </c>
      <c r="U199" t="str">
        <f>"3020663672"</f>
        <v>3020663672</v>
      </c>
      <c r="V199" t="str">
        <f t="shared" si="45"/>
        <v>1510</v>
      </c>
      <c r="W199" t="str">
        <f t="shared" si="34"/>
        <v>11</v>
      </c>
      <c r="X199" t="s">
        <v>75</v>
      </c>
      <c r="Y199" t="s">
        <v>76</v>
      </c>
      <c r="Z199" t="s">
        <v>180</v>
      </c>
      <c r="AA199" t="s">
        <v>181</v>
      </c>
      <c r="AB199" t="s">
        <v>79</v>
      </c>
      <c r="AD199" t="s">
        <v>80</v>
      </c>
      <c r="AE199" t="s">
        <v>81</v>
      </c>
      <c r="AF199" t="s">
        <v>82</v>
      </c>
      <c r="AG199" t="s">
        <v>83</v>
      </c>
      <c r="AH199" t="s">
        <v>84</v>
      </c>
      <c r="AI199" t="str">
        <f t="shared" si="46"/>
        <v>01</v>
      </c>
      <c r="AJ199" t="str">
        <f t="shared" si="40"/>
        <v>1</v>
      </c>
      <c r="AK199" t="s">
        <v>93</v>
      </c>
      <c r="AL199" t="s">
        <v>94</v>
      </c>
      <c r="AM199" t="s">
        <v>95</v>
      </c>
      <c r="AN199" t="str">
        <f t="shared" si="44"/>
        <v>.9700</v>
      </c>
      <c r="AO199" t="str">
        <f t="shared" si="47"/>
        <v>11.41</v>
      </c>
      <c r="AP199" t="s">
        <v>96</v>
      </c>
      <c r="AQ199" t="str">
        <f t="shared" si="48"/>
        <v>11.41</v>
      </c>
      <c r="AR199">
        <v>25</v>
      </c>
      <c r="AS199">
        <v>-2</v>
      </c>
      <c r="AT199">
        <v>23</v>
      </c>
      <c r="AU199">
        <v>285.24</v>
      </c>
      <c r="AV199">
        <v>28.76</v>
      </c>
      <c r="AW199">
        <v>256.48</v>
      </c>
      <c r="AX199">
        <v>-20.83</v>
      </c>
      <c r="AY199">
        <v>235.65</v>
      </c>
      <c r="AZ199">
        <v>0</v>
      </c>
    </row>
    <row r="200" spans="1:52">
      <c r="A200" t="s">
        <v>65</v>
      </c>
      <c r="B200" t="s">
        <v>66</v>
      </c>
      <c r="C200" t="s">
        <v>67</v>
      </c>
      <c r="D200" t="s">
        <v>68</v>
      </c>
      <c r="E200" t="s">
        <v>69</v>
      </c>
      <c r="F200" t="s">
        <v>70</v>
      </c>
      <c r="G200" t="s">
        <v>71</v>
      </c>
      <c r="H200" t="s">
        <v>70</v>
      </c>
      <c r="I200" t="str">
        <f t="shared" si="32"/>
        <v>1010</v>
      </c>
      <c r="J200" t="str">
        <f t="shared" si="33"/>
        <v>05</v>
      </c>
      <c r="K200" t="s">
        <v>68</v>
      </c>
      <c r="L200" t="s">
        <v>72</v>
      </c>
      <c r="M200" t="s">
        <v>68</v>
      </c>
      <c r="N200" t="s">
        <v>181</v>
      </c>
      <c r="O200" t="s">
        <v>467</v>
      </c>
      <c r="P200" t="str">
        <f>"3020671582"</f>
        <v>3020671582</v>
      </c>
      <c r="R200" t="str">
        <f>"00030206715828"</f>
        <v>00030206715828</v>
      </c>
      <c r="S200" s="1">
        <v>41128</v>
      </c>
      <c r="T200" s="1">
        <v>41121</v>
      </c>
      <c r="U200" t="str">
        <f>"3020671582"</f>
        <v>3020671582</v>
      </c>
      <c r="V200" t="str">
        <f t="shared" si="45"/>
        <v>1510</v>
      </c>
      <c r="W200" t="str">
        <f t="shared" si="34"/>
        <v>11</v>
      </c>
      <c r="X200" t="s">
        <v>75</v>
      </c>
      <c r="Y200" t="s">
        <v>76</v>
      </c>
      <c r="Z200" t="s">
        <v>180</v>
      </c>
      <c r="AA200" t="s">
        <v>181</v>
      </c>
      <c r="AB200" t="s">
        <v>79</v>
      </c>
      <c r="AD200" t="s">
        <v>80</v>
      </c>
      <c r="AE200" t="s">
        <v>81</v>
      </c>
      <c r="AF200" t="s">
        <v>82</v>
      </c>
      <c r="AG200" t="s">
        <v>83</v>
      </c>
      <c r="AH200" t="s">
        <v>84</v>
      </c>
      <c r="AI200" t="str">
        <f t="shared" si="46"/>
        <v>01</v>
      </c>
      <c r="AJ200" t="str">
        <f t="shared" si="40"/>
        <v>1</v>
      </c>
      <c r="AK200" t="s">
        <v>93</v>
      </c>
      <c r="AL200" t="s">
        <v>94</v>
      </c>
      <c r="AM200" t="s">
        <v>95</v>
      </c>
      <c r="AN200" t="str">
        <f t="shared" si="44"/>
        <v>.9700</v>
      </c>
      <c r="AO200" t="str">
        <f t="shared" si="47"/>
        <v>11.41</v>
      </c>
      <c r="AP200" t="s">
        <v>96</v>
      </c>
      <c r="AQ200" t="str">
        <f t="shared" si="48"/>
        <v>11.41</v>
      </c>
      <c r="AR200">
        <v>23</v>
      </c>
      <c r="AS200">
        <v>-36</v>
      </c>
      <c r="AT200">
        <v>-13</v>
      </c>
      <c r="AU200">
        <v>257.43</v>
      </c>
      <c r="AV200">
        <v>0</v>
      </c>
      <c r="AW200">
        <v>257.43</v>
      </c>
      <c r="AX200">
        <v>-356.61</v>
      </c>
      <c r="AY200">
        <v>-99.18</v>
      </c>
      <c r="AZ200">
        <v>0</v>
      </c>
    </row>
    <row r="201" spans="1:52">
      <c r="A201" t="s">
        <v>65</v>
      </c>
      <c r="B201" t="s">
        <v>66</v>
      </c>
      <c r="C201" t="s">
        <v>67</v>
      </c>
      <c r="D201" t="s">
        <v>68</v>
      </c>
      <c r="E201" t="s">
        <v>69</v>
      </c>
      <c r="F201" t="s">
        <v>70</v>
      </c>
      <c r="G201" t="s">
        <v>71</v>
      </c>
      <c r="H201" t="s">
        <v>70</v>
      </c>
      <c r="I201" t="str">
        <f t="shared" si="32"/>
        <v>1010</v>
      </c>
      <c r="J201" t="str">
        <f t="shared" si="33"/>
        <v>05</v>
      </c>
      <c r="K201" t="s">
        <v>68</v>
      </c>
      <c r="L201" t="s">
        <v>72</v>
      </c>
      <c r="M201" t="s">
        <v>68</v>
      </c>
      <c r="N201" t="s">
        <v>181</v>
      </c>
      <c r="O201" t="s">
        <v>468</v>
      </c>
      <c r="P201" t="str">
        <f>"3020665922"</f>
        <v>3020665922</v>
      </c>
      <c r="R201" t="str">
        <f>"00030206659221"</f>
        <v>00030206659221</v>
      </c>
      <c r="S201" s="1">
        <v>38195</v>
      </c>
      <c r="T201" s="1">
        <v>38188</v>
      </c>
      <c r="U201" t="str">
        <f>"3020665922"</f>
        <v>3020665922</v>
      </c>
      <c r="V201" t="str">
        <f t="shared" si="45"/>
        <v>1510</v>
      </c>
      <c r="W201" t="str">
        <f t="shared" si="34"/>
        <v>11</v>
      </c>
      <c r="X201" t="s">
        <v>75</v>
      </c>
      <c r="Y201" t="s">
        <v>76</v>
      </c>
      <c r="Z201" t="s">
        <v>180</v>
      </c>
      <c r="AA201" t="s">
        <v>181</v>
      </c>
      <c r="AB201" t="s">
        <v>79</v>
      </c>
      <c r="AD201" t="s">
        <v>80</v>
      </c>
      <c r="AE201" t="s">
        <v>81</v>
      </c>
      <c r="AF201" t="s">
        <v>82</v>
      </c>
      <c r="AG201" t="s">
        <v>83</v>
      </c>
      <c r="AH201" t="s">
        <v>84</v>
      </c>
      <c r="AI201" t="str">
        <f t="shared" si="46"/>
        <v>01</v>
      </c>
      <c r="AJ201" t="str">
        <f t="shared" si="40"/>
        <v>1</v>
      </c>
      <c r="AK201" t="s">
        <v>93</v>
      </c>
      <c r="AL201" t="s">
        <v>94</v>
      </c>
      <c r="AM201" t="s">
        <v>95</v>
      </c>
      <c r="AN201" t="str">
        <f t="shared" si="44"/>
        <v>.9700</v>
      </c>
      <c r="AO201" t="str">
        <f t="shared" si="47"/>
        <v>11.41</v>
      </c>
      <c r="AP201" t="s">
        <v>96</v>
      </c>
      <c r="AQ201" t="str">
        <f t="shared" si="48"/>
        <v>11.41</v>
      </c>
      <c r="AR201">
        <v>99</v>
      </c>
      <c r="AS201">
        <v>-1</v>
      </c>
      <c r="AT201">
        <v>98</v>
      </c>
      <c r="AU201">
        <v>1129.51</v>
      </c>
      <c r="AV201">
        <v>128.69999999999999</v>
      </c>
      <c r="AW201">
        <v>1000.81</v>
      </c>
      <c r="AX201">
        <v>-10.69</v>
      </c>
      <c r="AY201">
        <v>990.12</v>
      </c>
      <c r="AZ201">
        <v>0</v>
      </c>
    </row>
    <row r="202" spans="1:52">
      <c r="A202" t="s">
        <v>65</v>
      </c>
      <c r="B202" t="s">
        <v>66</v>
      </c>
      <c r="C202" t="s">
        <v>67</v>
      </c>
      <c r="D202" t="s">
        <v>68</v>
      </c>
      <c r="E202" t="s">
        <v>69</v>
      </c>
      <c r="F202" t="s">
        <v>70</v>
      </c>
      <c r="G202" t="s">
        <v>71</v>
      </c>
      <c r="H202" t="s">
        <v>70</v>
      </c>
      <c r="I202" t="str">
        <f t="shared" ref="I202:I265" si="49">"1010"</f>
        <v>1010</v>
      </c>
      <c r="J202" t="str">
        <f t="shared" ref="J202:J265" si="50">"05"</f>
        <v>05</v>
      </c>
      <c r="K202" t="s">
        <v>68</v>
      </c>
      <c r="L202" t="s">
        <v>72</v>
      </c>
      <c r="M202" t="s">
        <v>68</v>
      </c>
      <c r="N202" t="s">
        <v>181</v>
      </c>
      <c r="O202" t="s">
        <v>469</v>
      </c>
      <c r="P202" t="str">
        <f>"3020671432"</f>
        <v>3020671432</v>
      </c>
      <c r="R202" t="str">
        <f>"00030206714326"</f>
        <v>00030206714326</v>
      </c>
      <c r="S202" s="1">
        <v>40988</v>
      </c>
      <c r="T202" s="1">
        <v>40988</v>
      </c>
      <c r="U202" t="str">
        <f>"3020671432"</f>
        <v>3020671432</v>
      </c>
      <c r="V202" t="str">
        <f t="shared" si="45"/>
        <v>1510</v>
      </c>
      <c r="W202" t="str">
        <f t="shared" ref="W202:W265" si="51">"11"</f>
        <v>11</v>
      </c>
      <c r="X202" t="s">
        <v>75</v>
      </c>
      <c r="Y202" t="s">
        <v>76</v>
      </c>
      <c r="Z202" t="s">
        <v>180</v>
      </c>
      <c r="AA202" t="s">
        <v>181</v>
      </c>
      <c r="AB202" t="s">
        <v>79</v>
      </c>
      <c r="AD202" t="s">
        <v>80</v>
      </c>
      <c r="AE202" t="s">
        <v>81</v>
      </c>
      <c r="AF202" t="s">
        <v>82</v>
      </c>
      <c r="AG202" t="s">
        <v>83</v>
      </c>
      <c r="AH202" t="s">
        <v>84</v>
      </c>
      <c r="AI202" t="str">
        <f t="shared" si="46"/>
        <v>01</v>
      </c>
      <c r="AJ202" t="str">
        <f t="shared" si="40"/>
        <v>1</v>
      </c>
      <c r="AK202" t="s">
        <v>93</v>
      </c>
      <c r="AL202" t="s">
        <v>94</v>
      </c>
      <c r="AM202" t="s">
        <v>95</v>
      </c>
      <c r="AN202" t="str">
        <f>"1.9400"</f>
        <v>1.9400</v>
      </c>
      <c r="AO202" t="str">
        <f t="shared" si="47"/>
        <v>11.41</v>
      </c>
      <c r="AP202" t="s">
        <v>96</v>
      </c>
      <c r="AQ202" t="str">
        <f t="shared" si="48"/>
        <v>11.41</v>
      </c>
      <c r="AR202">
        <v>3</v>
      </c>
      <c r="AS202">
        <v>-1</v>
      </c>
      <c r="AT202">
        <v>2</v>
      </c>
      <c r="AU202">
        <v>34.229999999999997</v>
      </c>
      <c r="AV202">
        <v>0</v>
      </c>
      <c r="AW202">
        <v>34.229999999999997</v>
      </c>
      <c r="AX202">
        <v>-9.92</v>
      </c>
      <c r="AY202">
        <v>24.31</v>
      </c>
      <c r="AZ202">
        <v>0</v>
      </c>
    </row>
    <row r="203" spans="1:52">
      <c r="A203" t="s">
        <v>65</v>
      </c>
      <c r="B203" t="s">
        <v>66</v>
      </c>
      <c r="C203" t="s">
        <v>67</v>
      </c>
      <c r="D203" t="s">
        <v>68</v>
      </c>
      <c r="E203" t="s">
        <v>69</v>
      </c>
      <c r="F203" t="s">
        <v>70</v>
      </c>
      <c r="G203" t="s">
        <v>71</v>
      </c>
      <c r="H203" t="s">
        <v>70</v>
      </c>
      <c r="I203" t="str">
        <f t="shared" si="49"/>
        <v>1010</v>
      </c>
      <c r="J203" t="str">
        <f t="shared" si="50"/>
        <v>05</v>
      </c>
      <c r="K203" t="s">
        <v>68</v>
      </c>
      <c r="L203" t="s">
        <v>72</v>
      </c>
      <c r="M203" t="s">
        <v>68</v>
      </c>
      <c r="N203" t="s">
        <v>181</v>
      </c>
      <c r="O203" t="s">
        <v>470</v>
      </c>
      <c r="P203" t="str">
        <f>"3020668772"</f>
        <v>3020668772</v>
      </c>
      <c r="R203" t="str">
        <f>"00030206687729"</f>
        <v>00030206687729</v>
      </c>
      <c r="S203" s="1">
        <v>39462</v>
      </c>
      <c r="T203" s="1">
        <v>39462</v>
      </c>
      <c r="U203" t="str">
        <f>"3020668772"</f>
        <v>3020668772</v>
      </c>
      <c r="V203" t="str">
        <f t="shared" si="45"/>
        <v>1510</v>
      </c>
      <c r="W203" t="str">
        <f t="shared" si="51"/>
        <v>11</v>
      </c>
      <c r="X203" t="s">
        <v>75</v>
      </c>
      <c r="Y203" t="s">
        <v>76</v>
      </c>
      <c r="Z203" t="s">
        <v>180</v>
      </c>
      <c r="AA203" t="s">
        <v>181</v>
      </c>
      <c r="AB203" t="s">
        <v>79</v>
      </c>
      <c r="AD203" t="s">
        <v>80</v>
      </c>
      <c r="AE203" t="s">
        <v>81</v>
      </c>
      <c r="AF203" t="s">
        <v>82</v>
      </c>
      <c r="AG203" t="s">
        <v>83</v>
      </c>
      <c r="AH203" t="s">
        <v>84</v>
      </c>
      <c r="AI203" t="str">
        <f t="shared" si="46"/>
        <v>01</v>
      </c>
      <c r="AJ203" t="str">
        <f t="shared" si="40"/>
        <v>1</v>
      </c>
      <c r="AK203" t="s">
        <v>93</v>
      </c>
      <c r="AL203" t="s">
        <v>94</v>
      </c>
      <c r="AM203" t="s">
        <v>95</v>
      </c>
      <c r="AN203" t="str">
        <f t="shared" ref="AN203:AN266" si="52">".9700"</f>
        <v>.9700</v>
      </c>
      <c r="AO203" t="str">
        <f t="shared" si="47"/>
        <v>11.41</v>
      </c>
      <c r="AP203" t="s">
        <v>96</v>
      </c>
      <c r="AQ203" t="str">
        <f t="shared" si="48"/>
        <v>11.41</v>
      </c>
      <c r="AR203">
        <v>9</v>
      </c>
      <c r="AS203">
        <v>0</v>
      </c>
      <c r="AT203">
        <v>9</v>
      </c>
      <c r="AU203">
        <v>102.68</v>
      </c>
      <c r="AV203">
        <v>9.58</v>
      </c>
      <c r="AW203">
        <v>93.1</v>
      </c>
      <c r="AX203">
        <v>0</v>
      </c>
      <c r="AY203">
        <v>93.1</v>
      </c>
      <c r="AZ203">
        <v>0</v>
      </c>
    </row>
    <row r="204" spans="1:52">
      <c r="A204" t="s">
        <v>65</v>
      </c>
      <c r="B204" t="s">
        <v>66</v>
      </c>
      <c r="C204" t="s">
        <v>67</v>
      </c>
      <c r="D204" t="s">
        <v>68</v>
      </c>
      <c r="E204" t="s">
        <v>69</v>
      </c>
      <c r="F204" t="s">
        <v>70</v>
      </c>
      <c r="G204" t="s">
        <v>71</v>
      </c>
      <c r="H204" t="s">
        <v>70</v>
      </c>
      <c r="I204" t="str">
        <f t="shared" si="49"/>
        <v>1010</v>
      </c>
      <c r="J204" t="str">
        <f t="shared" si="50"/>
        <v>05</v>
      </c>
      <c r="K204" t="s">
        <v>68</v>
      </c>
      <c r="L204" t="s">
        <v>72</v>
      </c>
      <c r="M204" t="s">
        <v>68</v>
      </c>
      <c r="N204" t="s">
        <v>181</v>
      </c>
      <c r="O204" t="s">
        <v>471</v>
      </c>
      <c r="P204" t="str">
        <f>"3020671802"</f>
        <v>3020671802</v>
      </c>
      <c r="R204" t="str">
        <f>"00030206718027"</f>
        <v>00030206718027</v>
      </c>
      <c r="S204" s="1">
        <v>41324</v>
      </c>
      <c r="T204" s="1">
        <v>41310</v>
      </c>
      <c r="U204" t="str">
        <f>"3020671802"</f>
        <v>3020671802</v>
      </c>
      <c r="V204" t="str">
        <f>"1010"</f>
        <v>1010</v>
      </c>
      <c r="W204" t="str">
        <f t="shared" si="51"/>
        <v>11</v>
      </c>
      <c r="X204" t="s">
        <v>75</v>
      </c>
      <c r="Y204" t="s">
        <v>173</v>
      </c>
      <c r="Z204" t="s">
        <v>180</v>
      </c>
      <c r="AA204" t="s">
        <v>181</v>
      </c>
      <c r="AB204" t="s">
        <v>79</v>
      </c>
      <c r="AD204" t="s">
        <v>80</v>
      </c>
      <c r="AE204" t="s">
        <v>81</v>
      </c>
      <c r="AF204" t="s">
        <v>82</v>
      </c>
      <c r="AG204" t="s">
        <v>83</v>
      </c>
      <c r="AH204" t="s">
        <v>84</v>
      </c>
      <c r="AJ204" t="str">
        <f t="shared" si="40"/>
        <v>1</v>
      </c>
      <c r="AK204" t="s">
        <v>93</v>
      </c>
      <c r="AL204" t="s">
        <v>143</v>
      </c>
      <c r="AM204" t="s">
        <v>95</v>
      </c>
      <c r="AN204" t="str">
        <f t="shared" si="52"/>
        <v>.9700</v>
      </c>
      <c r="AO204" t="str">
        <f t="shared" si="47"/>
        <v>11.41</v>
      </c>
      <c r="AP204" t="s">
        <v>96</v>
      </c>
      <c r="AQ204" t="str">
        <f t="shared" si="48"/>
        <v>11.41</v>
      </c>
      <c r="AR204">
        <v>7</v>
      </c>
      <c r="AS204">
        <v>-8</v>
      </c>
      <c r="AT204">
        <v>-1</v>
      </c>
      <c r="AU204">
        <v>79.87</v>
      </c>
      <c r="AV204">
        <v>0</v>
      </c>
      <c r="AW204">
        <v>79.87</v>
      </c>
      <c r="AX204">
        <v>-81.52</v>
      </c>
      <c r="AY204">
        <v>-1.6500000000000099</v>
      </c>
      <c r="AZ204">
        <v>0</v>
      </c>
    </row>
    <row r="205" spans="1:52">
      <c r="A205" t="s">
        <v>65</v>
      </c>
      <c r="B205" t="s">
        <v>66</v>
      </c>
      <c r="C205" t="s">
        <v>67</v>
      </c>
      <c r="D205" t="s">
        <v>68</v>
      </c>
      <c r="E205" t="s">
        <v>69</v>
      </c>
      <c r="F205" t="s">
        <v>70</v>
      </c>
      <c r="G205" t="s">
        <v>71</v>
      </c>
      <c r="H205" t="s">
        <v>70</v>
      </c>
      <c r="I205" t="str">
        <f t="shared" si="49"/>
        <v>1010</v>
      </c>
      <c r="J205" t="str">
        <f t="shared" si="50"/>
        <v>05</v>
      </c>
      <c r="K205" t="s">
        <v>68</v>
      </c>
      <c r="L205" t="s">
        <v>72</v>
      </c>
      <c r="M205" t="s">
        <v>68</v>
      </c>
      <c r="N205" t="s">
        <v>181</v>
      </c>
      <c r="O205" t="s">
        <v>472</v>
      </c>
      <c r="P205" t="str">
        <f>"3020671452"</f>
        <v>3020671452</v>
      </c>
      <c r="R205" t="str">
        <f>"00030206714524"</f>
        <v>00030206714524</v>
      </c>
      <c r="S205" s="1">
        <v>41030</v>
      </c>
      <c r="T205" s="1">
        <v>41002</v>
      </c>
      <c r="U205" t="str">
        <f>"3020671452"</f>
        <v>3020671452</v>
      </c>
      <c r="V205" t="str">
        <f>"1510"</f>
        <v>1510</v>
      </c>
      <c r="W205" t="str">
        <f t="shared" si="51"/>
        <v>11</v>
      </c>
      <c r="X205" t="s">
        <v>75</v>
      </c>
      <c r="Y205" t="s">
        <v>76</v>
      </c>
      <c r="Z205" t="s">
        <v>180</v>
      </c>
      <c r="AA205" t="s">
        <v>181</v>
      </c>
      <c r="AB205" t="s">
        <v>79</v>
      </c>
      <c r="AD205" t="s">
        <v>80</v>
      </c>
      <c r="AE205" t="s">
        <v>81</v>
      </c>
      <c r="AF205" t="s">
        <v>82</v>
      </c>
      <c r="AG205" t="s">
        <v>83</v>
      </c>
      <c r="AH205" t="s">
        <v>84</v>
      </c>
      <c r="AI205" t="str">
        <f>"01"</f>
        <v>01</v>
      </c>
      <c r="AJ205" t="str">
        <f t="shared" si="40"/>
        <v>1</v>
      </c>
      <c r="AK205" t="s">
        <v>93</v>
      </c>
      <c r="AL205" t="s">
        <v>94</v>
      </c>
      <c r="AM205" t="s">
        <v>95</v>
      </c>
      <c r="AN205" t="str">
        <f t="shared" si="52"/>
        <v>.9700</v>
      </c>
      <c r="AO205" t="str">
        <f t="shared" si="47"/>
        <v>11.41</v>
      </c>
      <c r="AP205" t="s">
        <v>96</v>
      </c>
      <c r="AQ205" t="str">
        <f t="shared" si="48"/>
        <v>11.41</v>
      </c>
      <c r="AR205">
        <v>0</v>
      </c>
      <c r="AS205">
        <v>-3</v>
      </c>
      <c r="AT205">
        <v>-3</v>
      </c>
      <c r="AU205">
        <v>0</v>
      </c>
      <c r="AV205">
        <v>0</v>
      </c>
      <c r="AW205">
        <v>0</v>
      </c>
      <c r="AX205">
        <v>-29.91</v>
      </c>
      <c r="AY205">
        <v>-29.91</v>
      </c>
      <c r="AZ205">
        <v>0</v>
      </c>
    </row>
    <row r="206" spans="1:52">
      <c r="A206" t="s">
        <v>65</v>
      </c>
      <c r="B206" t="s">
        <v>66</v>
      </c>
      <c r="C206" t="s">
        <v>67</v>
      </c>
      <c r="D206" t="s">
        <v>68</v>
      </c>
      <c r="E206" t="s">
        <v>69</v>
      </c>
      <c r="F206" t="s">
        <v>70</v>
      </c>
      <c r="G206" t="s">
        <v>71</v>
      </c>
      <c r="H206" t="s">
        <v>70</v>
      </c>
      <c r="I206" t="str">
        <f t="shared" si="49"/>
        <v>1010</v>
      </c>
      <c r="J206" t="str">
        <f t="shared" si="50"/>
        <v>05</v>
      </c>
      <c r="K206" t="s">
        <v>68</v>
      </c>
      <c r="L206" t="s">
        <v>72</v>
      </c>
      <c r="M206" t="s">
        <v>68</v>
      </c>
      <c r="N206" t="s">
        <v>181</v>
      </c>
      <c r="O206" t="s">
        <v>473</v>
      </c>
      <c r="P206" t="str">
        <f>"3020672798"</f>
        <v>3020672798</v>
      </c>
      <c r="R206" t="str">
        <f>"00030206727982"</f>
        <v>00030206727982</v>
      </c>
      <c r="S206" s="1">
        <v>41778</v>
      </c>
      <c r="T206" s="1">
        <v>41772</v>
      </c>
      <c r="U206" t="str">
        <f>"3020672798"</f>
        <v>3020672798</v>
      </c>
      <c r="V206" t="str">
        <f>"1010"</f>
        <v>1010</v>
      </c>
      <c r="W206" t="str">
        <f t="shared" si="51"/>
        <v>11</v>
      </c>
      <c r="X206" t="s">
        <v>75</v>
      </c>
      <c r="Y206" t="s">
        <v>139</v>
      </c>
      <c r="Z206" t="s">
        <v>180</v>
      </c>
      <c r="AA206" t="s">
        <v>181</v>
      </c>
      <c r="AB206" t="s">
        <v>79</v>
      </c>
      <c r="AD206" t="s">
        <v>80</v>
      </c>
      <c r="AE206" t="s">
        <v>81</v>
      </c>
      <c r="AF206" t="s">
        <v>82</v>
      </c>
      <c r="AG206" t="s">
        <v>83</v>
      </c>
      <c r="AH206" t="s">
        <v>84</v>
      </c>
      <c r="AI206" t="str">
        <f>"01"</f>
        <v>01</v>
      </c>
      <c r="AJ206" t="str">
        <f t="shared" si="40"/>
        <v>1</v>
      </c>
      <c r="AK206" t="s">
        <v>93</v>
      </c>
      <c r="AL206" t="s">
        <v>143</v>
      </c>
      <c r="AM206" t="s">
        <v>95</v>
      </c>
      <c r="AN206" t="str">
        <f t="shared" si="52"/>
        <v>.9700</v>
      </c>
      <c r="AO206" t="str">
        <f t="shared" si="47"/>
        <v>11.41</v>
      </c>
      <c r="AP206" t="s">
        <v>96</v>
      </c>
      <c r="AQ206" t="str">
        <f t="shared" si="48"/>
        <v>11.41</v>
      </c>
      <c r="AR206">
        <v>1</v>
      </c>
      <c r="AS206">
        <v>0</v>
      </c>
      <c r="AT206">
        <v>1</v>
      </c>
      <c r="AU206">
        <v>11.41</v>
      </c>
      <c r="AV206">
        <v>0</v>
      </c>
      <c r="AW206">
        <v>11.41</v>
      </c>
      <c r="AX206">
        <v>0</v>
      </c>
      <c r="AY206">
        <v>11.41</v>
      </c>
      <c r="AZ206">
        <v>0</v>
      </c>
    </row>
    <row r="207" spans="1:52">
      <c r="A207" t="s">
        <v>65</v>
      </c>
      <c r="B207" t="s">
        <v>66</v>
      </c>
      <c r="C207" t="s">
        <v>67</v>
      </c>
      <c r="D207" t="s">
        <v>68</v>
      </c>
      <c r="E207" t="s">
        <v>69</v>
      </c>
      <c r="F207" t="s">
        <v>70</v>
      </c>
      <c r="G207" t="s">
        <v>71</v>
      </c>
      <c r="H207" t="s">
        <v>70</v>
      </c>
      <c r="I207" t="str">
        <f t="shared" si="49"/>
        <v>1010</v>
      </c>
      <c r="J207" t="str">
        <f t="shared" si="50"/>
        <v>05</v>
      </c>
      <c r="K207" t="s">
        <v>68</v>
      </c>
      <c r="L207" t="s">
        <v>72</v>
      </c>
      <c r="M207" t="s">
        <v>68</v>
      </c>
      <c r="N207" t="s">
        <v>181</v>
      </c>
      <c r="O207" t="s">
        <v>474</v>
      </c>
      <c r="P207" t="str">
        <f>"3020670892"</f>
        <v>3020670892</v>
      </c>
      <c r="R207" t="str">
        <f>"00030206708929"</f>
        <v>00030206708929</v>
      </c>
      <c r="S207" s="1">
        <v>40666</v>
      </c>
      <c r="T207" s="1">
        <v>40666</v>
      </c>
      <c r="U207" t="str">
        <f>"3020670892"</f>
        <v>3020670892</v>
      </c>
      <c r="V207" t="str">
        <f>"1510"</f>
        <v>1510</v>
      </c>
      <c r="W207" t="str">
        <f t="shared" si="51"/>
        <v>11</v>
      </c>
      <c r="X207" t="s">
        <v>75</v>
      </c>
      <c r="Y207" t="s">
        <v>76</v>
      </c>
      <c r="Z207" t="s">
        <v>180</v>
      </c>
      <c r="AA207" t="s">
        <v>181</v>
      </c>
      <c r="AB207" t="s">
        <v>79</v>
      </c>
      <c r="AD207" t="s">
        <v>80</v>
      </c>
      <c r="AE207" t="s">
        <v>81</v>
      </c>
      <c r="AF207" t="s">
        <v>82</v>
      </c>
      <c r="AG207" t="s">
        <v>83</v>
      </c>
      <c r="AH207" t="s">
        <v>84</v>
      </c>
      <c r="AI207" t="str">
        <f>"01"</f>
        <v>01</v>
      </c>
      <c r="AJ207" t="str">
        <f t="shared" si="40"/>
        <v>1</v>
      </c>
      <c r="AK207" t="s">
        <v>93</v>
      </c>
      <c r="AL207" t="s">
        <v>94</v>
      </c>
      <c r="AM207" t="s">
        <v>95</v>
      </c>
      <c r="AN207" t="str">
        <f t="shared" si="52"/>
        <v>.9700</v>
      </c>
      <c r="AO207" t="str">
        <f t="shared" si="47"/>
        <v>11.41</v>
      </c>
      <c r="AP207" t="s">
        <v>96</v>
      </c>
      <c r="AQ207" t="str">
        <f t="shared" si="48"/>
        <v>11.41</v>
      </c>
      <c r="AR207">
        <v>15</v>
      </c>
      <c r="AS207">
        <v>0</v>
      </c>
      <c r="AT207">
        <v>15</v>
      </c>
      <c r="AU207">
        <v>171.14</v>
      </c>
      <c r="AV207">
        <v>20.54</v>
      </c>
      <c r="AW207">
        <v>150.6</v>
      </c>
      <c r="AX207">
        <v>0</v>
      </c>
      <c r="AY207">
        <v>150.6</v>
      </c>
      <c r="AZ207">
        <v>0</v>
      </c>
    </row>
    <row r="208" spans="1:52">
      <c r="A208" t="s">
        <v>65</v>
      </c>
      <c r="B208" t="s">
        <v>66</v>
      </c>
      <c r="C208" t="s">
        <v>67</v>
      </c>
      <c r="D208" t="s">
        <v>68</v>
      </c>
      <c r="E208" t="s">
        <v>69</v>
      </c>
      <c r="F208" t="s">
        <v>70</v>
      </c>
      <c r="G208" t="s">
        <v>71</v>
      </c>
      <c r="H208" t="s">
        <v>70</v>
      </c>
      <c r="I208" t="str">
        <f t="shared" si="49"/>
        <v>1010</v>
      </c>
      <c r="J208" t="str">
        <f t="shared" si="50"/>
        <v>05</v>
      </c>
      <c r="K208" t="s">
        <v>68</v>
      </c>
      <c r="L208" t="s">
        <v>72</v>
      </c>
      <c r="M208" t="s">
        <v>68</v>
      </c>
      <c r="N208" t="s">
        <v>181</v>
      </c>
      <c r="O208" t="s">
        <v>475</v>
      </c>
      <c r="P208" t="str">
        <f>"3020672268"</f>
        <v>3020672268</v>
      </c>
      <c r="R208" t="str">
        <f>"00030206722680"</f>
        <v>00030206722680</v>
      </c>
      <c r="S208" s="1">
        <v>41562</v>
      </c>
      <c r="T208" s="1">
        <v>41555</v>
      </c>
      <c r="U208" t="str">
        <f>"3020672268"</f>
        <v>3020672268</v>
      </c>
      <c r="V208" t="str">
        <f>"1010"</f>
        <v>1010</v>
      </c>
      <c r="W208" t="str">
        <f t="shared" si="51"/>
        <v>11</v>
      </c>
      <c r="X208" t="s">
        <v>75</v>
      </c>
      <c r="Y208" t="s">
        <v>173</v>
      </c>
      <c r="Z208" t="s">
        <v>180</v>
      </c>
      <c r="AA208" t="s">
        <v>181</v>
      </c>
      <c r="AB208" t="s">
        <v>79</v>
      </c>
      <c r="AD208" t="s">
        <v>80</v>
      </c>
      <c r="AE208" t="s">
        <v>81</v>
      </c>
      <c r="AF208" t="s">
        <v>82</v>
      </c>
      <c r="AG208" t="s">
        <v>83</v>
      </c>
      <c r="AH208" t="s">
        <v>84</v>
      </c>
      <c r="AJ208" t="str">
        <f t="shared" si="40"/>
        <v>1</v>
      </c>
      <c r="AK208" t="s">
        <v>93</v>
      </c>
      <c r="AL208" t="s">
        <v>143</v>
      </c>
      <c r="AM208" t="s">
        <v>95</v>
      </c>
      <c r="AN208" t="str">
        <f t="shared" si="52"/>
        <v>.9700</v>
      </c>
      <c r="AO208" t="str">
        <f t="shared" si="47"/>
        <v>11.41</v>
      </c>
      <c r="AP208" t="s">
        <v>96</v>
      </c>
      <c r="AQ208" t="str">
        <f t="shared" si="48"/>
        <v>11.41</v>
      </c>
      <c r="AR208">
        <v>5</v>
      </c>
      <c r="AS208">
        <v>-8</v>
      </c>
      <c r="AT208">
        <v>-3</v>
      </c>
      <c r="AU208">
        <v>57.05</v>
      </c>
      <c r="AV208">
        <v>0</v>
      </c>
      <c r="AW208">
        <v>57.05</v>
      </c>
      <c r="AX208">
        <v>-78.930000000000007</v>
      </c>
      <c r="AY208">
        <v>-21.88</v>
      </c>
      <c r="AZ208">
        <v>0</v>
      </c>
    </row>
    <row r="209" spans="1:52">
      <c r="A209" t="s">
        <v>65</v>
      </c>
      <c r="B209" t="s">
        <v>66</v>
      </c>
      <c r="C209" t="s">
        <v>67</v>
      </c>
      <c r="D209" t="s">
        <v>68</v>
      </c>
      <c r="E209" t="s">
        <v>69</v>
      </c>
      <c r="F209" t="s">
        <v>70</v>
      </c>
      <c r="G209" t="s">
        <v>71</v>
      </c>
      <c r="H209" t="s">
        <v>70</v>
      </c>
      <c r="I209" t="str">
        <f t="shared" si="49"/>
        <v>1010</v>
      </c>
      <c r="J209" t="str">
        <f t="shared" si="50"/>
        <v>05</v>
      </c>
      <c r="K209" t="s">
        <v>68</v>
      </c>
      <c r="L209" t="s">
        <v>72</v>
      </c>
      <c r="M209" t="s">
        <v>68</v>
      </c>
      <c r="N209" t="s">
        <v>181</v>
      </c>
      <c r="O209" t="s">
        <v>476</v>
      </c>
      <c r="P209" t="str">
        <f>"3020669342"</f>
        <v>3020669342</v>
      </c>
      <c r="R209" t="str">
        <f>"00030206693423"</f>
        <v>00030206693423</v>
      </c>
      <c r="S209" s="1">
        <v>39756</v>
      </c>
      <c r="T209" s="1">
        <v>39756</v>
      </c>
      <c r="U209" t="str">
        <f>"3020669342"</f>
        <v>3020669342</v>
      </c>
      <c r="V209" t="str">
        <f>"1510"</f>
        <v>1510</v>
      </c>
      <c r="W209" t="str">
        <f t="shared" si="51"/>
        <v>11</v>
      </c>
      <c r="X209" t="s">
        <v>75</v>
      </c>
      <c r="Y209" t="s">
        <v>76</v>
      </c>
      <c r="Z209" t="s">
        <v>180</v>
      </c>
      <c r="AA209" t="s">
        <v>181</v>
      </c>
      <c r="AB209" t="s">
        <v>79</v>
      </c>
      <c r="AD209" t="s">
        <v>80</v>
      </c>
      <c r="AE209" t="s">
        <v>81</v>
      </c>
      <c r="AF209" t="s">
        <v>82</v>
      </c>
      <c r="AG209" t="s">
        <v>83</v>
      </c>
      <c r="AH209" t="s">
        <v>84</v>
      </c>
      <c r="AI209" t="str">
        <f>"01"</f>
        <v>01</v>
      </c>
      <c r="AJ209" t="str">
        <f t="shared" si="40"/>
        <v>1</v>
      </c>
      <c r="AK209" t="s">
        <v>93</v>
      </c>
      <c r="AL209" t="s">
        <v>94</v>
      </c>
      <c r="AM209" t="s">
        <v>95</v>
      </c>
      <c r="AN209" t="str">
        <f t="shared" si="52"/>
        <v>.9700</v>
      </c>
      <c r="AO209" t="str">
        <f t="shared" si="47"/>
        <v>11.41</v>
      </c>
      <c r="AP209" t="s">
        <v>96</v>
      </c>
      <c r="AQ209" t="str">
        <f t="shared" si="48"/>
        <v>11.41</v>
      </c>
      <c r="AR209">
        <v>3</v>
      </c>
      <c r="AS209">
        <v>-1</v>
      </c>
      <c r="AT209">
        <v>2</v>
      </c>
      <c r="AU209">
        <v>34.229999999999997</v>
      </c>
      <c r="AV209">
        <v>4.1100000000000003</v>
      </c>
      <c r="AW209">
        <v>30.12</v>
      </c>
      <c r="AX209">
        <v>-10.6</v>
      </c>
      <c r="AY209">
        <v>19.52</v>
      </c>
      <c r="AZ209">
        <v>0</v>
      </c>
    </row>
    <row r="210" spans="1:52">
      <c r="A210" t="s">
        <v>65</v>
      </c>
      <c r="B210" t="s">
        <v>66</v>
      </c>
      <c r="C210" t="s">
        <v>67</v>
      </c>
      <c r="D210" t="s">
        <v>68</v>
      </c>
      <c r="E210" t="s">
        <v>69</v>
      </c>
      <c r="F210" t="s">
        <v>70</v>
      </c>
      <c r="G210" t="s">
        <v>71</v>
      </c>
      <c r="H210" t="s">
        <v>70</v>
      </c>
      <c r="I210" t="str">
        <f t="shared" si="49"/>
        <v>1010</v>
      </c>
      <c r="J210" t="str">
        <f t="shared" si="50"/>
        <v>05</v>
      </c>
      <c r="K210" t="s">
        <v>68</v>
      </c>
      <c r="L210" t="s">
        <v>72</v>
      </c>
      <c r="M210" t="s">
        <v>68</v>
      </c>
      <c r="N210" t="s">
        <v>181</v>
      </c>
      <c r="O210" t="s">
        <v>477</v>
      </c>
      <c r="P210" t="str">
        <f>"3020670372"</f>
        <v>3020670372</v>
      </c>
      <c r="R210" t="str">
        <f>"00030206703726"</f>
        <v>00030206703726</v>
      </c>
      <c r="S210" s="1">
        <v>40407</v>
      </c>
      <c r="T210" s="1">
        <v>40407</v>
      </c>
      <c r="U210" t="str">
        <f>"3020670372"</f>
        <v>3020670372</v>
      </c>
      <c r="V210" t="str">
        <f>"1510"</f>
        <v>1510</v>
      </c>
      <c r="W210" t="str">
        <f t="shared" si="51"/>
        <v>11</v>
      </c>
      <c r="X210" t="s">
        <v>75</v>
      </c>
      <c r="Y210" t="s">
        <v>76</v>
      </c>
      <c r="Z210" t="s">
        <v>180</v>
      </c>
      <c r="AA210" t="s">
        <v>181</v>
      </c>
      <c r="AB210" t="s">
        <v>79</v>
      </c>
      <c r="AD210" t="s">
        <v>80</v>
      </c>
      <c r="AE210" t="s">
        <v>81</v>
      </c>
      <c r="AF210" t="s">
        <v>82</v>
      </c>
      <c r="AG210" t="s">
        <v>83</v>
      </c>
      <c r="AH210" t="s">
        <v>84</v>
      </c>
      <c r="AI210" t="str">
        <f>"01"</f>
        <v>01</v>
      </c>
      <c r="AJ210" t="str">
        <f t="shared" si="40"/>
        <v>1</v>
      </c>
      <c r="AK210" t="s">
        <v>93</v>
      </c>
      <c r="AL210" t="s">
        <v>94</v>
      </c>
      <c r="AM210" t="s">
        <v>95</v>
      </c>
      <c r="AN210" t="str">
        <f t="shared" si="52"/>
        <v>.9700</v>
      </c>
      <c r="AO210" t="str">
        <f t="shared" si="47"/>
        <v>11.41</v>
      </c>
      <c r="AP210" t="s">
        <v>96</v>
      </c>
      <c r="AQ210" t="str">
        <f t="shared" si="48"/>
        <v>11.41</v>
      </c>
      <c r="AR210">
        <v>6</v>
      </c>
      <c r="AS210">
        <v>0</v>
      </c>
      <c r="AT210">
        <v>6</v>
      </c>
      <c r="AU210">
        <v>68.459999999999994</v>
      </c>
      <c r="AV210">
        <v>0</v>
      </c>
      <c r="AW210">
        <v>68.459999999999994</v>
      </c>
      <c r="AX210">
        <v>0</v>
      </c>
      <c r="AY210">
        <v>68.459999999999994</v>
      </c>
      <c r="AZ210">
        <v>0</v>
      </c>
    </row>
    <row r="211" spans="1:52">
      <c r="A211" t="s">
        <v>65</v>
      </c>
      <c r="B211" t="s">
        <v>66</v>
      </c>
      <c r="C211" t="s">
        <v>67</v>
      </c>
      <c r="D211" t="s">
        <v>68</v>
      </c>
      <c r="E211" t="s">
        <v>69</v>
      </c>
      <c r="F211" t="s">
        <v>70</v>
      </c>
      <c r="G211" t="s">
        <v>71</v>
      </c>
      <c r="H211" t="s">
        <v>70</v>
      </c>
      <c r="I211" t="str">
        <f t="shared" si="49"/>
        <v>1010</v>
      </c>
      <c r="J211" t="str">
        <f t="shared" si="50"/>
        <v>05</v>
      </c>
      <c r="K211" t="s">
        <v>68</v>
      </c>
      <c r="L211" t="s">
        <v>72</v>
      </c>
      <c r="M211" t="s">
        <v>68</v>
      </c>
      <c r="N211" t="s">
        <v>181</v>
      </c>
      <c r="O211" t="s">
        <v>478</v>
      </c>
      <c r="P211" t="s">
        <v>479</v>
      </c>
      <c r="R211" t="str">
        <f>"00030206524024"</f>
        <v>00030206524024</v>
      </c>
      <c r="S211" s="1">
        <v>32798</v>
      </c>
      <c r="T211" s="1">
        <v>32798</v>
      </c>
      <c r="U211" t="s">
        <v>479</v>
      </c>
      <c r="V211" t="str">
        <f>"1510"</f>
        <v>1510</v>
      </c>
      <c r="W211" t="str">
        <f t="shared" si="51"/>
        <v>11</v>
      </c>
      <c r="X211" t="s">
        <v>75</v>
      </c>
      <c r="Y211" t="s">
        <v>76</v>
      </c>
      <c r="Z211" t="s">
        <v>180</v>
      </c>
      <c r="AA211" t="s">
        <v>181</v>
      </c>
      <c r="AB211" t="s">
        <v>79</v>
      </c>
      <c r="AD211" t="s">
        <v>80</v>
      </c>
      <c r="AE211" t="s">
        <v>81</v>
      </c>
      <c r="AF211" t="s">
        <v>82</v>
      </c>
      <c r="AG211" t="s">
        <v>83</v>
      </c>
      <c r="AH211" t="s">
        <v>84</v>
      </c>
      <c r="AI211" t="str">
        <f>"01"</f>
        <v>01</v>
      </c>
      <c r="AJ211" t="str">
        <f t="shared" si="40"/>
        <v>1</v>
      </c>
      <c r="AK211" t="s">
        <v>107</v>
      </c>
      <c r="AL211" t="s">
        <v>94</v>
      </c>
      <c r="AM211" t="s">
        <v>95</v>
      </c>
      <c r="AN211" t="str">
        <f t="shared" si="52"/>
        <v>.9700</v>
      </c>
      <c r="AO211" t="str">
        <f>"10.78"</f>
        <v>10.78</v>
      </c>
      <c r="AP211" t="s">
        <v>108</v>
      </c>
      <c r="AQ211" t="str">
        <f>"10.78"</f>
        <v>10.78</v>
      </c>
      <c r="AR211">
        <v>69</v>
      </c>
      <c r="AS211">
        <v>-1</v>
      </c>
      <c r="AT211">
        <v>68</v>
      </c>
      <c r="AU211">
        <v>744.09</v>
      </c>
      <c r="AV211">
        <v>86.7</v>
      </c>
      <c r="AW211">
        <v>657.39</v>
      </c>
      <c r="AX211">
        <v>-10.050000000000001</v>
      </c>
      <c r="AY211">
        <v>647.34</v>
      </c>
      <c r="AZ211">
        <v>0</v>
      </c>
    </row>
    <row r="212" spans="1:52">
      <c r="A212" t="s">
        <v>65</v>
      </c>
      <c r="B212" t="s">
        <v>66</v>
      </c>
      <c r="C212" t="s">
        <v>67</v>
      </c>
      <c r="D212" t="s">
        <v>68</v>
      </c>
      <c r="E212" t="s">
        <v>69</v>
      </c>
      <c r="F212" t="s">
        <v>70</v>
      </c>
      <c r="G212" t="s">
        <v>71</v>
      </c>
      <c r="H212" t="s">
        <v>70</v>
      </c>
      <c r="I212" t="str">
        <f t="shared" si="49"/>
        <v>1010</v>
      </c>
      <c r="J212" t="str">
        <f t="shared" si="50"/>
        <v>05</v>
      </c>
      <c r="K212" t="s">
        <v>68</v>
      </c>
      <c r="L212" t="s">
        <v>72</v>
      </c>
      <c r="M212" t="s">
        <v>68</v>
      </c>
      <c r="N212" t="s">
        <v>181</v>
      </c>
      <c r="O212" t="s">
        <v>480</v>
      </c>
      <c r="P212" t="str">
        <f>"3020662242"</f>
        <v>3020662242</v>
      </c>
      <c r="R212" t="str">
        <f>"00030206622423"</f>
        <v>00030206622423</v>
      </c>
      <c r="S212" s="1">
        <v>36970</v>
      </c>
      <c r="T212" s="1">
        <v>36970</v>
      </c>
      <c r="U212" t="str">
        <f>"3020662242"</f>
        <v>3020662242</v>
      </c>
      <c r="V212" t="str">
        <f>"1510"</f>
        <v>1510</v>
      </c>
      <c r="W212" t="str">
        <f t="shared" si="51"/>
        <v>11</v>
      </c>
      <c r="X212" t="s">
        <v>75</v>
      </c>
      <c r="Y212" t="s">
        <v>76</v>
      </c>
      <c r="Z212" t="s">
        <v>180</v>
      </c>
      <c r="AA212" t="s">
        <v>181</v>
      </c>
      <c r="AB212" t="s">
        <v>79</v>
      </c>
      <c r="AD212" t="s">
        <v>80</v>
      </c>
      <c r="AE212" t="s">
        <v>81</v>
      </c>
      <c r="AF212" t="s">
        <v>82</v>
      </c>
      <c r="AG212" t="s">
        <v>83</v>
      </c>
      <c r="AH212" t="s">
        <v>84</v>
      </c>
      <c r="AI212" t="str">
        <f>"02"</f>
        <v>02</v>
      </c>
      <c r="AJ212" t="str">
        <f>"2"</f>
        <v>2</v>
      </c>
      <c r="AK212" t="s">
        <v>415</v>
      </c>
      <c r="AL212" t="s">
        <v>94</v>
      </c>
      <c r="AM212" t="s">
        <v>95</v>
      </c>
      <c r="AN212" t="str">
        <f t="shared" si="52"/>
        <v>.9700</v>
      </c>
      <c r="AO212" t="str">
        <f>"16.09"</f>
        <v>16.09</v>
      </c>
      <c r="AP212" t="s">
        <v>416</v>
      </c>
      <c r="AQ212" t="str">
        <f>"16.09"</f>
        <v>16.09</v>
      </c>
      <c r="AR212">
        <v>20</v>
      </c>
      <c r="AS212">
        <v>-2</v>
      </c>
      <c r="AT212">
        <v>18</v>
      </c>
      <c r="AU212">
        <v>321.82</v>
      </c>
      <c r="AV212">
        <v>38.619999999999997</v>
      </c>
      <c r="AW212">
        <v>283.2</v>
      </c>
      <c r="AX212">
        <v>-30.14</v>
      </c>
      <c r="AY212">
        <v>253.06</v>
      </c>
      <c r="AZ212">
        <v>0</v>
      </c>
    </row>
    <row r="213" spans="1:52">
      <c r="A213" t="s">
        <v>65</v>
      </c>
      <c r="B213" t="s">
        <v>66</v>
      </c>
      <c r="C213" t="s">
        <v>67</v>
      </c>
      <c r="D213" t="s">
        <v>68</v>
      </c>
      <c r="E213" t="s">
        <v>69</v>
      </c>
      <c r="F213" t="s">
        <v>70</v>
      </c>
      <c r="G213" t="s">
        <v>71</v>
      </c>
      <c r="H213" t="s">
        <v>70</v>
      </c>
      <c r="I213" t="str">
        <f t="shared" si="49"/>
        <v>1010</v>
      </c>
      <c r="J213" t="str">
        <f t="shared" si="50"/>
        <v>05</v>
      </c>
      <c r="K213" t="s">
        <v>68</v>
      </c>
      <c r="L213" t="s">
        <v>72</v>
      </c>
      <c r="M213" t="s">
        <v>68</v>
      </c>
      <c r="N213" t="s">
        <v>181</v>
      </c>
      <c r="O213" t="s">
        <v>481</v>
      </c>
      <c r="P213" t="str">
        <f>"3020672038"</f>
        <v>3020672038</v>
      </c>
      <c r="R213" t="str">
        <f>"00030206720389"</f>
        <v>00030206720389</v>
      </c>
      <c r="S213" s="1">
        <v>41464</v>
      </c>
      <c r="T213" s="1">
        <v>41464</v>
      </c>
      <c r="U213" t="str">
        <f>"3020672038"</f>
        <v>3020672038</v>
      </c>
      <c r="V213" t="str">
        <f>"1010"</f>
        <v>1010</v>
      </c>
      <c r="W213" t="str">
        <f t="shared" si="51"/>
        <v>11</v>
      </c>
      <c r="X213" t="s">
        <v>75</v>
      </c>
      <c r="Y213" t="s">
        <v>173</v>
      </c>
      <c r="Z213" t="s">
        <v>180</v>
      </c>
      <c r="AA213" t="s">
        <v>181</v>
      </c>
      <c r="AB213" t="s">
        <v>79</v>
      </c>
      <c r="AD213" t="s">
        <v>80</v>
      </c>
      <c r="AE213" t="s">
        <v>81</v>
      </c>
      <c r="AF213" t="s">
        <v>82</v>
      </c>
      <c r="AG213" t="s">
        <v>83</v>
      </c>
      <c r="AH213" t="s">
        <v>84</v>
      </c>
      <c r="AJ213" t="str">
        <f t="shared" ref="AJ213:AJ255" si="53">"1"</f>
        <v>1</v>
      </c>
      <c r="AK213" t="s">
        <v>93</v>
      </c>
      <c r="AL213" t="s">
        <v>143</v>
      </c>
      <c r="AM213" t="s">
        <v>95</v>
      </c>
      <c r="AN213" t="str">
        <f t="shared" si="52"/>
        <v>.9700</v>
      </c>
      <c r="AO213" t="str">
        <f>"11.41"</f>
        <v>11.41</v>
      </c>
      <c r="AP213" t="s">
        <v>96</v>
      </c>
      <c r="AQ213" t="str">
        <f>"11.41"</f>
        <v>11.41</v>
      </c>
      <c r="AR213">
        <v>4</v>
      </c>
      <c r="AS213">
        <v>-2</v>
      </c>
      <c r="AT213">
        <v>2</v>
      </c>
      <c r="AU213">
        <v>45.64</v>
      </c>
      <c r="AV213">
        <v>0</v>
      </c>
      <c r="AW213">
        <v>45.64</v>
      </c>
      <c r="AX213">
        <v>-22.02</v>
      </c>
      <c r="AY213">
        <v>23.62</v>
      </c>
      <c r="AZ213">
        <v>0</v>
      </c>
    </row>
    <row r="214" spans="1:52">
      <c r="A214" t="s">
        <v>65</v>
      </c>
      <c r="B214" t="s">
        <v>66</v>
      </c>
      <c r="C214" t="s">
        <v>67</v>
      </c>
      <c r="D214" t="s">
        <v>68</v>
      </c>
      <c r="E214" t="s">
        <v>69</v>
      </c>
      <c r="F214" t="s">
        <v>70</v>
      </c>
      <c r="G214" t="s">
        <v>71</v>
      </c>
      <c r="H214" t="s">
        <v>70</v>
      </c>
      <c r="I214" t="str">
        <f t="shared" si="49"/>
        <v>1010</v>
      </c>
      <c r="J214" t="str">
        <f t="shared" si="50"/>
        <v>05</v>
      </c>
      <c r="K214" t="s">
        <v>68</v>
      </c>
      <c r="L214" t="s">
        <v>72</v>
      </c>
      <c r="M214" t="s">
        <v>68</v>
      </c>
      <c r="N214" t="s">
        <v>181</v>
      </c>
      <c r="O214" t="s">
        <v>482</v>
      </c>
      <c r="P214" t="str">
        <f>"3020671052"</f>
        <v>3020671052</v>
      </c>
      <c r="R214" t="str">
        <f>"00030206710526"</f>
        <v>00030206710526</v>
      </c>
      <c r="S214" s="1">
        <v>40771</v>
      </c>
      <c r="T214" s="1">
        <v>40750</v>
      </c>
      <c r="U214" t="str">
        <f>"3020671052"</f>
        <v>3020671052</v>
      </c>
      <c r="V214" t="str">
        <f>"1510"</f>
        <v>1510</v>
      </c>
      <c r="W214" t="str">
        <f t="shared" si="51"/>
        <v>11</v>
      </c>
      <c r="X214" t="s">
        <v>75</v>
      </c>
      <c r="Y214" t="s">
        <v>76</v>
      </c>
      <c r="Z214" t="s">
        <v>180</v>
      </c>
      <c r="AA214" t="s">
        <v>181</v>
      </c>
      <c r="AB214" t="s">
        <v>79</v>
      </c>
      <c r="AD214" t="s">
        <v>80</v>
      </c>
      <c r="AE214" t="s">
        <v>81</v>
      </c>
      <c r="AF214" t="s">
        <v>82</v>
      </c>
      <c r="AG214" t="s">
        <v>83</v>
      </c>
      <c r="AH214" t="s">
        <v>84</v>
      </c>
      <c r="AI214" t="str">
        <f>"01"</f>
        <v>01</v>
      </c>
      <c r="AJ214" t="str">
        <f t="shared" si="53"/>
        <v>1</v>
      </c>
      <c r="AK214" t="s">
        <v>93</v>
      </c>
      <c r="AL214" t="s">
        <v>94</v>
      </c>
      <c r="AM214" t="s">
        <v>95</v>
      </c>
      <c r="AN214" t="str">
        <f t="shared" si="52"/>
        <v>.9700</v>
      </c>
      <c r="AO214" t="str">
        <f>"11.41"</f>
        <v>11.41</v>
      </c>
      <c r="AP214" t="s">
        <v>96</v>
      </c>
      <c r="AQ214" t="str">
        <f>"11.41"</f>
        <v>11.41</v>
      </c>
      <c r="AR214">
        <v>0</v>
      </c>
      <c r="AS214">
        <v>-2</v>
      </c>
      <c r="AT214">
        <v>-2</v>
      </c>
      <c r="AU214">
        <v>0</v>
      </c>
      <c r="AV214">
        <v>0</v>
      </c>
      <c r="AW214">
        <v>0</v>
      </c>
      <c r="AX214">
        <v>-19.559999999999999</v>
      </c>
      <c r="AY214">
        <v>-19.559999999999999</v>
      </c>
      <c r="AZ214">
        <v>0</v>
      </c>
    </row>
    <row r="215" spans="1:52">
      <c r="A215" t="s">
        <v>65</v>
      </c>
      <c r="B215" t="s">
        <v>66</v>
      </c>
      <c r="C215" t="s">
        <v>67</v>
      </c>
      <c r="D215" t="s">
        <v>68</v>
      </c>
      <c r="E215" t="s">
        <v>69</v>
      </c>
      <c r="F215" t="s">
        <v>70</v>
      </c>
      <c r="G215" t="s">
        <v>71</v>
      </c>
      <c r="H215" t="s">
        <v>70</v>
      </c>
      <c r="I215" t="str">
        <f t="shared" si="49"/>
        <v>1010</v>
      </c>
      <c r="J215" t="str">
        <f t="shared" si="50"/>
        <v>05</v>
      </c>
      <c r="K215" t="s">
        <v>68</v>
      </c>
      <c r="L215" t="s">
        <v>72</v>
      </c>
      <c r="M215" t="s">
        <v>68</v>
      </c>
      <c r="N215" t="s">
        <v>181</v>
      </c>
      <c r="O215" t="s">
        <v>483</v>
      </c>
      <c r="P215" t="str">
        <f>"3020672748"</f>
        <v>3020672748</v>
      </c>
      <c r="R215" t="str">
        <f>"00030206727487"</f>
        <v>00030206727487</v>
      </c>
      <c r="S215" s="1">
        <v>41772</v>
      </c>
      <c r="T215" s="1">
        <v>41758</v>
      </c>
      <c r="U215" t="str">
        <f>"3020672748"</f>
        <v>3020672748</v>
      </c>
      <c r="V215" t="str">
        <f>"1010"</f>
        <v>1010</v>
      </c>
      <c r="W215" t="str">
        <f t="shared" si="51"/>
        <v>11</v>
      </c>
      <c r="X215" t="s">
        <v>75</v>
      </c>
      <c r="Y215" t="s">
        <v>139</v>
      </c>
      <c r="Z215" t="s">
        <v>180</v>
      </c>
      <c r="AA215" t="s">
        <v>181</v>
      </c>
      <c r="AB215" t="s">
        <v>79</v>
      </c>
      <c r="AD215" t="s">
        <v>80</v>
      </c>
      <c r="AE215" t="s">
        <v>81</v>
      </c>
      <c r="AF215" t="s">
        <v>82</v>
      </c>
      <c r="AG215" t="s">
        <v>83</v>
      </c>
      <c r="AH215" t="s">
        <v>84</v>
      </c>
      <c r="AI215" t="str">
        <f>"01"</f>
        <v>01</v>
      </c>
      <c r="AJ215" t="str">
        <f t="shared" si="53"/>
        <v>1</v>
      </c>
      <c r="AK215" t="s">
        <v>101</v>
      </c>
      <c r="AL215" t="s">
        <v>143</v>
      </c>
      <c r="AM215" t="s">
        <v>95</v>
      </c>
      <c r="AN215" t="str">
        <f t="shared" si="52"/>
        <v>.9700</v>
      </c>
      <c r="AO215" t="str">
        <f>"9.07"</f>
        <v>9.07</v>
      </c>
      <c r="AP215" t="s">
        <v>102</v>
      </c>
      <c r="AQ215" t="str">
        <f>"9.07"</f>
        <v>9.07</v>
      </c>
      <c r="AR215">
        <v>33</v>
      </c>
      <c r="AS215">
        <v>0</v>
      </c>
      <c r="AT215">
        <v>33</v>
      </c>
      <c r="AU215">
        <v>299.31</v>
      </c>
      <c r="AV215">
        <v>0</v>
      </c>
      <c r="AW215">
        <v>299.31</v>
      </c>
      <c r="AX215">
        <v>0</v>
      </c>
      <c r="AY215">
        <v>299.31</v>
      </c>
      <c r="AZ215">
        <v>0</v>
      </c>
    </row>
    <row r="216" spans="1:52">
      <c r="A216" t="s">
        <v>65</v>
      </c>
      <c r="B216" t="s">
        <v>66</v>
      </c>
      <c r="C216" t="s">
        <v>67</v>
      </c>
      <c r="D216" t="s">
        <v>68</v>
      </c>
      <c r="E216" t="s">
        <v>69</v>
      </c>
      <c r="F216" t="s">
        <v>70</v>
      </c>
      <c r="G216" t="s">
        <v>71</v>
      </c>
      <c r="H216" t="s">
        <v>70</v>
      </c>
      <c r="I216" t="str">
        <f t="shared" si="49"/>
        <v>1010</v>
      </c>
      <c r="J216" t="str">
        <f t="shared" si="50"/>
        <v>05</v>
      </c>
      <c r="K216" t="s">
        <v>68</v>
      </c>
      <c r="L216" t="s">
        <v>72</v>
      </c>
      <c r="M216" t="s">
        <v>68</v>
      </c>
      <c r="N216" t="s">
        <v>181</v>
      </c>
      <c r="O216" t="s">
        <v>484</v>
      </c>
      <c r="P216" t="str">
        <f>"3020663142"</f>
        <v>3020663142</v>
      </c>
      <c r="R216" t="str">
        <f>"00030206631425"</f>
        <v>00030206631425</v>
      </c>
      <c r="S216" s="1">
        <v>37684</v>
      </c>
      <c r="T216" s="1">
        <v>37684</v>
      </c>
      <c r="U216" t="str">
        <f>"3020663142"</f>
        <v>3020663142</v>
      </c>
      <c r="V216" t="str">
        <f>"1510"</f>
        <v>1510</v>
      </c>
      <c r="W216" t="str">
        <f t="shared" si="51"/>
        <v>11</v>
      </c>
      <c r="X216" t="s">
        <v>75</v>
      </c>
      <c r="Y216" t="s">
        <v>76</v>
      </c>
      <c r="Z216" t="s">
        <v>180</v>
      </c>
      <c r="AA216" t="s">
        <v>181</v>
      </c>
      <c r="AB216" t="s">
        <v>79</v>
      </c>
      <c r="AD216" t="s">
        <v>80</v>
      </c>
      <c r="AE216" t="s">
        <v>81</v>
      </c>
      <c r="AF216" t="s">
        <v>82</v>
      </c>
      <c r="AG216" t="s">
        <v>83</v>
      </c>
      <c r="AH216" t="s">
        <v>84</v>
      </c>
      <c r="AI216" t="str">
        <f>"01"</f>
        <v>01</v>
      </c>
      <c r="AJ216" t="str">
        <f t="shared" si="53"/>
        <v>1</v>
      </c>
      <c r="AK216" t="s">
        <v>93</v>
      </c>
      <c r="AL216" t="s">
        <v>94</v>
      </c>
      <c r="AM216" t="s">
        <v>95</v>
      </c>
      <c r="AN216" t="str">
        <f t="shared" si="52"/>
        <v>.9700</v>
      </c>
      <c r="AO216" t="str">
        <f t="shared" ref="AO216:AO221" si="54">"11.41"</f>
        <v>11.41</v>
      </c>
      <c r="AP216" t="s">
        <v>96</v>
      </c>
      <c r="AQ216" t="str">
        <f t="shared" ref="AQ216:AQ221" si="55">"11.41"</f>
        <v>11.41</v>
      </c>
      <c r="AR216">
        <v>0</v>
      </c>
      <c r="AS216">
        <v>-1</v>
      </c>
      <c r="AT216">
        <v>-1</v>
      </c>
      <c r="AU216">
        <v>0</v>
      </c>
      <c r="AV216">
        <v>0</v>
      </c>
      <c r="AW216">
        <v>0</v>
      </c>
      <c r="AX216">
        <v>-10.38</v>
      </c>
      <c r="AY216">
        <v>-10.38</v>
      </c>
      <c r="AZ216">
        <v>0</v>
      </c>
    </row>
    <row r="217" spans="1:52">
      <c r="A217" t="s">
        <v>65</v>
      </c>
      <c r="B217" t="s">
        <v>66</v>
      </c>
      <c r="C217" t="s">
        <v>67</v>
      </c>
      <c r="D217" t="s">
        <v>68</v>
      </c>
      <c r="E217" t="s">
        <v>69</v>
      </c>
      <c r="F217" t="s">
        <v>70</v>
      </c>
      <c r="G217" t="s">
        <v>71</v>
      </c>
      <c r="H217" t="s">
        <v>70</v>
      </c>
      <c r="I217" t="str">
        <f t="shared" si="49"/>
        <v>1010</v>
      </c>
      <c r="J217" t="str">
        <f t="shared" si="50"/>
        <v>05</v>
      </c>
      <c r="K217" t="s">
        <v>68</v>
      </c>
      <c r="L217" t="s">
        <v>72</v>
      </c>
      <c r="M217" t="s">
        <v>68</v>
      </c>
      <c r="N217" t="s">
        <v>181</v>
      </c>
      <c r="O217" t="s">
        <v>485</v>
      </c>
      <c r="P217" t="str">
        <f>"3020671922"</f>
        <v>3020671922</v>
      </c>
      <c r="R217" t="str">
        <f>"00030206719222"</f>
        <v>00030206719222</v>
      </c>
      <c r="S217" s="1">
        <v>41373</v>
      </c>
      <c r="T217" s="1">
        <v>41366</v>
      </c>
      <c r="U217" t="str">
        <f>"3020671922"</f>
        <v>3020671922</v>
      </c>
      <c r="V217" t="str">
        <f>"1010"</f>
        <v>1010</v>
      </c>
      <c r="W217" t="str">
        <f t="shared" si="51"/>
        <v>11</v>
      </c>
      <c r="X217" t="s">
        <v>75</v>
      </c>
      <c r="Y217" t="s">
        <v>173</v>
      </c>
      <c r="Z217" t="s">
        <v>180</v>
      </c>
      <c r="AA217" t="s">
        <v>181</v>
      </c>
      <c r="AB217" t="s">
        <v>79</v>
      </c>
      <c r="AD217" t="s">
        <v>80</v>
      </c>
      <c r="AE217" t="s">
        <v>81</v>
      </c>
      <c r="AF217" t="s">
        <v>82</v>
      </c>
      <c r="AG217" t="s">
        <v>83</v>
      </c>
      <c r="AH217" t="s">
        <v>84</v>
      </c>
      <c r="AJ217" t="str">
        <f t="shared" si="53"/>
        <v>1</v>
      </c>
      <c r="AK217" t="s">
        <v>93</v>
      </c>
      <c r="AL217" t="s">
        <v>143</v>
      </c>
      <c r="AM217" t="s">
        <v>95</v>
      </c>
      <c r="AN217" t="str">
        <f t="shared" si="52"/>
        <v>.9700</v>
      </c>
      <c r="AO217" t="str">
        <f t="shared" si="54"/>
        <v>11.41</v>
      </c>
      <c r="AP217" t="s">
        <v>96</v>
      </c>
      <c r="AQ217" t="str">
        <f t="shared" si="55"/>
        <v>11.41</v>
      </c>
      <c r="AR217">
        <v>1</v>
      </c>
      <c r="AS217">
        <v>-3</v>
      </c>
      <c r="AT217">
        <v>-2</v>
      </c>
      <c r="AU217">
        <v>11.41</v>
      </c>
      <c r="AV217">
        <v>0</v>
      </c>
      <c r="AW217">
        <v>11.41</v>
      </c>
      <c r="AX217">
        <v>-30</v>
      </c>
      <c r="AY217">
        <v>-18.59</v>
      </c>
      <c r="AZ217">
        <v>0</v>
      </c>
    </row>
    <row r="218" spans="1:52">
      <c r="A218" t="s">
        <v>65</v>
      </c>
      <c r="B218" t="s">
        <v>66</v>
      </c>
      <c r="C218" t="s">
        <v>67</v>
      </c>
      <c r="D218" t="s">
        <v>68</v>
      </c>
      <c r="E218" t="s">
        <v>69</v>
      </c>
      <c r="F218" t="s">
        <v>70</v>
      </c>
      <c r="G218" t="s">
        <v>71</v>
      </c>
      <c r="H218" t="s">
        <v>70</v>
      </c>
      <c r="I218" t="str">
        <f t="shared" si="49"/>
        <v>1010</v>
      </c>
      <c r="J218" t="str">
        <f t="shared" si="50"/>
        <v>05</v>
      </c>
      <c r="K218" t="s">
        <v>68</v>
      </c>
      <c r="L218" t="s">
        <v>72</v>
      </c>
      <c r="M218" t="s">
        <v>68</v>
      </c>
      <c r="N218" t="s">
        <v>181</v>
      </c>
      <c r="O218" t="s">
        <v>486</v>
      </c>
      <c r="P218" t="str">
        <f>"3020671202"</f>
        <v>3020671202</v>
      </c>
      <c r="R218" t="str">
        <f>"00030206712025"</f>
        <v>00030206712025</v>
      </c>
      <c r="S218" s="1">
        <v>40827</v>
      </c>
      <c r="T218" s="1">
        <v>40827</v>
      </c>
      <c r="U218" t="str">
        <f>"3020671202"</f>
        <v>3020671202</v>
      </c>
      <c r="V218" t="str">
        <f>"1510"</f>
        <v>1510</v>
      </c>
      <c r="W218" t="str">
        <f t="shared" si="51"/>
        <v>11</v>
      </c>
      <c r="X218" t="s">
        <v>75</v>
      </c>
      <c r="Y218" t="s">
        <v>76</v>
      </c>
      <c r="Z218" t="s">
        <v>180</v>
      </c>
      <c r="AA218" t="s">
        <v>181</v>
      </c>
      <c r="AB218" t="s">
        <v>79</v>
      </c>
      <c r="AD218" t="s">
        <v>80</v>
      </c>
      <c r="AE218" t="s">
        <v>81</v>
      </c>
      <c r="AF218" t="s">
        <v>82</v>
      </c>
      <c r="AG218" t="s">
        <v>83</v>
      </c>
      <c r="AH218" t="s">
        <v>84</v>
      </c>
      <c r="AI218" t="str">
        <f>"01"</f>
        <v>01</v>
      </c>
      <c r="AJ218" t="str">
        <f t="shared" si="53"/>
        <v>1</v>
      </c>
      <c r="AK218" t="s">
        <v>93</v>
      </c>
      <c r="AL218" t="s">
        <v>94</v>
      </c>
      <c r="AM218" t="s">
        <v>95</v>
      </c>
      <c r="AN218" t="str">
        <f t="shared" si="52"/>
        <v>.9700</v>
      </c>
      <c r="AO218" t="str">
        <f t="shared" si="54"/>
        <v>11.41</v>
      </c>
      <c r="AP218" t="s">
        <v>96</v>
      </c>
      <c r="AQ218" t="str">
        <f t="shared" si="55"/>
        <v>11.41</v>
      </c>
      <c r="AR218">
        <v>0</v>
      </c>
      <c r="AS218">
        <v>-3</v>
      </c>
      <c r="AT218">
        <v>-3</v>
      </c>
      <c r="AU218">
        <v>0</v>
      </c>
      <c r="AV218">
        <v>0</v>
      </c>
      <c r="AW218">
        <v>0</v>
      </c>
      <c r="AX218">
        <v>-31.02</v>
      </c>
      <c r="AY218">
        <v>-31.02</v>
      </c>
      <c r="AZ218">
        <v>0</v>
      </c>
    </row>
    <row r="219" spans="1:52">
      <c r="A219" t="s">
        <v>65</v>
      </c>
      <c r="B219" t="s">
        <v>66</v>
      </c>
      <c r="C219" t="s">
        <v>67</v>
      </c>
      <c r="D219" t="s">
        <v>68</v>
      </c>
      <c r="E219" t="s">
        <v>69</v>
      </c>
      <c r="F219" t="s">
        <v>70</v>
      </c>
      <c r="G219" t="s">
        <v>71</v>
      </c>
      <c r="H219" t="s">
        <v>70</v>
      </c>
      <c r="I219" t="str">
        <f t="shared" si="49"/>
        <v>1010</v>
      </c>
      <c r="J219" t="str">
        <f t="shared" si="50"/>
        <v>05</v>
      </c>
      <c r="K219" t="s">
        <v>68</v>
      </c>
      <c r="L219" t="s">
        <v>72</v>
      </c>
      <c r="M219" t="s">
        <v>68</v>
      </c>
      <c r="N219" t="s">
        <v>181</v>
      </c>
      <c r="O219" t="s">
        <v>487</v>
      </c>
      <c r="P219" t="str">
        <f>"3020671152"</f>
        <v>3020671152</v>
      </c>
      <c r="R219" t="str">
        <f>"00030206711523"</f>
        <v>00030206711523</v>
      </c>
      <c r="S219" s="1">
        <v>40827</v>
      </c>
      <c r="T219" s="1">
        <v>40813</v>
      </c>
      <c r="U219" t="str">
        <f>"3020671152"</f>
        <v>3020671152</v>
      </c>
      <c r="V219" t="str">
        <f>"1510"</f>
        <v>1510</v>
      </c>
      <c r="W219" t="str">
        <f t="shared" si="51"/>
        <v>11</v>
      </c>
      <c r="X219" t="s">
        <v>75</v>
      </c>
      <c r="Y219" t="s">
        <v>76</v>
      </c>
      <c r="Z219" t="s">
        <v>180</v>
      </c>
      <c r="AA219" t="s">
        <v>181</v>
      </c>
      <c r="AB219" t="s">
        <v>79</v>
      </c>
      <c r="AD219" t="s">
        <v>80</v>
      </c>
      <c r="AE219" t="s">
        <v>81</v>
      </c>
      <c r="AF219" t="s">
        <v>82</v>
      </c>
      <c r="AG219" t="s">
        <v>83</v>
      </c>
      <c r="AH219" t="s">
        <v>84</v>
      </c>
      <c r="AI219" t="str">
        <f>"01"</f>
        <v>01</v>
      </c>
      <c r="AJ219" t="str">
        <f t="shared" si="53"/>
        <v>1</v>
      </c>
      <c r="AK219" t="s">
        <v>93</v>
      </c>
      <c r="AL219" t="s">
        <v>94</v>
      </c>
      <c r="AM219" t="s">
        <v>95</v>
      </c>
      <c r="AN219" t="str">
        <f t="shared" si="52"/>
        <v>.9700</v>
      </c>
      <c r="AO219" t="str">
        <f t="shared" si="54"/>
        <v>11.41</v>
      </c>
      <c r="AP219" t="s">
        <v>96</v>
      </c>
      <c r="AQ219" t="str">
        <f t="shared" si="55"/>
        <v>11.41</v>
      </c>
      <c r="AR219">
        <v>3</v>
      </c>
      <c r="AS219">
        <v>0</v>
      </c>
      <c r="AT219">
        <v>3</v>
      </c>
      <c r="AU219">
        <v>34.229999999999997</v>
      </c>
      <c r="AV219">
        <v>4.1100000000000003</v>
      </c>
      <c r="AW219">
        <v>30.12</v>
      </c>
      <c r="AX219">
        <v>0</v>
      </c>
      <c r="AY219">
        <v>30.12</v>
      </c>
      <c r="AZ219">
        <v>0</v>
      </c>
    </row>
    <row r="220" spans="1:52">
      <c r="A220" t="s">
        <v>65</v>
      </c>
      <c r="B220" t="s">
        <v>66</v>
      </c>
      <c r="C220" t="s">
        <v>67</v>
      </c>
      <c r="D220" t="s">
        <v>68</v>
      </c>
      <c r="E220" t="s">
        <v>69</v>
      </c>
      <c r="F220" t="s">
        <v>70</v>
      </c>
      <c r="G220" t="s">
        <v>71</v>
      </c>
      <c r="H220" t="s">
        <v>70</v>
      </c>
      <c r="I220" t="str">
        <f t="shared" si="49"/>
        <v>1010</v>
      </c>
      <c r="J220" t="str">
        <f t="shared" si="50"/>
        <v>05</v>
      </c>
      <c r="K220" t="s">
        <v>68</v>
      </c>
      <c r="L220" t="s">
        <v>72</v>
      </c>
      <c r="M220" t="s">
        <v>68</v>
      </c>
      <c r="N220" t="s">
        <v>181</v>
      </c>
      <c r="O220" t="s">
        <v>488</v>
      </c>
      <c r="P220" t="str">
        <f>"3020669552"</f>
        <v>3020669552</v>
      </c>
      <c r="R220" t="str">
        <f>"00030206695526"</f>
        <v>00030206695526</v>
      </c>
      <c r="S220" s="1">
        <v>39896</v>
      </c>
      <c r="T220" s="1">
        <v>39889</v>
      </c>
      <c r="U220" t="str">
        <f>"3020669552"</f>
        <v>3020669552</v>
      </c>
      <c r="V220" t="str">
        <f>"1510"</f>
        <v>1510</v>
      </c>
      <c r="W220" t="str">
        <f t="shared" si="51"/>
        <v>11</v>
      </c>
      <c r="X220" t="s">
        <v>75</v>
      </c>
      <c r="Y220" t="s">
        <v>76</v>
      </c>
      <c r="Z220" t="s">
        <v>180</v>
      </c>
      <c r="AA220" t="s">
        <v>181</v>
      </c>
      <c r="AB220" t="s">
        <v>79</v>
      </c>
      <c r="AD220" t="s">
        <v>80</v>
      </c>
      <c r="AE220" t="s">
        <v>81</v>
      </c>
      <c r="AF220" t="s">
        <v>82</v>
      </c>
      <c r="AG220" t="s">
        <v>83</v>
      </c>
      <c r="AH220" t="s">
        <v>84</v>
      </c>
      <c r="AI220" t="str">
        <f>"01"</f>
        <v>01</v>
      </c>
      <c r="AJ220" t="str">
        <f t="shared" si="53"/>
        <v>1</v>
      </c>
      <c r="AK220" t="s">
        <v>93</v>
      </c>
      <c r="AL220" t="s">
        <v>94</v>
      </c>
      <c r="AM220" t="s">
        <v>95</v>
      </c>
      <c r="AN220" t="str">
        <f t="shared" si="52"/>
        <v>.9700</v>
      </c>
      <c r="AO220" t="str">
        <f t="shared" si="54"/>
        <v>11.41</v>
      </c>
      <c r="AP220" t="s">
        <v>96</v>
      </c>
      <c r="AQ220" t="str">
        <f t="shared" si="55"/>
        <v>11.41</v>
      </c>
      <c r="AR220">
        <v>1</v>
      </c>
      <c r="AS220">
        <v>0</v>
      </c>
      <c r="AT220">
        <v>1</v>
      </c>
      <c r="AU220">
        <v>11.41</v>
      </c>
      <c r="AV220">
        <v>0</v>
      </c>
      <c r="AW220">
        <v>11.41</v>
      </c>
      <c r="AX220">
        <v>0</v>
      </c>
      <c r="AY220">
        <v>11.41</v>
      </c>
      <c r="AZ220">
        <v>0</v>
      </c>
    </row>
    <row r="221" spans="1:52">
      <c r="A221" t="s">
        <v>65</v>
      </c>
      <c r="B221" t="s">
        <v>66</v>
      </c>
      <c r="C221" t="s">
        <v>67</v>
      </c>
      <c r="D221" t="s">
        <v>68</v>
      </c>
      <c r="E221" t="s">
        <v>69</v>
      </c>
      <c r="F221" t="s">
        <v>70</v>
      </c>
      <c r="G221" t="s">
        <v>71</v>
      </c>
      <c r="H221" t="s">
        <v>70</v>
      </c>
      <c r="I221" t="str">
        <f t="shared" si="49"/>
        <v>1010</v>
      </c>
      <c r="J221" t="str">
        <f t="shared" si="50"/>
        <v>05</v>
      </c>
      <c r="K221" t="s">
        <v>68</v>
      </c>
      <c r="L221" t="s">
        <v>72</v>
      </c>
      <c r="M221" t="s">
        <v>68</v>
      </c>
      <c r="N221" t="s">
        <v>181</v>
      </c>
      <c r="O221" t="s">
        <v>489</v>
      </c>
      <c r="P221" t="str">
        <f>"3020672128"</f>
        <v>3020672128</v>
      </c>
      <c r="R221" t="str">
        <f>"00030206721287"</f>
        <v>00030206721287</v>
      </c>
      <c r="S221" s="1">
        <v>41492</v>
      </c>
      <c r="T221" s="1">
        <v>41492</v>
      </c>
      <c r="U221" t="str">
        <f>"3020672128"</f>
        <v>3020672128</v>
      </c>
      <c r="V221" t="str">
        <f>"1010"</f>
        <v>1010</v>
      </c>
      <c r="W221" t="str">
        <f t="shared" si="51"/>
        <v>11</v>
      </c>
      <c r="X221" t="s">
        <v>75</v>
      </c>
      <c r="Y221" t="s">
        <v>173</v>
      </c>
      <c r="Z221" t="s">
        <v>180</v>
      </c>
      <c r="AA221" t="s">
        <v>181</v>
      </c>
      <c r="AB221" t="s">
        <v>79</v>
      </c>
      <c r="AD221" t="s">
        <v>80</v>
      </c>
      <c r="AE221" t="s">
        <v>81</v>
      </c>
      <c r="AF221" t="s">
        <v>82</v>
      </c>
      <c r="AG221" t="s">
        <v>83</v>
      </c>
      <c r="AH221" t="s">
        <v>84</v>
      </c>
      <c r="AJ221" t="str">
        <f t="shared" si="53"/>
        <v>1</v>
      </c>
      <c r="AK221" t="s">
        <v>93</v>
      </c>
      <c r="AL221" t="s">
        <v>143</v>
      </c>
      <c r="AM221" t="s">
        <v>95</v>
      </c>
      <c r="AN221" t="str">
        <f t="shared" si="52"/>
        <v>.9700</v>
      </c>
      <c r="AO221" t="str">
        <f t="shared" si="54"/>
        <v>11.41</v>
      </c>
      <c r="AP221" t="s">
        <v>96</v>
      </c>
      <c r="AQ221" t="str">
        <f t="shared" si="55"/>
        <v>11.41</v>
      </c>
      <c r="AR221">
        <v>7</v>
      </c>
      <c r="AS221">
        <v>-34</v>
      </c>
      <c r="AT221">
        <v>-27</v>
      </c>
      <c r="AU221">
        <v>79.87</v>
      </c>
      <c r="AV221">
        <v>0</v>
      </c>
      <c r="AW221">
        <v>79.87</v>
      </c>
      <c r="AX221">
        <v>-338.93</v>
      </c>
      <c r="AY221">
        <v>-259.06</v>
      </c>
      <c r="AZ221">
        <v>0</v>
      </c>
    </row>
    <row r="222" spans="1:52">
      <c r="A222" t="s">
        <v>65</v>
      </c>
      <c r="B222" t="s">
        <v>66</v>
      </c>
      <c r="C222" t="s">
        <v>67</v>
      </c>
      <c r="D222" t="s">
        <v>68</v>
      </c>
      <c r="E222" t="s">
        <v>69</v>
      </c>
      <c r="F222" t="s">
        <v>70</v>
      </c>
      <c r="G222" t="s">
        <v>71</v>
      </c>
      <c r="H222" t="s">
        <v>70</v>
      </c>
      <c r="I222" t="str">
        <f t="shared" si="49"/>
        <v>1010</v>
      </c>
      <c r="J222" t="str">
        <f t="shared" si="50"/>
        <v>05</v>
      </c>
      <c r="K222" t="s">
        <v>68</v>
      </c>
      <c r="L222" t="s">
        <v>72</v>
      </c>
      <c r="M222" t="s">
        <v>68</v>
      </c>
      <c r="N222" t="s">
        <v>181</v>
      </c>
      <c r="O222" t="s">
        <v>490</v>
      </c>
      <c r="P222" t="str">
        <f>"3020672271"</f>
        <v>3020672271</v>
      </c>
      <c r="R222" t="str">
        <f>"00030206722710"</f>
        <v>00030206722710</v>
      </c>
      <c r="S222" s="1">
        <v>41618</v>
      </c>
      <c r="T222" s="1">
        <v>41618</v>
      </c>
      <c r="U222" t="str">
        <f>"3020672271"</f>
        <v>3020672271</v>
      </c>
      <c r="V222" t="str">
        <f>"1010"</f>
        <v>1010</v>
      </c>
      <c r="W222" t="str">
        <f t="shared" si="51"/>
        <v>11</v>
      </c>
      <c r="X222" t="s">
        <v>75</v>
      </c>
      <c r="Y222" t="s">
        <v>173</v>
      </c>
      <c r="Z222" t="s">
        <v>180</v>
      </c>
      <c r="AA222" t="s">
        <v>181</v>
      </c>
      <c r="AB222" t="s">
        <v>79</v>
      </c>
      <c r="AD222" t="s">
        <v>80</v>
      </c>
      <c r="AE222" t="s">
        <v>81</v>
      </c>
      <c r="AF222" t="s">
        <v>82</v>
      </c>
      <c r="AG222" t="s">
        <v>140</v>
      </c>
      <c r="AH222" t="s">
        <v>141</v>
      </c>
      <c r="AJ222" t="str">
        <f t="shared" si="53"/>
        <v>1</v>
      </c>
      <c r="AK222" t="s">
        <v>142</v>
      </c>
      <c r="AL222" t="s">
        <v>143</v>
      </c>
      <c r="AM222" t="s">
        <v>95</v>
      </c>
      <c r="AN222" t="str">
        <f t="shared" si="52"/>
        <v>.9700</v>
      </c>
      <c r="AO222" t="str">
        <f>"11.59"</f>
        <v>11.59</v>
      </c>
      <c r="AP222" t="s">
        <v>144</v>
      </c>
      <c r="AQ222" t="str">
        <f>"11.59"</f>
        <v>11.59</v>
      </c>
      <c r="AR222">
        <v>1</v>
      </c>
      <c r="AS222">
        <v>0</v>
      </c>
      <c r="AT222">
        <v>1</v>
      </c>
      <c r="AU222">
        <v>11.59</v>
      </c>
      <c r="AV222">
        <v>0</v>
      </c>
      <c r="AW222">
        <v>11.59</v>
      </c>
      <c r="AX222">
        <v>0</v>
      </c>
      <c r="AY222">
        <v>11.59</v>
      </c>
      <c r="AZ222">
        <v>0</v>
      </c>
    </row>
    <row r="223" spans="1:52">
      <c r="A223" t="s">
        <v>65</v>
      </c>
      <c r="B223" t="s">
        <v>66</v>
      </c>
      <c r="C223" t="s">
        <v>67</v>
      </c>
      <c r="D223" t="s">
        <v>68</v>
      </c>
      <c r="E223" t="s">
        <v>69</v>
      </c>
      <c r="F223" t="s">
        <v>70</v>
      </c>
      <c r="G223" t="s">
        <v>71</v>
      </c>
      <c r="H223" t="s">
        <v>70</v>
      </c>
      <c r="I223" t="str">
        <f t="shared" si="49"/>
        <v>1010</v>
      </c>
      <c r="J223" t="str">
        <f t="shared" si="50"/>
        <v>05</v>
      </c>
      <c r="K223" t="s">
        <v>68</v>
      </c>
      <c r="L223" t="s">
        <v>72</v>
      </c>
      <c r="M223" t="s">
        <v>68</v>
      </c>
      <c r="N223" t="s">
        <v>181</v>
      </c>
      <c r="O223" t="s">
        <v>490</v>
      </c>
      <c r="P223" t="str">
        <f>"3020672278"</f>
        <v>3020672278</v>
      </c>
      <c r="R223" t="str">
        <f>"00030206722789"</f>
        <v>00030206722789</v>
      </c>
      <c r="S223" s="1">
        <v>41569</v>
      </c>
      <c r="T223" s="1">
        <v>41569</v>
      </c>
      <c r="U223" t="str">
        <f>"3020672278"</f>
        <v>3020672278</v>
      </c>
      <c r="V223" t="str">
        <f>"1010"</f>
        <v>1010</v>
      </c>
      <c r="W223" t="str">
        <f t="shared" si="51"/>
        <v>11</v>
      </c>
      <c r="X223" t="s">
        <v>75</v>
      </c>
      <c r="Y223" t="s">
        <v>173</v>
      </c>
      <c r="Z223" t="s">
        <v>180</v>
      </c>
      <c r="AA223" t="s">
        <v>181</v>
      </c>
      <c r="AB223" t="s">
        <v>79</v>
      </c>
      <c r="AD223" t="s">
        <v>80</v>
      </c>
      <c r="AE223" t="s">
        <v>81</v>
      </c>
      <c r="AF223" t="s">
        <v>82</v>
      </c>
      <c r="AG223" t="s">
        <v>83</v>
      </c>
      <c r="AH223" t="s">
        <v>84</v>
      </c>
      <c r="AJ223" t="str">
        <f t="shared" si="53"/>
        <v>1</v>
      </c>
      <c r="AK223" t="s">
        <v>93</v>
      </c>
      <c r="AL223" t="s">
        <v>143</v>
      </c>
      <c r="AM223" t="s">
        <v>95</v>
      </c>
      <c r="AN223" t="str">
        <f t="shared" si="52"/>
        <v>.9700</v>
      </c>
      <c r="AO223" t="str">
        <f>"11.41"</f>
        <v>11.41</v>
      </c>
      <c r="AP223" t="s">
        <v>96</v>
      </c>
      <c r="AQ223" t="str">
        <f>"11.41"</f>
        <v>11.41</v>
      </c>
      <c r="AR223">
        <v>0</v>
      </c>
      <c r="AS223">
        <v>-74</v>
      </c>
      <c r="AT223">
        <v>-74</v>
      </c>
      <c r="AU223">
        <v>0</v>
      </c>
      <c r="AV223">
        <v>0</v>
      </c>
      <c r="AW223">
        <v>0</v>
      </c>
      <c r="AX223">
        <v>-734.14</v>
      </c>
      <c r="AY223">
        <v>-734.14</v>
      </c>
      <c r="AZ223">
        <v>0</v>
      </c>
    </row>
    <row r="224" spans="1:52">
      <c r="A224" t="s">
        <v>65</v>
      </c>
      <c r="B224" t="s">
        <v>66</v>
      </c>
      <c r="C224" t="s">
        <v>67</v>
      </c>
      <c r="D224" t="s">
        <v>68</v>
      </c>
      <c r="E224" t="s">
        <v>69</v>
      </c>
      <c r="F224" t="s">
        <v>70</v>
      </c>
      <c r="G224" t="s">
        <v>71</v>
      </c>
      <c r="H224" t="s">
        <v>70</v>
      </c>
      <c r="I224" t="str">
        <f t="shared" si="49"/>
        <v>1010</v>
      </c>
      <c r="J224" t="str">
        <f t="shared" si="50"/>
        <v>05</v>
      </c>
      <c r="K224" t="s">
        <v>68</v>
      </c>
      <c r="L224" t="s">
        <v>72</v>
      </c>
      <c r="M224" t="s">
        <v>68</v>
      </c>
      <c r="N224" t="s">
        <v>181</v>
      </c>
      <c r="O224" t="s">
        <v>491</v>
      </c>
      <c r="P224" t="str">
        <f>"3020670882"</f>
        <v>3020670882</v>
      </c>
      <c r="R224" t="str">
        <f>"00030206708820"</f>
        <v>00030206708820</v>
      </c>
      <c r="S224" s="1">
        <v>40666</v>
      </c>
      <c r="T224" s="1">
        <v>40666</v>
      </c>
      <c r="U224" t="str">
        <f>"3020670882"</f>
        <v>3020670882</v>
      </c>
      <c r="V224" t="str">
        <f>"1510"</f>
        <v>1510</v>
      </c>
      <c r="W224" t="str">
        <f t="shared" si="51"/>
        <v>11</v>
      </c>
      <c r="X224" t="s">
        <v>75</v>
      </c>
      <c r="Y224" t="s">
        <v>76</v>
      </c>
      <c r="Z224" t="s">
        <v>180</v>
      </c>
      <c r="AA224" t="s">
        <v>181</v>
      </c>
      <c r="AB224" t="s">
        <v>79</v>
      </c>
      <c r="AD224" t="s">
        <v>80</v>
      </c>
      <c r="AE224" t="s">
        <v>81</v>
      </c>
      <c r="AF224" t="s">
        <v>82</v>
      </c>
      <c r="AG224" t="s">
        <v>83</v>
      </c>
      <c r="AH224" t="s">
        <v>84</v>
      </c>
      <c r="AI224" t="str">
        <f t="shared" ref="AI224:AI231" si="56">"01"</f>
        <v>01</v>
      </c>
      <c r="AJ224" t="str">
        <f t="shared" si="53"/>
        <v>1</v>
      </c>
      <c r="AK224" t="s">
        <v>93</v>
      </c>
      <c r="AL224" t="s">
        <v>94</v>
      </c>
      <c r="AM224" t="s">
        <v>95</v>
      </c>
      <c r="AN224" t="str">
        <f t="shared" si="52"/>
        <v>.9700</v>
      </c>
      <c r="AO224" t="str">
        <f>"11.41"</f>
        <v>11.41</v>
      </c>
      <c r="AP224" t="s">
        <v>96</v>
      </c>
      <c r="AQ224" t="str">
        <f>"11.41"</f>
        <v>11.41</v>
      </c>
      <c r="AR224">
        <v>34</v>
      </c>
      <c r="AS224">
        <v>0</v>
      </c>
      <c r="AT224">
        <v>34</v>
      </c>
      <c r="AU224">
        <v>369.19</v>
      </c>
      <c r="AV224">
        <v>43.81</v>
      </c>
      <c r="AW224">
        <v>325.38</v>
      </c>
      <c r="AX224">
        <v>0</v>
      </c>
      <c r="AY224">
        <v>325.38</v>
      </c>
      <c r="AZ224">
        <v>0</v>
      </c>
    </row>
    <row r="225" spans="1:52">
      <c r="A225" t="s">
        <v>65</v>
      </c>
      <c r="B225" t="s">
        <v>66</v>
      </c>
      <c r="C225" t="s">
        <v>67</v>
      </c>
      <c r="D225" t="s">
        <v>68</v>
      </c>
      <c r="E225" t="s">
        <v>69</v>
      </c>
      <c r="F225" t="s">
        <v>70</v>
      </c>
      <c r="G225" t="s">
        <v>71</v>
      </c>
      <c r="H225" t="s">
        <v>70</v>
      </c>
      <c r="I225" t="str">
        <f t="shared" si="49"/>
        <v>1010</v>
      </c>
      <c r="J225" t="str">
        <f t="shared" si="50"/>
        <v>05</v>
      </c>
      <c r="K225" t="s">
        <v>68</v>
      </c>
      <c r="L225" t="s">
        <v>72</v>
      </c>
      <c r="M225" t="s">
        <v>68</v>
      </c>
      <c r="N225" t="s">
        <v>181</v>
      </c>
      <c r="O225" t="s">
        <v>492</v>
      </c>
      <c r="P225" t="s">
        <v>493</v>
      </c>
      <c r="R225" t="str">
        <f>"00030206534825"</f>
        <v>00030206534825</v>
      </c>
      <c r="S225" s="1">
        <v>33589</v>
      </c>
      <c r="T225" s="1">
        <v>33589</v>
      </c>
      <c r="U225" t="s">
        <v>493</v>
      </c>
      <c r="V225" t="str">
        <f>"1510"</f>
        <v>1510</v>
      </c>
      <c r="W225" t="str">
        <f t="shared" si="51"/>
        <v>11</v>
      </c>
      <c r="X225" t="s">
        <v>75</v>
      </c>
      <c r="Y225" t="s">
        <v>76</v>
      </c>
      <c r="Z225" t="s">
        <v>180</v>
      </c>
      <c r="AA225" t="s">
        <v>181</v>
      </c>
      <c r="AB225" t="s">
        <v>79</v>
      </c>
      <c r="AD225" t="s">
        <v>80</v>
      </c>
      <c r="AE225" t="s">
        <v>81</v>
      </c>
      <c r="AF225" t="s">
        <v>82</v>
      </c>
      <c r="AG225" t="s">
        <v>83</v>
      </c>
      <c r="AH225" t="s">
        <v>84</v>
      </c>
      <c r="AI225" t="str">
        <f t="shared" si="56"/>
        <v>01</v>
      </c>
      <c r="AJ225" t="str">
        <f t="shared" si="53"/>
        <v>1</v>
      </c>
      <c r="AK225" t="s">
        <v>107</v>
      </c>
      <c r="AL225" t="s">
        <v>94</v>
      </c>
      <c r="AM225" t="s">
        <v>95</v>
      </c>
      <c r="AN225" t="str">
        <f t="shared" si="52"/>
        <v>.9700</v>
      </c>
      <c r="AO225" t="str">
        <f>"10.78"</f>
        <v>10.78</v>
      </c>
      <c r="AP225" t="s">
        <v>108</v>
      </c>
      <c r="AQ225" t="str">
        <f>"10.78"</f>
        <v>10.78</v>
      </c>
      <c r="AR225">
        <v>0</v>
      </c>
      <c r="AS225">
        <v>-1</v>
      </c>
      <c r="AT225">
        <v>-1</v>
      </c>
      <c r="AU225">
        <v>-1.82</v>
      </c>
      <c r="AV225">
        <v>0</v>
      </c>
      <c r="AW225">
        <v>-1.82</v>
      </c>
      <c r="AX225">
        <v>-9.93</v>
      </c>
      <c r="AY225">
        <v>-11.75</v>
      </c>
      <c r="AZ225">
        <v>0</v>
      </c>
    </row>
    <row r="226" spans="1:52">
      <c r="A226" t="s">
        <v>65</v>
      </c>
      <c r="B226" t="s">
        <v>66</v>
      </c>
      <c r="C226" t="s">
        <v>67</v>
      </c>
      <c r="D226" t="s">
        <v>68</v>
      </c>
      <c r="E226" t="s">
        <v>69</v>
      </c>
      <c r="F226" t="s">
        <v>70</v>
      </c>
      <c r="G226" t="s">
        <v>71</v>
      </c>
      <c r="H226" t="s">
        <v>70</v>
      </c>
      <c r="I226" t="str">
        <f t="shared" si="49"/>
        <v>1010</v>
      </c>
      <c r="J226" t="str">
        <f t="shared" si="50"/>
        <v>05</v>
      </c>
      <c r="K226" t="s">
        <v>68</v>
      </c>
      <c r="L226" t="s">
        <v>72</v>
      </c>
      <c r="M226" t="s">
        <v>68</v>
      </c>
      <c r="N226" t="s">
        <v>181</v>
      </c>
      <c r="O226" t="s">
        <v>494</v>
      </c>
      <c r="P226" t="str">
        <f>"3020671092"</f>
        <v>3020671092</v>
      </c>
      <c r="R226" t="str">
        <f>"00030206710922"</f>
        <v>00030206710922</v>
      </c>
      <c r="S226" s="1">
        <v>40771</v>
      </c>
      <c r="T226" s="1">
        <v>40764</v>
      </c>
      <c r="U226" t="str">
        <f>"3020671092"</f>
        <v>3020671092</v>
      </c>
      <c r="V226" t="str">
        <f>"1510"</f>
        <v>1510</v>
      </c>
      <c r="W226" t="str">
        <f t="shared" si="51"/>
        <v>11</v>
      </c>
      <c r="X226" t="s">
        <v>376</v>
      </c>
      <c r="Y226" t="s">
        <v>76</v>
      </c>
      <c r="Z226" t="s">
        <v>180</v>
      </c>
      <c r="AA226" t="s">
        <v>181</v>
      </c>
      <c r="AB226" t="s">
        <v>79</v>
      </c>
      <c r="AD226" t="s">
        <v>80</v>
      </c>
      <c r="AE226" t="s">
        <v>81</v>
      </c>
      <c r="AF226" t="s">
        <v>82</v>
      </c>
      <c r="AG226" t="s">
        <v>83</v>
      </c>
      <c r="AH226" t="s">
        <v>84</v>
      </c>
      <c r="AI226" t="str">
        <f t="shared" si="56"/>
        <v>01</v>
      </c>
      <c r="AJ226" t="str">
        <f t="shared" si="53"/>
        <v>1</v>
      </c>
      <c r="AK226" t="s">
        <v>93</v>
      </c>
      <c r="AL226" t="s">
        <v>94</v>
      </c>
      <c r="AM226" t="s">
        <v>95</v>
      </c>
      <c r="AN226" t="str">
        <f t="shared" si="52"/>
        <v>.9700</v>
      </c>
      <c r="AO226" t="str">
        <f t="shared" ref="AO226:AO240" si="57">"11.41"</f>
        <v>11.41</v>
      </c>
      <c r="AP226" t="s">
        <v>96</v>
      </c>
      <c r="AQ226" t="str">
        <f t="shared" ref="AQ226:AQ240" si="58">"11.41"</f>
        <v>11.41</v>
      </c>
      <c r="AR226">
        <v>0</v>
      </c>
      <c r="AS226">
        <v>-7</v>
      </c>
      <c r="AT226">
        <v>-7</v>
      </c>
      <c r="AU226">
        <v>0</v>
      </c>
      <c r="AV226">
        <v>0</v>
      </c>
      <c r="AW226">
        <v>0</v>
      </c>
      <c r="AX226">
        <v>-69.78</v>
      </c>
      <c r="AY226">
        <v>-69.78</v>
      </c>
      <c r="AZ226">
        <v>0</v>
      </c>
    </row>
    <row r="227" spans="1:52">
      <c r="A227" t="s">
        <v>65</v>
      </c>
      <c r="B227" t="s">
        <v>66</v>
      </c>
      <c r="C227" t="s">
        <v>67</v>
      </c>
      <c r="D227" t="s">
        <v>68</v>
      </c>
      <c r="E227" t="s">
        <v>69</v>
      </c>
      <c r="F227" t="s">
        <v>70</v>
      </c>
      <c r="G227" t="s">
        <v>71</v>
      </c>
      <c r="H227" t="s">
        <v>70</v>
      </c>
      <c r="I227" t="str">
        <f t="shared" si="49"/>
        <v>1010</v>
      </c>
      <c r="J227" t="str">
        <f t="shared" si="50"/>
        <v>05</v>
      </c>
      <c r="K227" t="s">
        <v>68</v>
      </c>
      <c r="L227" t="s">
        <v>72</v>
      </c>
      <c r="M227" t="s">
        <v>68</v>
      </c>
      <c r="N227" t="s">
        <v>181</v>
      </c>
      <c r="O227" t="s">
        <v>495</v>
      </c>
      <c r="P227" t="str">
        <f>"3020666992"</f>
        <v>3020666992</v>
      </c>
      <c r="R227" t="str">
        <f>"00030206669923"</f>
        <v>00030206669923</v>
      </c>
      <c r="S227" s="1">
        <v>38664</v>
      </c>
      <c r="T227" s="1">
        <v>38664</v>
      </c>
      <c r="U227" t="str">
        <f>"3020666992"</f>
        <v>3020666992</v>
      </c>
      <c r="V227" t="str">
        <f>"1510"</f>
        <v>1510</v>
      </c>
      <c r="W227" t="str">
        <f t="shared" si="51"/>
        <v>11</v>
      </c>
      <c r="X227" t="s">
        <v>75</v>
      </c>
      <c r="Y227" t="s">
        <v>76</v>
      </c>
      <c r="Z227" t="s">
        <v>180</v>
      </c>
      <c r="AA227" t="s">
        <v>181</v>
      </c>
      <c r="AB227" t="s">
        <v>79</v>
      </c>
      <c r="AD227" t="s">
        <v>80</v>
      </c>
      <c r="AE227" t="s">
        <v>81</v>
      </c>
      <c r="AF227" t="s">
        <v>82</v>
      </c>
      <c r="AG227" t="s">
        <v>83</v>
      </c>
      <c r="AH227" t="s">
        <v>84</v>
      </c>
      <c r="AI227" t="str">
        <f t="shared" si="56"/>
        <v>01</v>
      </c>
      <c r="AJ227" t="str">
        <f t="shared" si="53"/>
        <v>1</v>
      </c>
      <c r="AK227" t="s">
        <v>93</v>
      </c>
      <c r="AL227" t="s">
        <v>94</v>
      </c>
      <c r="AM227" t="s">
        <v>95</v>
      </c>
      <c r="AN227" t="str">
        <f t="shared" si="52"/>
        <v>.9700</v>
      </c>
      <c r="AO227" t="str">
        <f t="shared" si="57"/>
        <v>11.41</v>
      </c>
      <c r="AP227" t="s">
        <v>96</v>
      </c>
      <c r="AQ227" t="str">
        <f t="shared" si="58"/>
        <v>11.41</v>
      </c>
      <c r="AR227">
        <v>97</v>
      </c>
      <c r="AS227">
        <v>0</v>
      </c>
      <c r="AT227">
        <v>97</v>
      </c>
      <c r="AU227">
        <v>1106.72</v>
      </c>
      <c r="AV227">
        <v>83.52</v>
      </c>
      <c r="AW227">
        <v>1023.2</v>
      </c>
      <c r="AX227">
        <v>0</v>
      </c>
      <c r="AY227">
        <v>1023.2</v>
      </c>
      <c r="AZ227">
        <v>0</v>
      </c>
    </row>
    <row r="228" spans="1:52">
      <c r="A228" t="s">
        <v>65</v>
      </c>
      <c r="B228" t="s">
        <v>66</v>
      </c>
      <c r="C228" t="s">
        <v>67</v>
      </c>
      <c r="D228" t="s">
        <v>68</v>
      </c>
      <c r="E228" t="s">
        <v>69</v>
      </c>
      <c r="F228" t="s">
        <v>70</v>
      </c>
      <c r="G228" t="s">
        <v>71</v>
      </c>
      <c r="H228" t="s">
        <v>70</v>
      </c>
      <c r="I228" t="str">
        <f t="shared" si="49"/>
        <v>1010</v>
      </c>
      <c r="J228" t="str">
        <f t="shared" si="50"/>
        <v>05</v>
      </c>
      <c r="K228" t="s">
        <v>68</v>
      </c>
      <c r="L228" t="s">
        <v>72</v>
      </c>
      <c r="M228" t="s">
        <v>68</v>
      </c>
      <c r="N228" t="s">
        <v>181</v>
      </c>
      <c r="O228" t="s">
        <v>496</v>
      </c>
      <c r="P228" t="str">
        <f>"3020670992"</f>
        <v>3020670992</v>
      </c>
      <c r="R228" t="str">
        <f>"00030206709926"</f>
        <v>00030206709926</v>
      </c>
      <c r="S228" s="1">
        <v>40708</v>
      </c>
      <c r="T228" s="1">
        <v>40708</v>
      </c>
      <c r="U228" t="str">
        <f>"3020670992"</f>
        <v>3020670992</v>
      </c>
      <c r="V228" t="str">
        <f>"1510"</f>
        <v>1510</v>
      </c>
      <c r="W228" t="str">
        <f t="shared" si="51"/>
        <v>11</v>
      </c>
      <c r="X228" t="s">
        <v>75</v>
      </c>
      <c r="Y228" t="s">
        <v>76</v>
      </c>
      <c r="Z228" t="s">
        <v>180</v>
      </c>
      <c r="AA228" t="s">
        <v>181</v>
      </c>
      <c r="AB228" t="s">
        <v>79</v>
      </c>
      <c r="AD228" t="s">
        <v>80</v>
      </c>
      <c r="AE228" t="s">
        <v>81</v>
      </c>
      <c r="AF228" t="s">
        <v>82</v>
      </c>
      <c r="AG228" t="s">
        <v>83</v>
      </c>
      <c r="AH228" t="s">
        <v>84</v>
      </c>
      <c r="AI228" t="str">
        <f t="shared" si="56"/>
        <v>01</v>
      </c>
      <c r="AJ228" t="str">
        <f t="shared" si="53"/>
        <v>1</v>
      </c>
      <c r="AK228" t="s">
        <v>93</v>
      </c>
      <c r="AL228" t="s">
        <v>94</v>
      </c>
      <c r="AM228" t="s">
        <v>95</v>
      </c>
      <c r="AN228" t="str">
        <f t="shared" si="52"/>
        <v>.9700</v>
      </c>
      <c r="AO228" t="str">
        <f t="shared" si="57"/>
        <v>11.41</v>
      </c>
      <c r="AP228" t="s">
        <v>96</v>
      </c>
      <c r="AQ228" t="str">
        <f t="shared" si="58"/>
        <v>11.41</v>
      </c>
      <c r="AR228">
        <v>5</v>
      </c>
      <c r="AS228">
        <v>0</v>
      </c>
      <c r="AT228">
        <v>5</v>
      </c>
      <c r="AU228">
        <v>57.05</v>
      </c>
      <c r="AV228">
        <v>6.85</v>
      </c>
      <c r="AW228">
        <v>50.2</v>
      </c>
      <c r="AX228">
        <v>0</v>
      </c>
      <c r="AY228">
        <v>50.2</v>
      </c>
      <c r="AZ228">
        <v>0</v>
      </c>
    </row>
    <row r="229" spans="1:52">
      <c r="A229" t="s">
        <v>65</v>
      </c>
      <c r="B229" t="s">
        <v>66</v>
      </c>
      <c r="C229" t="s">
        <v>67</v>
      </c>
      <c r="D229" t="s">
        <v>68</v>
      </c>
      <c r="E229" t="s">
        <v>69</v>
      </c>
      <c r="F229" t="s">
        <v>70</v>
      </c>
      <c r="G229" t="s">
        <v>71</v>
      </c>
      <c r="H229" t="s">
        <v>70</v>
      </c>
      <c r="I229" t="str">
        <f t="shared" si="49"/>
        <v>1010</v>
      </c>
      <c r="J229" t="str">
        <f t="shared" si="50"/>
        <v>05</v>
      </c>
      <c r="K229" t="s">
        <v>68</v>
      </c>
      <c r="L229" t="s">
        <v>72</v>
      </c>
      <c r="M229" t="s">
        <v>68</v>
      </c>
      <c r="N229" t="s">
        <v>181</v>
      </c>
      <c r="O229" t="s">
        <v>497</v>
      </c>
      <c r="P229" t="str">
        <f>"3020671632"</f>
        <v>3020671632</v>
      </c>
      <c r="R229" t="str">
        <f>"00030206716320"</f>
        <v>00030206716320</v>
      </c>
      <c r="S229" s="1">
        <v>41184</v>
      </c>
      <c r="T229" s="1">
        <v>41170</v>
      </c>
      <c r="U229" t="str">
        <f>"3020671632"</f>
        <v>3020671632</v>
      </c>
      <c r="V229" t="str">
        <f>"1010"</f>
        <v>1010</v>
      </c>
      <c r="W229" t="str">
        <f t="shared" si="51"/>
        <v>11</v>
      </c>
      <c r="X229" t="s">
        <v>75</v>
      </c>
      <c r="Y229" t="s">
        <v>76</v>
      </c>
      <c r="Z229" t="s">
        <v>180</v>
      </c>
      <c r="AA229" t="s">
        <v>181</v>
      </c>
      <c r="AB229" t="s">
        <v>79</v>
      </c>
      <c r="AD229" t="s">
        <v>80</v>
      </c>
      <c r="AE229" t="s">
        <v>81</v>
      </c>
      <c r="AF229" t="s">
        <v>82</v>
      </c>
      <c r="AG229" t="s">
        <v>83</v>
      </c>
      <c r="AH229" t="s">
        <v>84</v>
      </c>
      <c r="AI229" t="str">
        <f t="shared" si="56"/>
        <v>01</v>
      </c>
      <c r="AJ229" t="str">
        <f t="shared" si="53"/>
        <v>1</v>
      </c>
      <c r="AK229" t="s">
        <v>93</v>
      </c>
      <c r="AL229" t="s">
        <v>94</v>
      </c>
      <c r="AM229" t="s">
        <v>95</v>
      </c>
      <c r="AN229" t="str">
        <f t="shared" si="52"/>
        <v>.9700</v>
      </c>
      <c r="AO229" t="str">
        <f t="shared" si="57"/>
        <v>11.41</v>
      </c>
      <c r="AP229" t="s">
        <v>96</v>
      </c>
      <c r="AQ229" t="str">
        <f t="shared" si="58"/>
        <v>11.41</v>
      </c>
      <c r="AR229">
        <v>10</v>
      </c>
      <c r="AS229">
        <v>-1</v>
      </c>
      <c r="AT229">
        <v>9</v>
      </c>
      <c r="AU229">
        <v>114.1</v>
      </c>
      <c r="AV229">
        <v>0</v>
      </c>
      <c r="AW229">
        <v>114.1</v>
      </c>
      <c r="AX229">
        <v>-10.3</v>
      </c>
      <c r="AY229">
        <v>103.8</v>
      </c>
      <c r="AZ229">
        <v>0</v>
      </c>
    </row>
    <row r="230" spans="1:52">
      <c r="A230" t="s">
        <v>65</v>
      </c>
      <c r="B230" t="s">
        <v>66</v>
      </c>
      <c r="C230" t="s">
        <v>67</v>
      </c>
      <c r="D230" t="s">
        <v>68</v>
      </c>
      <c r="E230" t="s">
        <v>69</v>
      </c>
      <c r="F230" t="s">
        <v>70</v>
      </c>
      <c r="G230" t="s">
        <v>71</v>
      </c>
      <c r="H230" t="s">
        <v>70</v>
      </c>
      <c r="I230" t="str">
        <f t="shared" si="49"/>
        <v>1010</v>
      </c>
      <c r="J230" t="str">
        <f t="shared" si="50"/>
        <v>05</v>
      </c>
      <c r="K230" t="s">
        <v>68</v>
      </c>
      <c r="L230" t="s">
        <v>72</v>
      </c>
      <c r="M230" t="s">
        <v>68</v>
      </c>
      <c r="N230" t="s">
        <v>181</v>
      </c>
      <c r="O230" t="s">
        <v>498</v>
      </c>
      <c r="P230" t="str">
        <f>"3020671112"</f>
        <v>3020671112</v>
      </c>
      <c r="R230" t="str">
        <f>"00030206711127"</f>
        <v>00030206711127</v>
      </c>
      <c r="S230" s="1">
        <v>40784</v>
      </c>
      <c r="T230" s="1">
        <v>40771</v>
      </c>
      <c r="U230" t="str">
        <f>"3020671112"</f>
        <v>3020671112</v>
      </c>
      <c r="V230" t="str">
        <f>"1510"</f>
        <v>1510</v>
      </c>
      <c r="W230" t="str">
        <f t="shared" si="51"/>
        <v>11</v>
      </c>
      <c r="X230" t="s">
        <v>75</v>
      </c>
      <c r="Y230" t="s">
        <v>76</v>
      </c>
      <c r="Z230" t="s">
        <v>180</v>
      </c>
      <c r="AA230" t="s">
        <v>181</v>
      </c>
      <c r="AB230" t="s">
        <v>79</v>
      </c>
      <c r="AD230" t="s">
        <v>80</v>
      </c>
      <c r="AE230" t="s">
        <v>81</v>
      </c>
      <c r="AF230" t="s">
        <v>82</v>
      </c>
      <c r="AG230" t="s">
        <v>83</v>
      </c>
      <c r="AH230" t="s">
        <v>84</v>
      </c>
      <c r="AI230" t="str">
        <f t="shared" si="56"/>
        <v>01</v>
      </c>
      <c r="AJ230" t="str">
        <f t="shared" si="53"/>
        <v>1</v>
      </c>
      <c r="AK230" t="s">
        <v>93</v>
      </c>
      <c r="AL230" t="s">
        <v>94</v>
      </c>
      <c r="AM230" t="s">
        <v>95</v>
      </c>
      <c r="AN230" t="str">
        <f t="shared" si="52"/>
        <v>.9700</v>
      </c>
      <c r="AO230" t="str">
        <f t="shared" si="57"/>
        <v>11.41</v>
      </c>
      <c r="AP230" t="s">
        <v>96</v>
      </c>
      <c r="AQ230" t="str">
        <f t="shared" si="58"/>
        <v>11.41</v>
      </c>
      <c r="AR230">
        <v>9</v>
      </c>
      <c r="AS230">
        <v>0</v>
      </c>
      <c r="AT230">
        <v>9</v>
      </c>
      <c r="AU230">
        <v>102.68</v>
      </c>
      <c r="AV230">
        <v>12.32</v>
      </c>
      <c r="AW230">
        <v>90.36</v>
      </c>
      <c r="AX230">
        <v>0</v>
      </c>
      <c r="AY230">
        <v>90.36</v>
      </c>
      <c r="AZ230">
        <v>0</v>
      </c>
    </row>
    <row r="231" spans="1:52">
      <c r="A231" t="s">
        <v>65</v>
      </c>
      <c r="B231" t="s">
        <v>66</v>
      </c>
      <c r="C231" t="s">
        <v>67</v>
      </c>
      <c r="D231" t="s">
        <v>68</v>
      </c>
      <c r="E231" t="s">
        <v>69</v>
      </c>
      <c r="F231" t="s">
        <v>70</v>
      </c>
      <c r="G231" t="s">
        <v>71</v>
      </c>
      <c r="H231" t="s">
        <v>70</v>
      </c>
      <c r="I231" t="str">
        <f t="shared" si="49"/>
        <v>1010</v>
      </c>
      <c r="J231" t="str">
        <f t="shared" si="50"/>
        <v>05</v>
      </c>
      <c r="K231" t="s">
        <v>68</v>
      </c>
      <c r="L231" t="s">
        <v>72</v>
      </c>
      <c r="M231" t="s">
        <v>68</v>
      </c>
      <c r="N231" t="s">
        <v>181</v>
      </c>
      <c r="O231" t="s">
        <v>499</v>
      </c>
      <c r="P231" t="str">
        <f>"3020670132"</f>
        <v>3020670132</v>
      </c>
      <c r="R231" t="str">
        <f>"00030206701326"</f>
        <v>00030206701326</v>
      </c>
      <c r="S231" s="1">
        <v>40288</v>
      </c>
      <c r="T231" s="1">
        <v>40260</v>
      </c>
      <c r="U231" t="str">
        <f>"3020670132"</f>
        <v>3020670132</v>
      </c>
      <c r="V231" t="str">
        <f>"1510"</f>
        <v>1510</v>
      </c>
      <c r="W231" t="str">
        <f t="shared" si="51"/>
        <v>11</v>
      </c>
      <c r="X231" t="s">
        <v>75</v>
      </c>
      <c r="Y231" t="s">
        <v>76</v>
      </c>
      <c r="Z231" t="s">
        <v>180</v>
      </c>
      <c r="AA231" t="s">
        <v>181</v>
      </c>
      <c r="AB231" t="s">
        <v>79</v>
      </c>
      <c r="AD231" t="s">
        <v>80</v>
      </c>
      <c r="AE231" t="s">
        <v>81</v>
      </c>
      <c r="AF231" t="s">
        <v>82</v>
      </c>
      <c r="AG231" t="s">
        <v>83</v>
      </c>
      <c r="AH231" t="s">
        <v>84</v>
      </c>
      <c r="AI231" t="str">
        <f t="shared" si="56"/>
        <v>01</v>
      </c>
      <c r="AJ231" t="str">
        <f t="shared" si="53"/>
        <v>1</v>
      </c>
      <c r="AK231" t="s">
        <v>93</v>
      </c>
      <c r="AL231" t="s">
        <v>94</v>
      </c>
      <c r="AM231" t="s">
        <v>95</v>
      </c>
      <c r="AN231" t="str">
        <f t="shared" si="52"/>
        <v>.9700</v>
      </c>
      <c r="AO231" t="str">
        <f t="shared" si="57"/>
        <v>11.41</v>
      </c>
      <c r="AP231" t="s">
        <v>96</v>
      </c>
      <c r="AQ231" t="str">
        <f t="shared" si="58"/>
        <v>11.41</v>
      </c>
      <c r="AR231">
        <v>1</v>
      </c>
      <c r="AS231">
        <v>-1</v>
      </c>
      <c r="AT231">
        <v>0</v>
      </c>
      <c r="AU231">
        <v>11.41</v>
      </c>
      <c r="AV231">
        <v>1.37</v>
      </c>
      <c r="AW231">
        <v>10.039999999999999</v>
      </c>
      <c r="AX231">
        <v>-10.08</v>
      </c>
      <c r="AY231">
        <v>-4.0000000000000903E-2</v>
      </c>
      <c r="AZ231">
        <v>0</v>
      </c>
    </row>
    <row r="232" spans="1:52">
      <c r="A232" t="s">
        <v>65</v>
      </c>
      <c r="B232" t="s">
        <v>66</v>
      </c>
      <c r="C232" t="s">
        <v>67</v>
      </c>
      <c r="D232" t="s">
        <v>68</v>
      </c>
      <c r="E232" t="s">
        <v>69</v>
      </c>
      <c r="F232" t="s">
        <v>70</v>
      </c>
      <c r="G232" t="s">
        <v>71</v>
      </c>
      <c r="H232" t="s">
        <v>70</v>
      </c>
      <c r="I232" t="str">
        <f t="shared" si="49"/>
        <v>1010</v>
      </c>
      <c r="J232" t="str">
        <f t="shared" si="50"/>
        <v>05</v>
      </c>
      <c r="K232" t="s">
        <v>68</v>
      </c>
      <c r="L232" t="s">
        <v>72</v>
      </c>
      <c r="M232" t="s">
        <v>68</v>
      </c>
      <c r="N232" t="s">
        <v>181</v>
      </c>
      <c r="O232" t="s">
        <v>500</v>
      </c>
      <c r="P232" t="str">
        <f>"3020671962"</f>
        <v>3020671962</v>
      </c>
      <c r="R232" t="str">
        <f>"00030206719628"</f>
        <v>00030206719628</v>
      </c>
      <c r="S232" s="1">
        <v>41450</v>
      </c>
      <c r="T232" s="1">
        <v>41401</v>
      </c>
      <c r="U232" t="str">
        <f>"3020671962"</f>
        <v>3020671962</v>
      </c>
      <c r="V232" t="str">
        <f>"1010"</f>
        <v>1010</v>
      </c>
      <c r="W232" t="str">
        <f t="shared" si="51"/>
        <v>11</v>
      </c>
      <c r="X232" t="s">
        <v>75</v>
      </c>
      <c r="Y232" t="s">
        <v>173</v>
      </c>
      <c r="Z232" t="s">
        <v>180</v>
      </c>
      <c r="AA232" t="s">
        <v>181</v>
      </c>
      <c r="AB232" t="s">
        <v>79</v>
      </c>
      <c r="AD232" t="s">
        <v>80</v>
      </c>
      <c r="AE232" t="s">
        <v>81</v>
      </c>
      <c r="AF232" t="s">
        <v>82</v>
      </c>
      <c r="AG232" t="s">
        <v>83</v>
      </c>
      <c r="AH232" t="s">
        <v>84</v>
      </c>
      <c r="AJ232" t="str">
        <f t="shared" si="53"/>
        <v>1</v>
      </c>
      <c r="AK232" t="s">
        <v>93</v>
      </c>
      <c r="AL232" t="s">
        <v>143</v>
      </c>
      <c r="AM232" t="s">
        <v>95</v>
      </c>
      <c r="AN232" t="str">
        <f t="shared" si="52"/>
        <v>.9700</v>
      </c>
      <c r="AO232" t="str">
        <f t="shared" si="57"/>
        <v>11.41</v>
      </c>
      <c r="AP232" t="s">
        <v>96</v>
      </c>
      <c r="AQ232" t="str">
        <f t="shared" si="58"/>
        <v>11.41</v>
      </c>
      <c r="AR232">
        <v>1</v>
      </c>
      <c r="AS232">
        <v>0</v>
      </c>
      <c r="AT232">
        <v>1</v>
      </c>
      <c r="AU232">
        <v>11.41</v>
      </c>
      <c r="AV232">
        <v>0</v>
      </c>
      <c r="AW232">
        <v>11.41</v>
      </c>
      <c r="AX232">
        <v>0</v>
      </c>
      <c r="AY232">
        <v>11.41</v>
      </c>
      <c r="AZ232">
        <v>0</v>
      </c>
    </row>
    <row r="233" spans="1:52">
      <c r="A233" t="s">
        <v>65</v>
      </c>
      <c r="B233" t="s">
        <v>66</v>
      </c>
      <c r="C233" t="s">
        <v>67</v>
      </c>
      <c r="D233" t="s">
        <v>68</v>
      </c>
      <c r="E233" t="s">
        <v>69</v>
      </c>
      <c r="F233" t="s">
        <v>70</v>
      </c>
      <c r="G233" t="s">
        <v>71</v>
      </c>
      <c r="H233" t="s">
        <v>70</v>
      </c>
      <c r="I233" t="str">
        <f t="shared" si="49"/>
        <v>1010</v>
      </c>
      <c r="J233" t="str">
        <f t="shared" si="50"/>
        <v>05</v>
      </c>
      <c r="K233" t="s">
        <v>68</v>
      </c>
      <c r="L233" t="s">
        <v>72</v>
      </c>
      <c r="M233" t="s">
        <v>68</v>
      </c>
      <c r="N233" t="s">
        <v>181</v>
      </c>
      <c r="O233" t="s">
        <v>501</v>
      </c>
      <c r="P233" t="str">
        <f>"3020671722"</f>
        <v>3020671722</v>
      </c>
      <c r="R233" t="str">
        <f>"00030206717228"</f>
        <v>00030206717228</v>
      </c>
      <c r="S233" s="1">
        <v>41212</v>
      </c>
      <c r="T233" s="1">
        <v>41198</v>
      </c>
      <c r="U233" t="str">
        <f>"3020671722"</f>
        <v>3020671722</v>
      </c>
      <c r="V233" t="str">
        <f>"1010"</f>
        <v>1010</v>
      </c>
      <c r="W233" t="str">
        <f t="shared" si="51"/>
        <v>11</v>
      </c>
      <c r="X233" t="s">
        <v>75</v>
      </c>
      <c r="Y233" t="s">
        <v>76</v>
      </c>
      <c r="Z233" t="s">
        <v>180</v>
      </c>
      <c r="AA233" t="s">
        <v>181</v>
      </c>
      <c r="AB233" t="s">
        <v>79</v>
      </c>
      <c r="AD233" t="s">
        <v>80</v>
      </c>
      <c r="AE233" t="s">
        <v>81</v>
      </c>
      <c r="AF233" t="s">
        <v>82</v>
      </c>
      <c r="AG233" t="s">
        <v>83</v>
      </c>
      <c r="AH233" t="s">
        <v>84</v>
      </c>
      <c r="AI233" t="str">
        <f>"01"</f>
        <v>01</v>
      </c>
      <c r="AJ233" t="str">
        <f t="shared" si="53"/>
        <v>1</v>
      </c>
      <c r="AK233" t="s">
        <v>93</v>
      </c>
      <c r="AL233" t="s">
        <v>94</v>
      </c>
      <c r="AM233" t="s">
        <v>95</v>
      </c>
      <c r="AN233" t="str">
        <f t="shared" si="52"/>
        <v>.9700</v>
      </c>
      <c r="AO233" t="str">
        <f t="shared" si="57"/>
        <v>11.41</v>
      </c>
      <c r="AP233" t="s">
        <v>96</v>
      </c>
      <c r="AQ233" t="str">
        <f t="shared" si="58"/>
        <v>11.41</v>
      </c>
      <c r="AR233">
        <v>5</v>
      </c>
      <c r="AS233">
        <v>0</v>
      </c>
      <c r="AT233">
        <v>5</v>
      </c>
      <c r="AU233">
        <v>57.05</v>
      </c>
      <c r="AV233">
        <v>0</v>
      </c>
      <c r="AW233">
        <v>57.05</v>
      </c>
      <c r="AX233">
        <v>0</v>
      </c>
      <c r="AY233">
        <v>57.05</v>
      </c>
      <c r="AZ233">
        <v>0</v>
      </c>
    </row>
    <row r="234" spans="1:52">
      <c r="A234" t="s">
        <v>65</v>
      </c>
      <c r="B234" t="s">
        <v>66</v>
      </c>
      <c r="C234" t="s">
        <v>67</v>
      </c>
      <c r="D234" t="s">
        <v>68</v>
      </c>
      <c r="E234" t="s">
        <v>69</v>
      </c>
      <c r="F234" t="s">
        <v>70</v>
      </c>
      <c r="G234" t="s">
        <v>71</v>
      </c>
      <c r="H234" t="s">
        <v>70</v>
      </c>
      <c r="I234" t="str">
        <f t="shared" si="49"/>
        <v>1010</v>
      </c>
      <c r="J234" t="str">
        <f t="shared" si="50"/>
        <v>05</v>
      </c>
      <c r="K234" t="s">
        <v>68</v>
      </c>
      <c r="L234" t="s">
        <v>72</v>
      </c>
      <c r="M234" t="s">
        <v>68</v>
      </c>
      <c r="N234" t="s">
        <v>181</v>
      </c>
      <c r="O234" t="s">
        <v>502</v>
      </c>
      <c r="P234" t="str">
        <f>"3020669802"</f>
        <v>3020669802</v>
      </c>
      <c r="R234" t="str">
        <f>"00030206698022"</f>
        <v>00030206698022</v>
      </c>
      <c r="S234" s="1">
        <v>40029</v>
      </c>
      <c r="T234" s="1">
        <v>40029</v>
      </c>
      <c r="U234" t="str">
        <f>"3020669802"</f>
        <v>3020669802</v>
      </c>
      <c r="V234" t="str">
        <f>"1510"</f>
        <v>1510</v>
      </c>
      <c r="W234" t="str">
        <f t="shared" si="51"/>
        <v>11</v>
      </c>
      <c r="X234" t="s">
        <v>75</v>
      </c>
      <c r="Y234" t="s">
        <v>76</v>
      </c>
      <c r="Z234" t="s">
        <v>180</v>
      </c>
      <c r="AA234" t="s">
        <v>181</v>
      </c>
      <c r="AB234" t="s">
        <v>79</v>
      </c>
      <c r="AD234" t="s">
        <v>80</v>
      </c>
      <c r="AE234" t="s">
        <v>81</v>
      </c>
      <c r="AF234" t="s">
        <v>82</v>
      </c>
      <c r="AG234" t="s">
        <v>83</v>
      </c>
      <c r="AH234" t="s">
        <v>84</v>
      </c>
      <c r="AI234" t="str">
        <f>"01"</f>
        <v>01</v>
      </c>
      <c r="AJ234" t="str">
        <f t="shared" si="53"/>
        <v>1</v>
      </c>
      <c r="AK234" t="s">
        <v>93</v>
      </c>
      <c r="AL234" t="s">
        <v>94</v>
      </c>
      <c r="AM234" t="s">
        <v>95</v>
      </c>
      <c r="AN234" t="str">
        <f t="shared" si="52"/>
        <v>.9700</v>
      </c>
      <c r="AO234" t="str">
        <f t="shared" si="57"/>
        <v>11.41</v>
      </c>
      <c r="AP234" t="s">
        <v>96</v>
      </c>
      <c r="AQ234" t="str">
        <f t="shared" si="58"/>
        <v>11.41</v>
      </c>
      <c r="AR234">
        <v>11</v>
      </c>
      <c r="AS234">
        <v>0</v>
      </c>
      <c r="AT234">
        <v>11</v>
      </c>
      <c r="AU234">
        <v>125.5</v>
      </c>
      <c r="AV234">
        <v>13.69</v>
      </c>
      <c r="AW234">
        <v>111.81</v>
      </c>
      <c r="AX234">
        <v>0</v>
      </c>
      <c r="AY234">
        <v>111.81</v>
      </c>
      <c r="AZ234">
        <v>0</v>
      </c>
    </row>
    <row r="235" spans="1:52">
      <c r="A235" t="s">
        <v>65</v>
      </c>
      <c r="B235" t="s">
        <v>66</v>
      </c>
      <c r="C235" t="s">
        <v>67</v>
      </c>
      <c r="D235" t="s">
        <v>68</v>
      </c>
      <c r="E235" t="s">
        <v>69</v>
      </c>
      <c r="F235" t="s">
        <v>70</v>
      </c>
      <c r="G235" t="s">
        <v>71</v>
      </c>
      <c r="H235" t="s">
        <v>70</v>
      </c>
      <c r="I235" t="str">
        <f t="shared" si="49"/>
        <v>1010</v>
      </c>
      <c r="J235" t="str">
        <f t="shared" si="50"/>
        <v>05</v>
      </c>
      <c r="K235" t="s">
        <v>68</v>
      </c>
      <c r="L235" t="s">
        <v>72</v>
      </c>
      <c r="M235" t="s">
        <v>68</v>
      </c>
      <c r="N235" t="s">
        <v>181</v>
      </c>
      <c r="O235" t="s">
        <v>503</v>
      </c>
      <c r="P235" t="str">
        <f>"3020671902"</f>
        <v>3020671902</v>
      </c>
      <c r="R235" t="str">
        <f>"00030206719024"</f>
        <v>00030206719024</v>
      </c>
      <c r="S235" s="1">
        <v>41387</v>
      </c>
      <c r="T235" s="1">
        <v>41366</v>
      </c>
      <c r="U235" t="str">
        <f>"3020671902"</f>
        <v>3020671902</v>
      </c>
      <c r="V235" t="str">
        <f>"1010"</f>
        <v>1010</v>
      </c>
      <c r="W235" t="str">
        <f t="shared" si="51"/>
        <v>11</v>
      </c>
      <c r="X235" t="s">
        <v>75</v>
      </c>
      <c r="Y235" t="s">
        <v>173</v>
      </c>
      <c r="Z235" t="s">
        <v>180</v>
      </c>
      <c r="AA235" t="s">
        <v>181</v>
      </c>
      <c r="AB235" t="s">
        <v>79</v>
      </c>
      <c r="AD235" t="s">
        <v>80</v>
      </c>
      <c r="AE235" t="s">
        <v>81</v>
      </c>
      <c r="AF235" t="s">
        <v>82</v>
      </c>
      <c r="AG235" t="s">
        <v>83</v>
      </c>
      <c r="AH235" t="s">
        <v>84</v>
      </c>
      <c r="AJ235" t="str">
        <f t="shared" si="53"/>
        <v>1</v>
      </c>
      <c r="AK235" t="s">
        <v>93</v>
      </c>
      <c r="AL235" t="s">
        <v>143</v>
      </c>
      <c r="AM235" t="s">
        <v>95</v>
      </c>
      <c r="AN235" t="str">
        <f t="shared" si="52"/>
        <v>.9700</v>
      </c>
      <c r="AO235" t="str">
        <f t="shared" si="57"/>
        <v>11.41</v>
      </c>
      <c r="AP235" t="s">
        <v>96</v>
      </c>
      <c r="AQ235" t="str">
        <f t="shared" si="58"/>
        <v>11.41</v>
      </c>
      <c r="AR235">
        <v>1</v>
      </c>
      <c r="AS235">
        <v>-29</v>
      </c>
      <c r="AT235">
        <v>-28</v>
      </c>
      <c r="AU235">
        <v>11.41</v>
      </c>
      <c r="AV235">
        <v>0</v>
      </c>
      <c r="AW235">
        <v>11.41</v>
      </c>
      <c r="AX235">
        <v>-292.16000000000003</v>
      </c>
      <c r="AY235">
        <v>-280.75</v>
      </c>
      <c r="AZ235">
        <v>0</v>
      </c>
    </row>
    <row r="236" spans="1:52">
      <c r="A236" t="s">
        <v>65</v>
      </c>
      <c r="B236" t="s">
        <v>66</v>
      </c>
      <c r="C236" t="s">
        <v>67</v>
      </c>
      <c r="D236" t="s">
        <v>68</v>
      </c>
      <c r="E236" t="s">
        <v>69</v>
      </c>
      <c r="F236" t="s">
        <v>70</v>
      </c>
      <c r="G236" t="s">
        <v>71</v>
      </c>
      <c r="H236" t="s">
        <v>70</v>
      </c>
      <c r="I236" t="str">
        <f t="shared" si="49"/>
        <v>1010</v>
      </c>
      <c r="J236" t="str">
        <f t="shared" si="50"/>
        <v>05</v>
      </c>
      <c r="K236" t="s">
        <v>68</v>
      </c>
      <c r="L236" t="s">
        <v>72</v>
      </c>
      <c r="M236" t="s">
        <v>68</v>
      </c>
      <c r="N236" t="s">
        <v>181</v>
      </c>
      <c r="O236" t="s">
        <v>504</v>
      </c>
      <c r="P236" t="str">
        <f>"3020670972"</f>
        <v>3020670972</v>
      </c>
      <c r="R236" t="str">
        <f>"00030206709728"</f>
        <v>00030206709728</v>
      </c>
      <c r="S236" s="1">
        <v>40722</v>
      </c>
      <c r="T236" s="1">
        <v>40708</v>
      </c>
      <c r="U236" t="str">
        <f>"3020670972"</f>
        <v>3020670972</v>
      </c>
      <c r="V236" t="str">
        <f>"1510"</f>
        <v>1510</v>
      </c>
      <c r="W236" t="str">
        <f t="shared" si="51"/>
        <v>11</v>
      </c>
      <c r="X236" t="s">
        <v>75</v>
      </c>
      <c r="Y236" t="s">
        <v>76</v>
      </c>
      <c r="Z236" t="s">
        <v>180</v>
      </c>
      <c r="AA236" t="s">
        <v>181</v>
      </c>
      <c r="AB236" t="s">
        <v>79</v>
      </c>
      <c r="AD236" t="s">
        <v>80</v>
      </c>
      <c r="AE236" t="s">
        <v>81</v>
      </c>
      <c r="AF236" t="s">
        <v>82</v>
      </c>
      <c r="AG236" t="s">
        <v>83</v>
      </c>
      <c r="AH236" t="s">
        <v>84</v>
      </c>
      <c r="AI236" t="str">
        <f>"01"</f>
        <v>01</v>
      </c>
      <c r="AJ236" t="str">
        <f t="shared" si="53"/>
        <v>1</v>
      </c>
      <c r="AK236" t="s">
        <v>93</v>
      </c>
      <c r="AL236" t="s">
        <v>94</v>
      </c>
      <c r="AM236" t="s">
        <v>95</v>
      </c>
      <c r="AN236" t="str">
        <f t="shared" si="52"/>
        <v>.9700</v>
      </c>
      <c r="AO236" t="str">
        <f t="shared" si="57"/>
        <v>11.41</v>
      </c>
      <c r="AP236" t="s">
        <v>96</v>
      </c>
      <c r="AQ236" t="str">
        <f t="shared" si="58"/>
        <v>11.41</v>
      </c>
      <c r="AR236">
        <v>643</v>
      </c>
      <c r="AS236">
        <v>-13</v>
      </c>
      <c r="AT236">
        <v>630</v>
      </c>
      <c r="AU236">
        <v>7313.35</v>
      </c>
      <c r="AV236">
        <v>0</v>
      </c>
      <c r="AW236">
        <v>7313.35</v>
      </c>
      <c r="AX236">
        <v>-132.61000000000001</v>
      </c>
      <c r="AY236">
        <v>7180.74</v>
      </c>
      <c r="AZ236">
        <v>0</v>
      </c>
    </row>
    <row r="237" spans="1:52">
      <c r="A237" t="s">
        <v>65</v>
      </c>
      <c r="B237" t="s">
        <v>66</v>
      </c>
      <c r="C237" t="s">
        <v>67</v>
      </c>
      <c r="D237" t="s">
        <v>68</v>
      </c>
      <c r="E237" t="s">
        <v>69</v>
      </c>
      <c r="F237" t="s">
        <v>70</v>
      </c>
      <c r="G237" t="s">
        <v>71</v>
      </c>
      <c r="H237" t="s">
        <v>70</v>
      </c>
      <c r="I237" t="str">
        <f t="shared" si="49"/>
        <v>1010</v>
      </c>
      <c r="J237" t="str">
        <f t="shared" si="50"/>
        <v>05</v>
      </c>
      <c r="K237" t="s">
        <v>68</v>
      </c>
      <c r="L237" t="s">
        <v>72</v>
      </c>
      <c r="M237" t="s">
        <v>68</v>
      </c>
      <c r="N237" t="s">
        <v>181</v>
      </c>
      <c r="O237" t="s">
        <v>505</v>
      </c>
      <c r="P237" t="str">
        <f>"3020671482"</f>
        <v>3020671482</v>
      </c>
      <c r="R237" t="str">
        <f>"00030206714821"</f>
        <v>00030206714821</v>
      </c>
      <c r="S237" s="1">
        <v>41079</v>
      </c>
      <c r="T237" s="1">
        <v>41058</v>
      </c>
      <c r="U237" t="str">
        <f>"3020671482"</f>
        <v>3020671482</v>
      </c>
      <c r="V237" t="str">
        <f>"1510"</f>
        <v>1510</v>
      </c>
      <c r="W237" t="str">
        <f t="shared" si="51"/>
        <v>11</v>
      </c>
      <c r="X237" t="s">
        <v>75</v>
      </c>
      <c r="Y237" t="s">
        <v>173</v>
      </c>
      <c r="Z237" t="s">
        <v>180</v>
      </c>
      <c r="AA237" t="s">
        <v>181</v>
      </c>
      <c r="AB237" t="s">
        <v>79</v>
      </c>
      <c r="AD237" t="s">
        <v>80</v>
      </c>
      <c r="AE237" t="s">
        <v>81</v>
      </c>
      <c r="AF237" t="s">
        <v>82</v>
      </c>
      <c r="AG237" t="s">
        <v>83</v>
      </c>
      <c r="AH237" t="s">
        <v>84</v>
      </c>
      <c r="AI237" t="str">
        <f>"01"</f>
        <v>01</v>
      </c>
      <c r="AJ237" t="str">
        <f t="shared" si="53"/>
        <v>1</v>
      </c>
      <c r="AK237" t="s">
        <v>93</v>
      </c>
      <c r="AL237" t="s">
        <v>94</v>
      </c>
      <c r="AM237" t="s">
        <v>95</v>
      </c>
      <c r="AN237" t="str">
        <f t="shared" si="52"/>
        <v>.9700</v>
      </c>
      <c r="AO237" t="str">
        <f t="shared" si="57"/>
        <v>11.41</v>
      </c>
      <c r="AP237" t="s">
        <v>96</v>
      </c>
      <c r="AQ237" t="str">
        <f t="shared" si="58"/>
        <v>11.41</v>
      </c>
      <c r="AR237">
        <v>369</v>
      </c>
      <c r="AS237">
        <v>-15</v>
      </c>
      <c r="AT237">
        <v>354</v>
      </c>
      <c r="AU237">
        <v>4184.1000000000004</v>
      </c>
      <c r="AV237">
        <v>0</v>
      </c>
      <c r="AW237">
        <v>4184.1000000000004</v>
      </c>
      <c r="AX237">
        <v>-155.69</v>
      </c>
      <c r="AY237">
        <v>4028.41</v>
      </c>
      <c r="AZ237">
        <v>0</v>
      </c>
    </row>
    <row r="238" spans="1:52">
      <c r="A238" t="s">
        <v>65</v>
      </c>
      <c r="B238" t="s">
        <v>66</v>
      </c>
      <c r="C238" t="s">
        <v>67</v>
      </c>
      <c r="D238" t="s">
        <v>68</v>
      </c>
      <c r="E238" t="s">
        <v>69</v>
      </c>
      <c r="F238" t="s">
        <v>70</v>
      </c>
      <c r="G238" t="s">
        <v>71</v>
      </c>
      <c r="H238" t="s">
        <v>70</v>
      </c>
      <c r="I238" t="str">
        <f t="shared" si="49"/>
        <v>1010</v>
      </c>
      <c r="J238" t="str">
        <f t="shared" si="50"/>
        <v>05</v>
      </c>
      <c r="K238" t="s">
        <v>68</v>
      </c>
      <c r="L238" t="s">
        <v>72</v>
      </c>
      <c r="M238" t="s">
        <v>68</v>
      </c>
      <c r="N238" t="s">
        <v>181</v>
      </c>
      <c r="O238" t="s">
        <v>506</v>
      </c>
      <c r="P238" t="str">
        <f>"3020671782"</f>
        <v>3020671782</v>
      </c>
      <c r="R238" t="str">
        <f>"00030206717822"</f>
        <v>00030206717822</v>
      </c>
      <c r="S238" s="1">
        <v>41296</v>
      </c>
      <c r="T238" s="1">
        <v>41282</v>
      </c>
      <c r="U238" t="str">
        <f>"3020671782"</f>
        <v>3020671782</v>
      </c>
      <c r="V238" t="str">
        <f>"1010"</f>
        <v>1010</v>
      </c>
      <c r="W238" t="str">
        <f t="shared" si="51"/>
        <v>11</v>
      </c>
      <c r="X238" t="s">
        <v>75</v>
      </c>
      <c r="Y238" t="s">
        <v>173</v>
      </c>
      <c r="Z238" t="s">
        <v>180</v>
      </c>
      <c r="AA238" t="s">
        <v>181</v>
      </c>
      <c r="AB238" t="s">
        <v>79</v>
      </c>
      <c r="AD238" t="s">
        <v>80</v>
      </c>
      <c r="AE238" t="s">
        <v>81</v>
      </c>
      <c r="AF238" t="s">
        <v>82</v>
      </c>
      <c r="AG238" t="s">
        <v>83</v>
      </c>
      <c r="AH238" t="s">
        <v>84</v>
      </c>
      <c r="AJ238" t="str">
        <f t="shared" si="53"/>
        <v>1</v>
      </c>
      <c r="AK238" t="s">
        <v>93</v>
      </c>
      <c r="AL238" t="s">
        <v>143</v>
      </c>
      <c r="AM238" t="s">
        <v>95</v>
      </c>
      <c r="AN238" t="str">
        <f t="shared" si="52"/>
        <v>.9700</v>
      </c>
      <c r="AO238" t="str">
        <f t="shared" si="57"/>
        <v>11.41</v>
      </c>
      <c r="AP238" t="s">
        <v>96</v>
      </c>
      <c r="AQ238" t="str">
        <f t="shared" si="58"/>
        <v>11.41</v>
      </c>
      <c r="AR238">
        <v>0</v>
      </c>
      <c r="AS238">
        <v>-16</v>
      </c>
      <c r="AT238">
        <v>-16</v>
      </c>
      <c r="AU238">
        <v>0</v>
      </c>
      <c r="AV238">
        <v>0</v>
      </c>
      <c r="AW238">
        <v>0</v>
      </c>
      <c r="AX238">
        <v>-164.15</v>
      </c>
      <c r="AY238">
        <v>-164.15</v>
      </c>
      <c r="AZ238">
        <v>0</v>
      </c>
    </row>
    <row r="239" spans="1:52">
      <c r="A239" t="s">
        <v>65</v>
      </c>
      <c r="B239" t="s">
        <v>66</v>
      </c>
      <c r="C239" t="s">
        <v>67</v>
      </c>
      <c r="D239" t="s">
        <v>68</v>
      </c>
      <c r="E239" t="s">
        <v>69</v>
      </c>
      <c r="F239" t="s">
        <v>70</v>
      </c>
      <c r="G239" t="s">
        <v>71</v>
      </c>
      <c r="H239" t="s">
        <v>70</v>
      </c>
      <c r="I239" t="str">
        <f t="shared" si="49"/>
        <v>1010</v>
      </c>
      <c r="J239" t="str">
        <f t="shared" si="50"/>
        <v>05</v>
      </c>
      <c r="K239" t="s">
        <v>68</v>
      </c>
      <c r="L239" t="s">
        <v>72</v>
      </c>
      <c r="M239" t="s">
        <v>68</v>
      </c>
      <c r="N239" t="s">
        <v>181</v>
      </c>
      <c r="O239" t="s">
        <v>507</v>
      </c>
      <c r="P239" t="str">
        <f>"3020670512"</f>
        <v>3020670512</v>
      </c>
      <c r="R239" t="str">
        <f>"00030206705126"</f>
        <v>00030206705126</v>
      </c>
      <c r="S239" s="1">
        <v>40519</v>
      </c>
      <c r="T239" s="1">
        <v>40519</v>
      </c>
      <c r="U239" t="str">
        <f>"3020670512"</f>
        <v>3020670512</v>
      </c>
      <c r="V239" t="str">
        <f t="shared" ref="V239:V247" si="59">"1510"</f>
        <v>1510</v>
      </c>
      <c r="W239" t="str">
        <f t="shared" si="51"/>
        <v>11</v>
      </c>
      <c r="X239" t="s">
        <v>75</v>
      </c>
      <c r="Y239" t="s">
        <v>76</v>
      </c>
      <c r="Z239" t="s">
        <v>180</v>
      </c>
      <c r="AA239" t="s">
        <v>181</v>
      </c>
      <c r="AB239" t="s">
        <v>79</v>
      </c>
      <c r="AD239" t="s">
        <v>80</v>
      </c>
      <c r="AE239" t="s">
        <v>81</v>
      </c>
      <c r="AF239" t="s">
        <v>82</v>
      </c>
      <c r="AG239" t="s">
        <v>83</v>
      </c>
      <c r="AH239" t="s">
        <v>84</v>
      </c>
      <c r="AI239" t="str">
        <f t="shared" ref="AI239:AI247" si="60">"01"</f>
        <v>01</v>
      </c>
      <c r="AJ239" t="str">
        <f t="shared" si="53"/>
        <v>1</v>
      </c>
      <c r="AK239" t="s">
        <v>93</v>
      </c>
      <c r="AL239" t="s">
        <v>94</v>
      </c>
      <c r="AM239" t="s">
        <v>95</v>
      </c>
      <c r="AN239" t="str">
        <f t="shared" si="52"/>
        <v>.9700</v>
      </c>
      <c r="AO239" t="str">
        <f t="shared" si="57"/>
        <v>11.41</v>
      </c>
      <c r="AP239" t="s">
        <v>96</v>
      </c>
      <c r="AQ239" t="str">
        <f t="shared" si="58"/>
        <v>11.41</v>
      </c>
      <c r="AR239">
        <v>1</v>
      </c>
      <c r="AS239">
        <v>0</v>
      </c>
      <c r="AT239">
        <v>1</v>
      </c>
      <c r="AU239">
        <v>11.41</v>
      </c>
      <c r="AV239">
        <v>0</v>
      </c>
      <c r="AW239">
        <v>11.41</v>
      </c>
      <c r="AX239">
        <v>0</v>
      </c>
      <c r="AY239">
        <v>11.41</v>
      </c>
      <c r="AZ239">
        <v>0</v>
      </c>
    </row>
    <row r="240" spans="1:52">
      <c r="A240" t="s">
        <v>65</v>
      </c>
      <c r="B240" t="s">
        <v>66</v>
      </c>
      <c r="C240" t="s">
        <v>67</v>
      </c>
      <c r="D240" t="s">
        <v>68</v>
      </c>
      <c r="E240" t="s">
        <v>69</v>
      </c>
      <c r="F240" t="s">
        <v>70</v>
      </c>
      <c r="G240" t="s">
        <v>71</v>
      </c>
      <c r="H240" t="s">
        <v>70</v>
      </c>
      <c r="I240" t="str">
        <f t="shared" si="49"/>
        <v>1010</v>
      </c>
      <c r="J240" t="str">
        <f t="shared" si="50"/>
        <v>05</v>
      </c>
      <c r="K240" t="s">
        <v>68</v>
      </c>
      <c r="L240" t="s">
        <v>72</v>
      </c>
      <c r="M240" t="s">
        <v>68</v>
      </c>
      <c r="N240" t="s">
        <v>181</v>
      </c>
      <c r="O240" t="s">
        <v>508</v>
      </c>
      <c r="P240" t="str">
        <f>"3020667892"</f>
        <v>3020667892</v>
      </c>
      <c r="R240" t="str">
        <f>"00030206678925"</f>
        <v>00030206678925</v>
      </c>
      <c r="S240" s="1">
        <v>39126</v>
      </c>
      <c r="T240" s="1">
        <v>39126</v>
      </c>
      <c r="U240" t="str">
        <f>"3020667892"</f>
        <v>3020667892</v>
      </c>
      <c r="V240" t="str">
        <f t="shared" si="59"/>
        <v>1510</v>
      </c>
      <c r="W240" t="str">
        <f t="shared" si="51"/>
        <v>11</v>
      </c>
      <c r="X240" t="s">
        <v>75</v>
      </c>
      <c r="Y240" t="s">
        <v>76</v>
      </c>
      <c r="Z240" t="s">
        <v>180</v>
      </c>
      <c r="AA240" t="s">
        <v>181</v>
      </c>
      <c r="AB240" t="s">
        <v>79</v>
      </c>
      <c r="AD240" t="s">
        <v>80</v>
      </c>
      <c r="AE240" t="s">
        <v>81</v>
      </c>
      <c r="AF240" t="s">
        <v>82</v>
      </c>
      <c r="AG240" t="s">
        <v>83</v>
      </c>
      <c r="AH240" t="s">
        <v>84</v>
      </c>
      <c r="AI240" t="str">
        <f t="shared" si="60"/>
        <v>01</v>
      </c>
      <c r="AJ240" t="str">
        <f t="shared" si="53"/>
        <v>1</v>
      </c>
      <c r="AK240" t="s">
        <v>93</v>
      </c>
      <c r="AL240" t="s">
        <v>94</v>
      </c>
      <c r="AM240" t="s">
        <v>95</v>
      </c>
      <c r="AN240" t="str">
        <f t="shared" si="52"/>
        <v>.9700</v>
      </c>
      <c r="AO240" t="str">
        <f t="shared" si="57"/>
        <v>11.41</v>
      </c>
      <c r="AP240" t="s">
        <v>96</v>
      </c>
      <c r="AQ240" t="str">
        <f t="shared" si="58"/>
        <v>11.41</v>
      </c>
      <c r="AR240">
        <v>7</v>
      </c>
      <c r="AS240">
        <v>0</v>
      </c>
      <c r="AT240">
        <v>7</v>
      </c>
      <c r="AU240">
        <v>79.86</v>
      </c>
      <c r="AV240">
        <v>9.58</v>
      </c>
      <c r="AW240">
        <v>70.28</v>
      </c>
      <c r="AX240">
        <v>0</v>
      </c>
      <c r="AY240">
        <v>70.28</v>
      </c>
      <c r="AZ240">
        <v>0</v>
      </c>
    </row>
    <row r="241" spans="1:52">
      <c r="A241" t="s">
        <v>65</v>
      </c>
      <c r="B241" t="s">
        <v>66</v>
      </c>
      <c r="C241" t="s">
        <v>67</v>
      </c>
      <c r="D241" t="s">
        <v>68</v>
      </c>
      <c r="E241" t="s">
        <v>69</v>
      </c>
      <c r="F241" t="s">
        <v>70</v>
      </c>
      <c r="G241" t="s">
        <v>71</v>
      </c>
      <c r="H241" t="s">
        <v>70</v>
      </c>
      <c r="I241" t="str">
        <f t="shared" si="49"/>
        <v>1010</v>
      </c>
      <c r="J241" t="str">
        <f t="shared" si="50"/>
        <v>05</v>
      </c>
      <c r="K241" t="s">
        <v>68</v>
      </c>
      <c r="L241" t="s">
        <v>72</v>
      </c>
      <c r="M241" t="s">
        <v>68</v>
      </c>
      <c r="N241" t="s">
        <v>181</v>
      </c>
      <c r="O241" t="s">
        <v>509</v>
      </c>
      <c r="P241" t="str">
        <f>"3020664002"</f>
        <v>3020664002</v>
      </c>
      <c r="R241" t="str">
        <f>"00030206640021"</f>
        <v>00030206640021</v>
      </c>
      <c r="S241" s="1">
        <v>37509</v>
      </c>
      <c r="T241" s="1">
        <v>37509</v>
      </c>
      <c r="U241" t="str">
        <f>"3020664002"</f>
        <v>3020664002</v>
      </c>
      <c r="V241" t="str">
        <f t="shared" si="59"/>
        <v>1510</v>
      </c>
      <c r="W241" t="str">
        <f t="shared" si="51"/>
        <v>11</v>
      </c>
      <c r="X241" t="s">
        <v>75</v>
      </c>
      <c r="Y241" t="s">
        <v>76</v>
      </c>
      <c r="Z241" t="s">
        <v>180</v>
      </c>
      <c r="AA241" t="s">
        <v>181</v>
      </c>
      <c r="AB241" t="s">
        <v>79</v>
      </c>
      <c r="AD241" t="s">
        <v>80</v>
      </c>
      <c r="AE241" t="s">
        <v>81</v>
      </c>
      <c r="AF241" t="s">
        <v>82</v>
      </c>
      <c r="AG241" t="s">
        <v>83</v>
      </c>
      <c r="AH241" t="s">
        <v>84</v>
      </c>
      <c r="AI241" t="str">
        <f t="shared" si="60"/>
        <v>01</v>
      </c>
      <c r="AJ241" t="str">
        <f t="shared" si="53"/>
        <v>1</v>
      </c>
      <c r="AK241" t="s">
        <v>154</v>
      </c>
      <c r="AL241" t="s">
        <v>155</v>
      </c>
      <c r="AM241" t="s">
        <v>87</v>
      </c>
      <c r="AN241" t="str">
        <f t="shared" si="52"/>
        <v>.9700</v>
      </c>
      <c r="AO241" t="str">
        <f>"7.25"</f>
        <v>7.25</v>
      </c>
      <c r="AP241" t="s">
        <v>156</v>
      </c>
      <c r="AQ241" t="str">
        <f>"7.25"</f>
        <v>7.25</v>
      </c>
      <c r="AR241">
        <v>8</v>
      </c>
      <c r="AS241">
        <v>0</v>
      </c>
      <c r="AT241">
        <v>8</v>
      </c>
      <c r="AU241">
        <v>54.25</v>
      </c>
      <c r="AV241">
        <v>2.61</v>
      </c>
      <c r="AW241">
        <v>51.64</v>
      </c>
      <c r="AX241">
        <v>0</v>
      </c>
      <c r="AY241">
        <v>51.64</v>
      </c>
      <c r="AZ241">
        <v>0</v>
      </c>
    </row>
    <row r="242" spans="1:52">
      <c r="A242" t="s">
        <v>65</v>
      </c>
      <c r="B242" t="s">
        <v>66</v>
      </c>
      <c r="C242" t="s">
        <v>67</v>
      </c>
      <c r="D242" t="s">
        <v>68</v>
      </c>
      <c r="E242" t="s">
        <v>69</v>
      </c>
      <c r="F242" t="s">
        <v>70</v>
      </c>
      <c r="G242" t="s">
        <v>71</v>
      </c>
      <c r="H242" t="s">
        <v>70</v>
      </c>
      <c r="I242" t="str">
        <f t="shared" si="49"/>
        <v>1010</v>
      </c>
      <c r="J242" t="str">
        <f t="shared" si="50"/>
        <v>05</v>
      </c>
      <c r="K242" t="s">
        <v>68</v>
      </c>
      <c r="L242" t="s">
        <v>72</v>
      </c>
      <c r="M242" t="s">
        <v>68</v>
      </c>
      <c r="N242" t="s">
        <v>181</v>
      </c>
      <c r="O242" t="s">
        <v>510</v>
      </c>
      <c r="P242" t="str">
        <f>"3020670112"</f>
        <v>3020670112</v>
      </c>
      <c r="R242" t="str">
        <f>"00030206701128"</f>
        <v>00030206701128</v>
      </c>
      <c r="S242" s="1">
        <v>40246</v>
      </c>
      <c r="T242" s="1">
        <v>40246</v>
      </c>
      <c r="U242" t="str">
        <f>"3020670112"</f>
        <v>3020670112</v>
      </c>
      <c r="V242" t="str">
        <f t="shared" si="59"/>
        <v>1510</v>
      </c>
      <c r="W242" t="str">
        <f t="shared" si="51"/>
        <v>11</v>
      </c>
      <c r="X242" t="s">
        <v>75</v>
      </c>
      <c r="Y242" t="s">
        <v>76</v>
      </c>
      <c r="Z242" t="s">
        <v>180</v>
      </c>
      <c r="AA242" t="s">
        <v>181</v>
      </c>
      <c r="AB242" t="s">
        <v>79</v>
      </c>
      <c r="AD242" t="s">
        <v>80</v>
      </c>
      <c r="AE242" t="s">
        <v>81</v>
      </c>
      <c r="AF242" t="s">
        <v>82</v>
      </c>
      <c r="AG242" t="s">
        <v>83</v>
      </c>
      <c r="AH242" t="s">
        <v>84</v>
      </c>
      <c r="AI242" t="str">
        <f t="shared" si="60"/>
        <v>01</v>
      </c>
      <c r="AJ242" t="str">
        <f t="shared" si="53"/>
        <v>1</v>
      </c>
      <c r="AK242" t="s">
        <v>93</v>
      </c>
      <c r="AL242" t="s">
        <v>94</v>
      </c>
      <c r="AM242" t="s">
        <v>95</v>
      </c>
      <c r="AN242" t="str">
        <f t="shared" si="52"/>
        <v>.9700</v>
      </c>
      <c r="AO242" t="str">
        <f t="shared" ref="AO242:AO249" si="61">"11.41"</f>
        <v>11.41</v>
      </c>
      <c r="AP242" t="s">
        <v>96</v>
      </c>
      <c r="AQ242" t="str">
        <f t="shared" ref="AQ242:AQ249" si="62">"11.41"</f>
        <v>11.41</v>
      </c>
      <c r="AR242">
        <v>2</v>
      </c>
      <c r="AS242">
        <v>0</v>
      </c>
      <c r="AT242">
        <v>2</v>
      </c>
      <c r="AU242">
        <v>21.11</v>
      </c>
      <c r="AV242">
        <v>1.37</v>
      </c>
      <c r="AW242">
        <v>19.739999999999998</v>
      </c>
      <c r="AX242">
        <v>0</v>
      </c>
      <c r="AY242">
        <v>19.739999999999998</v>
      </c>
      <c r="AZ242">
        <v>0</v>
      </c>
    </row>
    <row r="243" spans="1:52">
      <c r="A243" t="s">
        <v>65</v>
      </c>
      <c r="B243" t="s">
        <v>66</v>
      </c>
      <c r="C243" t="s">
        <v>67</v>
      </c>
      <c r="D243" t="s">
        <v>68</v>
      </c>
      <c r="E243" t="s">
        <v>69</v>
      </c>
      <c r="F243" t="s">
        <v>70</v>
      </c>
      <c r="G243" t="s">
        <v>71</v>
      </c>
      <c r="H243" t="s">
        <v>70</v>
      </c>
      <c r="I243" t="str">
        <f t="shared" si="49"/>
        <v>1010</v>
      </c>
      <c r="J243" t="str">
        <f t="shared" si="50"/>
        <v>05</v>
      </c>
      <c r="K243" t="s">
        <v>68</v>
      </c>
      <c r="L243" t="s">
        <v>72</v>
      </c>
      <c r="M243" t="s">
        <v>68</v>
      </c>
      <c r="N243" t="s">
        <v>181</v>
      </c>
      <c r="O243" t="s">
        <v>511</v>
      </c>
      <c r="P243" t="str">
        <f>"3020669632"</f>
        <v>3020669632</v>
      </c>
      <c r="R243" t="str">
        <f>"00030206696325"</f>
        <v>00030206696325</v>
      </c>
      <c r="S243" s="1">
        <v>39938</v>
      </c>
      <c r="T243" s="1">
        <v>39917</v>
      </c>
      <c r="U243" t="str">
        <f>"3020669632"</f>
        <v>3020669632</v>
      </c>
      <c r="V243" t="str">
        <f t="shared" si="59"/>
        <v>1510</v>
      </c>
      <c r="W243" t="str">
        <f t="shared" si="51"/>
        <v>11</v>
      </c>
      <c r="X243" t="s">
        <v>75</v>
      </c>
      <c r="Y243" t="s">
        <v>76</v>
      </c>
      <c r="Z243" t="s">
        <v>180</v>
      </c>
      <c r="AA243" t="s">
        <v>181</v>
      </c>
      <c r="AB243" t="s">
        <v>79</v>
      </c>
      <c r="AD243" t="s">
        <v>80</v>
      </c>
      <c r="AE243" t="s">
        <v>81</v>
      </c>
      <c r="AF243" t="s">
        <v>82</v>
      </c>
      <c r="AG243" t="s">
        <v>83</v>
      </c>
      <c r="AH243" t="s">
        <v>84</v>
      </c>
      <c r="AI243" t="str">
        <f t="shared" si="60"/>
        <v>01</v>
      </c>
      <c r="AJ243" t="str">
        <f t="shared" si="53"/>
        <v>1</v>
      </c>
      <c r="AK243" t="s">
        <v>93</v>
      </c>
      <c r="AL243" t="s">
        <v>94</v>
      </c>
      <c r="AM243" t="s">
        <v>95</v>
      </c>
      <c r="AN243" t="str">
        <f t="shared" si="52"/>
        <v>.9700</v>
      </c>
      <c r="AO243" t="str">
        <f t="shared" si="61"/>
        <v>11.41</v>
      </c>
      <c r="AP243" t="s">
        <v>96</v>
      </c>
      <c r="AQ243" t="str">
        <f t="shared" si="62"/>
        <v>11.41</v>
      </c>
      <c r="AR243">
        <v>8</v>
      </c>
      <c r="AS243">
        <v>0</v>
      </c>
      <c r="AT243">
        <v>8</v>
      </c>
      <c r="AU243">
        <v>91.28</v>
      </c>
      <c r="AV243">
        <v>4.1100000000000003</v>
      </c>
      <c r="AW243">
        <v>87.17</v>
      </c>
      <c r="AX243">
        <v>0</v>
      </c>
      <c r="AY243">
        <v>87.17</v>
      </c>
      <c r="AZ243">
        <v>0</v>
      </c>
    </row>
    <row r="244" spans="1:52">
      <c r="A244" t="s">
        <v>65</v>
      </c>
      <c r="B244" t="s">
        <v>66</v>
      </c>
      <c r="C244" t="s">
        <v>67</v>
      </c>
      <c r="D244" t="s">
        <v>68</v>
      </c>
      <c r="E244" t="s">
        <v>69</v>
      </c>
      <c r="F244" t="s">
        <v>70</v>
      </c>
      <c r="G244" t="s">
        <v>71</v>
      </c>
      <c r="H244" t="s">
        <v>70</v>
      </c>
      <c r="I244" t="str">
        <f t="shared" si="49"/>
        <v>1010</v>
      </c>
      <c r="J244" t="str">
        <f t="shared" si="50"/>
        <v>05</v>
      </c>
      <c r="K244" t="s">
        <v>68</v>
      </c>
      <c r="L244" t="s">
        <v>72</v>
      </c>
      <c r="M244" t="s">
        <v>68</v>
      </c>
      <c r="N244" t="s">
        <v>181</v>
      </c>
      <c r="O244" t="s">
        <v>512</v>
      </c>
      <c r="P244" t="str">
        <f>"3020670482"</f>
        <v>3020670482</v>
      </c>
      <c r="R244" t="str">
        <f>"00030206704822"</f>
        <v>00030206704822</v>
      </c>
      <c r="S244" s="1">
        <v>40463</v>
      </c>
      <c r="T244" s="1">
        <v>40463</v>
      </c>
      <c r="U244" t="str">
        <f>"3020670482"</f>
        <v>3020670482</v>
      </c>
      <c r="V244" t="str">
        <f t="shared" si="59"/>
        <v>1510</v>
      </c>
      <c r="W244" t="str">
        <f t="shared" si="51"/>
        <v>11</v>
      </c>
      <c r="X244" t="s">
        <v>75</v>
      </c>
      <c r="Y244" t="s">
        <v>76</v>
      </c>
      <c r="Z244" t="s">
        <v>180</v>
      </c>
      <c r="AA244" t="s">
        <v>181</v>
      </c>
      <c r="AB244" t="s">
        <v>79</v>
      </c>
      <c r="AD244" t="s">
        <v>80</v>
      </c>
      <c r="AE244" t="s">
        <v>81</v>
      </c>
      <c r="AF244" t="s">
        <v>82</v>
      </c>
      <c r="AG244" t="s">
        <v>83</v>
      </c>
      <c r="AH244" t="s">
        <v>84</v>
      </c>
      <c r="AI244" t="str">
        <f t="shared" si="60"/>
        <v>01</v>
      </c>
      <c r="AJ244" t="str">
        <f t="shared" si="53"/>
        <v>1</v>
      </c>
      <c r="AK244" t="s">
        <v>93</v>
      </c>
      <c r="AL244" t="s">
        <v>94</v>
      </c>
      <c r="AM244" t="s">
        <v>95</v>
      </c>
      <c r="AN244" t="str">
        <f t="shared" si="52"/>
        <v>.9700</v>
      </c>
      <c r="AO244" t="str">
        <f t="shared" si="61"/>
        <v>11.41</v>
      </c>
      <c r="AP244" t="s">
        <v>96</v>
      </c>
      <c r="AQ244" t="str">
        <f t="shared" si="62"/>
        <v>11.41</v>
      </c>
      <c r="AR244">
        <v>67</v>
      </c>
      <c r="AS244">
        <v>-1</v>
      </c>
      <c r="AT244">
        <v>66</v>
      </c>
      <c r="AU244">
        <v>764.42</v>
      </c>
      <c r="AV244">
        <v>83.52</v>
      </c>
      <c r="AW244">
        <v>680.9</v>
      </c>
      <c r="AX244">
        <v>-11.41</v>
      </c>
      <c r="AY244">
        <v>669.49</v>
      </c>
      <c r="AZ244">
        <v>0</v>
      </c>
    </row>
    <row r="245" spans="1:52">
      <c r="A245" t="s">
        <v>65</v>
      </c>
      <c r="B245" t="s">
        <v>66</v>
      </c>
      <c r="C245" t="s">
        <v>67</v>
      </c>
      <c r="D245" t="s">
        <v>68</v>
      </c>
      <c r="E245" t="s">
        <v>69</v>
      </c>
      <c r="F245" t="s">
        <v>70</v>
      </c>
      <c r="G245" t="s">
        <v>71</v>
      </c>
      <c r="H245" t="s">
        <v>70</v>
      </c>
      <c r="I245" t="str">
        <f t="shared" si="49"/>
        <v>1010</v>
      </c>
      <c r="J245" t="str">
        <f t="shared" si="50"/>
        <v>05</v>
      </c>
      <c r="K245" t="s">
        <v>68</v>
      </c>
      <c r="L245" t="s">
        <v>72</v>
      </c>
      <c r="M245" t="s">
        <v>68</v>
      </c>
      <c r="N245" t="s">
        <v>181</v>
      </c>
      <c r="O245" t="s">
        <v>513</v>
      </c>
      <c r="P245" t="str">
        <f>"3020669082"</f>
        <v>3020669082</v>
      </c>
      <c r="R245" t="str">
        <f>"00030206690828"</f>
        <v>00030206690828</v>
      </c>
      <c r="S245" s="1">
        <v>39630</v>
      </c>
      <c r="T245" s="1">
        <v>39630</v>
      </c>
      <c r="U245" t="str">
        <f>"3020669082"</f>
        <v>3020669082</v>
      </c>
      <c r="V245" t="str">
        <f t="shared" si="59"/>
        <v>1510</v>
      </c>
      <c r="W245" t="str">
        <f t="shared" si="51"/>
        <v>11</v>
      </c>
      <c r="X245" t="s">
        <v>75</v>
      </c>
      <c r="Y245" t="s">
        <v>76</v>
      </c>
      <c r="Z245" t="s">
        <v>180</v>
      </c>
      <c r="AA245" t="s">
        <v>181</v>
      </c>
      <c r="AB245" t="s">
        <v>79</v>
      </c>
      <c r="AD245" t="s">
        <v>80</v>
      </c>
      <c r="AE245" t="s">
        <v>81</v>
      </c>
      <c r="AF245" t="s">
        <v>82</v>
      </c>
      <c r="AG245" t="s">
        <v>83</v>
      </c>
      <c r="AH245" t="s">
        <v>84</v>
      </c>
      <c r="AI245" t="str">
        <f t="shared" si="60"/>
        <v>01</v>
      </c>
      <c r="AJ245" t="str">
        <f t="shared" si="53"/>
        <v>1</v>
      </c>
      <c r="AK245" t="s">
        <v>93</v>
      </c>
      <c r="AL245" t="s">
        <v>94</v>
      </c>
      <c r="AM245" t="s">
        <v>95</v>
      </c>
      <c r="AN245" t="str">
        <f t="shared" si="52"/>
        <v>.9700</v>
      </c>
      <c r="AO245" t="str">
        <f t="shared" si="61"/>
        <v>11.41</v>
      </c>
      <c r="AP245" t="s">
        <v>96</v>
      </c>
      <c r="AQ245" t="str">
        <f t="shared" si="62"/>
        <v>11.41</v>
      </c>
      <c r="AR245">
        <v>3</v>
      </c>
      <c r="AS245">
        <v>0</v>
      </c>
      <c r="AT245">
        <v>3</v>
      </c>
      <c r="AU245">
        <v>34.229999999999997</v>
      </c>
      <c r="AV245">
        <v>4.1100000000000003</v>
      </c>
      <c r="AW245">
        <v>30.12</v>
      </c>
      <c r="AX245">
        <v>0</v>
      </c>
      <c r="AY245">
        <v>30.12</v>
      </c>
      <c r="AZ245">
        <v>0</v>
      </c>
    </row>
    <row r="246" spans="1:52">
      <c r="A246" t="s">
        <v>65</v>
      </c>
      <c r="B246" t="s">
        <v>66</v>
      </c>
      <c r="C246" t="s">
        <v>67</v>
      </c>
      <c r="D246" t="s">
        <v>68</v>
      </c>
      <c r="E246" t="s">
        <v>69</v>
      </c>
      <c r="F246" t="s">
        <v>70</v>
      </c>
      <c r="G246" t="s">
        <v>71</v>
      </c>
      <c r="H246" t="s">
        <v>70</v>
      </c>
      <c r="I246" t="str">
        <f t="shared" si="49"/>
        <v>1010</v>
      </c>
      <c r="J246" t="str">
        <f t="shared" si="50"/>
        <v>05</v>
      </c>
      <c r="K246" t="s">
        <v>68</v>
      </c>
      <c r="L246" t="s">
        <v>72</v>
      </c>
      <c r="M246" t="s">
        <v>68</v>
      </c>
      <c r="N246" t="s">
        <v>181</v>
      </c>
      <c r="O246" t="s">
        <v>514</v>
      </c>
      <c r="P246" t="str">
        <f>"3020671142"</f>
        <v>3020671142</v>
      </c>
      <c r="R246" t="str">
        <f>"00030206711424"</f>
        <v>00030206711424</v>
      </c>
      <c r="S246" s="1">
        <v>40799</v>
      </c>
      <c r="T246" s="1">
        <v>40799</v>
      </c>
      <c r="U246" t="str">
        <f>"3020671142"</f>
        <v>3020671142</v>
      </c>
      <c r="V246" t="str">
        <f t="shared" si="59"/>
        <v>1510</v>
      </c>
      <c r="W246" t="str">
        <f t="shared" si="51"/>
        <v>11</v>
      </c>
      <c r="X246" t="s">
        <v>75</v>
      </c>
      <c r="Y246" t="s">
        <v>76</v>
      </c>
      <c r="Z246" t="s">
        <v>180</v>
      </c>
      <c r="AA246" t="s">
        <v>181</v>
      </c>
      <c r="AB246" t="s">
        <v>79</v>
      </c>
      <c r="AD246" t="s">
        <v>80</v>
      </c>
      <c r="AE246" t="s">
        <v>81</v>
      </c>
      <c r="AF246" t="s">
        <v>82</v>
      </c>
      <c r="AG246" t="s">
        <v>83</v>
      </c>
      <c r="AH246" t="s">
        <v>84</v>
      </c>
      <c r="AI246" t="str">
        <f t="shared" si="60"/>
        <v>01</v>
      </c>
      <c r="AJ246" t="str">
        <f t="shared" si="53"/>
        <v>1</v>
      </c>
      <c r="AK246" t="s">
        <v>93</v>
      </c>
      <c r="AL246" t="s">
        <v>94</v>
      </c>
      <c r="AM246" t="s">
        <v>95</v>
      </c>
      <c r="AN246" t="str">
        <f t="shared" si="52"/>
        <v>.9700</v>
      </c>
      <c r="AO246" t="str">
        <f t="shared" si="61"/>
        <v>11.41</v>
      </c>
      <c r="AP246" t="s">
        <v>96</v>
      </c>
      <c r="AQ246" t="str">
        <f t="shared" si="62"/>
        <v>11.41</v>
      </c>
      <c r="AR246">
        <v>20</v>
      </c>
      <c r="AS246">
        <v>0</v>
      </c>
      <c r="AT246">
        <v>20</v>
      </c>
      <c r="AU246">
        <v>228.19</v>
      </c>
      <c r="AV246">
        <v>21.91</v>
      </c>
      <c r="AW246">
        <v>206.28</v>
      </c>
      <c r="AX246">
        <v>0</v>
      </c>
      <c r="AY246">
        <v>206.28</v>
      </c>
      <c r="AZ246">
        <v>0</v>
      </c>
    </row>
    <row r="247" spans="1:52">
      <c r="A247" t="s">
        <v>65</v>
      </c>
      <c r="B247" t="s">
        <v>66</v>
      </c>
      <c r="C247" t="s">
        <v>67</v>
      </c>
      <c r="D247" t="s">
        <v>68</v>
      </c>
      <c r="E247" t="s">
        <v>69</v>
      </c>
      <c r="F247" t="s">
        <v>70</v>
      </c>
      <c r="G247" t="s">
        <v>71</v>
      </c>
      <c r="H247" t="s">
        <v>70</v>
      </c>
      <c r="I247" t="str">
        <f t="shared" si="49"/>
        <v>1010</v>
      </c>
      <c r="J247" t="str">
        <f t="shared" si="50"/>
        <v>05</v>
      </c>
      <c r="K247" t="s">
        <v>68</v>
      </c>
      <c r="L247" t="s">
        <v>72</v>
      </c>
      <c r="M247" t="s">
        <v>68</v>
      </c>
      <c r="N247" t="s">
        <v>181</v>
      </c>
      <c r="O247" t="s">
        <v>515</v>
      </c>
      <c r="P247" t="str">
        <f>"3020671512"</f>
        <v>3020671512</v>
      </c>
      <c r="R247" t="str">
        <f>"00030206715125"</f>
        <v>00030206715125</v>
      </c>
      <c r="S247" s="1">
        <v>41079</v>
      </c>
      <c r="T247" s="1">
        <v>41072</v>
      </c>
      <c r="U247" t="str">
        <f>"3020671512"</f>
        <v>3020671512</v>
      </c>
      <c r="V247" t="str">
        <f t="shared" si="59"/>
        <v>1510</v>
      </c>
      <c r="W247" t="str">
        <f t="shared" si="51"/>
        <v>11</v>
      </c>
      <c r="X247" t="s">
        <v>75</v>
      </c>
      <c r="Y247" t="s">
        <v>76</v>
      </c>
      <c r="Z247" t="s">
        <v>180</v>
      </c>
      <c r="AA247" t="s">
        <v>181</v>
      </c>
      <c r="AB247" t="s">
        <v>79</v>
      </c>
      <c r="AD247" t="s">
        <v>80</v>
      </c>
      <c r="AE247" t="s">
        <v>81</v>
      </c>
      <c r="AF247" t="s">
        <v>82</v>
      </c>
      <c r="AG247" t="s">
        <v>83</v>
      </c>
      <c r="AH247" t="s">
        <v>84</v>
      </c>
      <c r="AI247" t="str">
        <f t="shared" si="60"/>
        <v>01</v>
      </c>
      <c r="AJ247" t="str">
        <f t="shared" si="53"/>
        <v>1</v>
      </c>
      <c r="AK247" t="s">
        <v>93</v>
      </c>
      <c r="AL247" t="s">
        <v>94</v>
      </c>
      <c r="AM247" t="s">
        <v>95</v>
      </c>
      <c r="AN247" t="str">
        <f t="shared" si="52"/>
        <v>.9700</v>
      </c>
      <c r="AO247" t="str">
        <f t="shared" si="61"/>
        <v>11.41</v>
      </c>
      <c r="AP247" t="s">
        <v>96</v>
      </c>
      <c r="AQ247" t="str">
        <f t="shared" si="62"/>
        <v>11.41</v>
      </c>
      <c r="AR247">
        <v>1</v>
      </c>
      <c r="AS247">
        <v>-3</v>
      </c>
      <c r="AT247">
        <v>-2</v>
      </c>
      <c r="AU247">
        <v>11.41</v>
      </c>
      <c r="AV247">
        <v>0</v>
      </c>
      <c r="AW247">
        <v>11.41</v>
      </c>
      <c r="AX247">
        <v>-30.87</v>
      </c>
      <c r="AY247">
        <v>-19.46</v>
      </c>
      <c r="AZ247">
        <v>0</v>
      </c>
    </row>
    <row r="248" spans="1:52">
      <c r="A248" t="s">
        <v>65</v>
      </c>
      <c r="B248" t="s">
        <v>66</v>
      </c>
      <c r="C248" t="s">
        <v>67</v>
      </c>
      <c r="D248" t="s">
        <v>68</v>
      </c>
      <c r="E248" t="s">
        <v>69</v>
      </c>
      <c r="F248" t="s">
        <v>70</v>
      </c>
      <c r="G248" t="s">
        <v>71</v>
      </c>
      <c r="H248" t="s">
        <v>70</v>
      </c>
      <c r="I248" t="str">
        <f t="shared" si="49"/>
        <v>1010</v>
      </c>
      <c r="J248" t="str">
        <f t="shared" si="50"/>
        <v>05</v>
      </c>
      <c r="K248" t="s">
        <v>68</v>
      </c>
      <c r="L248" t="s">
        <v>72</v>
      </c>
      <c r="M248" t="s">
        <v>68</v>
      </c>
      <c r="N248" t="s">
        <v>181</v>
      </c>
      <c r="O248" t="s">
        <v>516</v>
      </c>
      <c r="P248" t="str">
        <f>"3020672178"</f>
        <v>3020672178</v>
      </c>
      <c r="R248" t="str">
        <f>"00030206721782"</f>
        <v>00030206721782</v>
      </c>
      <c r="S248" s="1">
        <v>41527</v>
      </c>
      <c r="T248" s="1">
        <v>41520</v>
      </c>
      <c r="U248" t="str">
        <f>"3020672178"</f>
        <v>3020672178</v>
      </c>
      <c r="V248" t="str">
        <f>"1010"</f>
        <v>1010</v>
      </c>
      <c r="W248" t="str">
        <f t="shared" si="51"/>
        <v>11</v>
      </c>
      <c r="X248" t="s">
        <v>75</v>
      </c>
      <c r="Y248" t="s">
        <v>173</v>
      </c>
      <c r="Z248" t="s">
        <v>105</v>
      </c>
      <c r="AA248" t="s">
        <v>106</v>
      </c>
      <c r="AB248" t="s">
        <v>79</v>
      </c>
      <c r="AD248" t="s">
        <v>80</v>
      </c>
      <c r="AE248" t="s">
        <v>81</v>
      </c>
      <c r="AF248" t="s">
        <v>82</v>
      </c>
      <c r="AG248" t="s">
        <v>83</v>
      </c>
      <c r="AH248" t="s">
        <v>84</v>
      </c>
      <c r="AJ248" t="str">
        <f t="shared" si="53"/>
        <v>1</v>
      </c>
      <c r="AK248" t="s">
        <v>93</v>
      </c>
      <c r="AL248" t="s">
        <v>143</v>
      </c>
      <c r="AM248" t="s">
        <v>95</v>
      </c>
      <c r="AN248" t="str">
        <f t="shared" si="52"/>
        <v>.9700</v>
      </c>
      <c r="AO248" t="str">
        <f t="shared" si="61"/>
        <v>11.41</v>
      </c>
      <c r="AP248" t="s">
        <v>96</v>
      </c>
      <c r="AQ248" t="str">
        <f t="shared" si="62"/>
        <v>11.41</v>
      </c>
      <c r="AR248">
        <v>2</v>
      </c>
      <c r="AS248">
        <v>-5</v>
      </c>
      <c r="AT248">
        <v>-3</v>
      </c>
      <c r="AU248">
        <v>22.82</v>
      </c>
      <c r="AV248">
        <v>0</v>
      </c>
      <c r="AW248">
        <v>22.82</v>
      </c>
      <c r="AX248">
        <v>-50.39</v>
      </c>
      <c r="AY248">
        <v>-27.57</v>
      </c>
      <c r="AZ248">
        <v>0</v>
      </c>
    </row>
    <row r="249" spans="1:52">
      <c r="A249" t="s">
        <v>65</v>
      </c>
      <c r="B249" t="s">
        <v>66</v>
      </c>
      <c r="C249" t="s">
        <v>67</v>
      </c>
      <c r="D249" t="s">
        <v>68</v>
      </c>
      <c r="E249" t="s">
        <v>69</v>
      </c>
      <c r="F249" t="s">
        <v>70</v>
      </c>
      <c r="G249" t="s">
        <v>71</v>
      </c>
      <c r="H249" t="s">
        <v>70</v>
      </c>
      <c r="I249" t="str">
        <f t="shared" si="49"/>
        <v>1010</v>
      </c>
      <c r="J249" t="str">
        <f t="shared" si="50"/>
        <v>05</v>
      </c>
      <c r="K249" t="s">
        <v>68</v>
      </c>
      <c r="L249" t="s">
        <v>72</v>
      </c>
      <c r="M249" t="s">
        <v>68</v>
      </c>
      <c r="N249" t="s">
        <v>181</v>
      </c>
      <c r="O249" t="s">
        <v>517</v>
      </c>
      <c r="P249" t="str">
        <f>"3020672808"</f>
        <v>3020672808</v>
      </c>
      <c r="R249" t="str">
        <f>"00030206728088"</f>
        <v>00030206728088</v>
      </c>
      <c r="S249" s="1">
        <v>41800</v>
      </c>
      <c r="T249" s="1">
        <v>41800</v>
      </c>
      <c r="U249" t="str">
        <f>"3020672808"</f>
        <v>3020672808</v>
      </c>
      <c r="V249" t="str">
        <f>"1010"</f>
        <v>1010</v>
      </c>
      <c r="W249" t="str">
        <f t="shared" si="51"/>
        <v>11</v>
      </c>
      <c r="X249" t="s">
        <v>75</v>
      </c>
      <c r="Y249" t="s">
        <v>139</v>
      </c>
      <c r="Z249" t="s">
        <v>180</v>
      </c>
      <c r="AA249" t="s">
        <v>181</v>
      </c>
      <c r="AB249" t="s">
        <v>79</v>
      </c>
      <c r="AD249" t="s">
        <v>80</v>
      </c>
      <c r="AE249" t="s">
        <v>81</v>
      </c>
      <c r="AF249" t="s">
        <v>82</v>
      </c>
      <c r="AG249" t="s">
        <v>83</v>
      </c>
      <c r="AH249" t="s">
        <v>84</v>
      </c>
      <c r="AI249" t="str">
        <f>"01"</f>
        <v>01</v>
      </c>
      <c r="AJ249" t="str">
        <f t="shared" si="53"/>
        <v>1</v>
      </c>
      <c r="AK249" t="s">
        <v>93</v>
      </c>
      <c r="AL249" t="s">
        <v>143</v>
      </c>
      <c r="AM249" t="s">
        <v>95</v>
      </c>
      <c r="AN249" t="str">
        <f t="shared" si="52"/>
        <v>.9700</v>
      </c>
      <c r="AO249" t="str">
        <f t="shared" si="61"/>
        <v>11.41</v>
      </c>
      <c r="AP249" t="s">
        <v>96</v>
      </c>
      <c r="AQ249" t="str">
        <f t="shared" si="62"/>
        <v>11.41</v>
      </c>
      <c r="AR249">
        <v>75</v>
      </c>
      <c r="AS249">
        <v>0</v>
      </c>
      <c r="AT249">
        <v>75</v>
      </c>
      <c r="AU249">
        <v>855.68</v>
      </c>
      <c r="AV249">
        <v>59.93</v>
      </c>
      <c r="AW249">
        <v>795.75</v>
      </c>
      <c r="AX249">
        <v>0</v>
      </c>
      <c r="AY249">
        <v>795.75</v>
      </c>
      <c r="AZ249">
        <v>0</v>
      </c>
    </row>
    <row r="250" spans="1:52">
      <c r="A250" t="s">
        <v>65</v>
      </c>
      <c r="B250" t="s">
        <v>66</v>
      </c>
      <c r="C250" t="s">
        <v>67</v>
      </c>
      <c r="D250" t="s">
        <v>68</v>
      </c>
      <c r="E250" t="s">
        <v>69</v>
      </c>
      <c r="F250" t="s">
        <v>70</v>
      </c>
      <c r="G250" t="s">
        <v>71</v>
      </c>
      <c r="H250" t="s">
        <v>70</v>
      </c>
      <c r="I250" t="str">
        <f t="shared" si="49"/>
        <v>1010</v>
      </c>
      <c r="J250" t="str">
        <f t="shared" si="50"/>
        <v>05</v>
      </c>
      <c r="K250" t="s">
        <v>68</v>
      </c>
      <c r="L250" t="s">
        <v>72</v>
      </c>
      <c r="M250" t="s">
        <v>68</v>
      </c>
      <c r="N250" t="s">
        <v>181</v>
      </c>
      <c r="O250" t="s">
        <v>518</v>
      </c>
      <c r="P250" t="str">
        <f>"3020671892"</f>
        <v>3020671892</v>
      </c>
      <c r="R250" t="str">
        <f>"00030206718928"</f>
        <v>00030206718928</v>
      </c>
      <c r="S250" s="1">
        <v>41408</v>
      </c>
      <c r="T250" s="1">
        <v>41408</v>
      </c>
      <c r="U250" t="str">
        <f>"3020671892"</f>
        <v>3020671892</v>
      </c>
      <c r="V250" t="str">
        <f>"1010"</f>
        <v>1010</v>
      </c>
      <c r="W250" t="str">
        <f t="shared" si="51"/>
        <v>11</v>
      </c>
      <c r="X250" t="s">
        <v>75</v>
      </c>
      <c r="Y250" t="s">
        <v>173</v>
      </c>
      <c r="Z250" t="s">
        <v>180</v>
      </c>
      <c r="AA250" t="s">
        <v>181</v>
      </c>
      <c r="AB250" t="s">
        <v>79</v>
      </c>
      <c r="AD250" t="s">
        <v>80</v>
      </c>
      <c r="AE250" t="s">
        <v>81</v>
      </c>
      <c r="AF250" t="s">
        <v>82</v>
      </c>
      <c r="AG250" t="s">
        <v>83</v>
      </c>
      <c r="AH250" t="s">
        <v>84</v>
      </c>
      <c r="AJ250" t="str">
        <f t="shared" si="53"/>
        <v>1</v>
      </c>
      <c r="AK250" t="s">
        <v>101</v>
      </c>
      <c r="AL250" t="s">
        <v>143</v>
      </c>
      <c r="AM250" t="s">
        <v>95</v>
      </c>
      <c r="AN250" t="str">
        <f t="shared" si="52"/>
        <v>.9700</v>
      </c>
      <c r="AO250" t="str">
        <f>"9.07"</f>
        <v>9.07</v>
      </c>
      <c r="AP250" t="s">
        <v>102</v>
      </c>
      <c r="AQ250" t="str">
        <f>"9.07"</f>
        <v>9.07</v>
      </c>
      <c r="AR250">
        <v>8</v>
      </c>
      <c r="AS250">
        <v>-2</v>
      </c>
      <c r="AT250">
        <v>6</v>
      </c>
      <c r="AU250">
        <v>72.56</v>
      </c>
      <c r="AV250">
        <v>0</v>
      </c>
      <c r="AW250">
        <v>72.56</v>
      </c>
      <c r="AX250">
        <v>-16.64</v>
      </c>
      <c r="AY250">
        <v>55.92</v>
      </c>
      <c r="AZ250">
        <v>0</v>
      </c>
    </row>
    <row r="251" spans="1:52">
      <c r="A251" t="s">
        <v>65</v>
      </c>
      <c r="B251" t="s">
        <v>66</v>
      </c>
      <c r="C251" t="s">
        <v>67</v>
      </c>
      <c r="D251" t="s">
        <v>68</v>
      </c>
      <c r="E251" t="s">
        <v>69</v>
      </c>
      <c r="F251" t="s">
        <v>70</v>
      </c>
      <c r="G251" t="s">
        <v>71</v>
      </c>
      <c r="H251" t="s">
        <v>70</v>
      </c>
      <c r="I251" t="str">
        <f t="shared" si="49"/>
        <v>1010</v>
      </c>
      <c r="J251" t="str">
        <f t="shared" si="50"/>
        <v>05</v>
      </c>
      <c r="K251" t="s">
        <v>68</v>
      </c>
      <c r="L251" t="s">
        <v>72</v>
      </c>
      <c r="M251" t="s">
        <v>68</v>
      </c>
      <c r="N251" t="s">
        <v>181</v>
      </c>
      <c r="O251" t="s">
        <v>519</v>
      </c>
      <c r="P251" t="str">
        <f>"3020667842"</f>
        <v>3020667842</v>
      </c>
      <c r="R251" t="str">
        <f>"00030206678420"</f>
        <v>00030206678420</v>
      </c>
      <c r="S251" s="1">
        <v>39091</v>
      </c>
      <c r="T251" s="1">
        <v>39091</v>
      </c>
      <c r="U251" t="str">
        <f>"3020667842"</f>
        <v>3020667842</v>
      </c>
      <c r="V251" t="str">
        <f>"1510"</f>
        <v>1510</v>
      </c>
      <c r="W251" t="str">
        <f t="shared" si="51"/>
        <v>11</v>
      </c>
      <c r="X251" t="s">
        <v>75</v>
      </c>
      <c r="Y251" t="s">
        <v>76</v>
      </c>
      <c r="Z251" t="s">
        <v>180</v>
      </c>
      <c r="AA251" t="s">
        <v>181</v>
      </c>
      <c r="AB251" t="s">
        <v>79</v>
      </c>
      <c r="AD251" t="s">
        <v>80</v>
      </c>
      <c r="AE251" t="s">
        <v>81</v>
      </c>
      <c r="AF251" t="s">
        <v>82</v>
      </c>
      <c r="AG251" t="s">
        <v>83</v>
      </c>
      <c r="AH251" t="s">
        <v>84</v>
      </c>
      <c r="AI251" t="str">
        <f>"01"</f>
        <v>01</v>
      </c>
      <c r="AJ251" t="str">
        <f t="shared" si="53"/>
        <v>1</v>
      </c>
      <c r="AK251" t="s">
        <v>93</v>
      </c>
      <c r="AL251" t="s">
        <v>94</v>
      </c>
      <c r="AM251" t="s">
        <v>95</v>
      </c>
      <c r="AN251" t="str">
        <f t="shared" si="52"/>
        <v>.9700</v>
      </c>
      <c r="AO251" t="str">
        <f>"11.41"</f>
        <v>11.41</v>
      </c>
      <c r="AP251" t="s">
        <v>96</v>
      </c>
      <c r="AQ251" t="str">
        <f>"11.41"</f>
        <v>11.41</v>
      </c>
      <c r="AR251">
        <v>108</v>
      </c>
      <c r="AS251">
        <v>-43</v>
      </c>
      <c r="AT251">
        <v>65</v>
      </c>
      <c r="AU251">
        <v>1232.28</v>
      </c>
      <c r="AV251">
        <v>0</v>
      </c>
      <c r="AW251">
        <v>1232.28</v>
      </c>
      <c r="AX251">
        <v>-417.29</v>
      </c>
      <c r="AY251">
        <v>814.99</v>
      </c>
      <c r="AZ251">
        <v>0</v>
      </c>
    </row>
    <row r="252" spans="1:52">
      <c r="A252" t="s">
        <v>65</v>
      </c>
      <c r="B252" t="s">
        <v>66</v>
      </c>
      <c r="C252" t="s">
        <v>67</v>
      </c>
      <c r="D252" t="s">
        <v>68</v>
      </c>
      <c r="E252" t="s">
        <v>69</v>
      </c>
      <c r="F252" t="s">
        <v>70</v>
      </c>
      <c r="G252" t="s">
        <v>71</v>
      </c>
      <c r="H252" t="s">
        <v>70</v>
      </c>
      <c r="I252" t="str">
        <f t="shared" si="49"/>
        <v>1010</v>
      </c>
      <c r="J252" t="str">
        <f t="shared" si="50"/>
        <v>05</v>
      </c>
      <c r="K252" t="s">
        <v>68</v>
      </c>
      <c r="L252" t="s">
        <v>72</v>
      </c>
      <c r="M252" t="s">
        <v>68</v>
      </c>
      <c r="N252" t="s">
        <v>181</v>
      </c>
      <c r="O252" t="s">
        <v>520</v>
      </c>
      <c r="P252" t="str">
        <f>"3020672378"</f>
        <v>3020672378</v>
      </c>
      <c r="R252" t="str">
        <f>"00030206723786"</f>
        <v>00030206723786</v>
      </c>
      <c r="S252" s="1">
        <v>41688</v>
      </c>
      <c r="T252" s="1">
        <v>41590</v>
      </c>
      <c r="U252" t="str">
        <f>"3020672378"</f>
        <v>3020672378</v>
      </c>
      <c r="V252" t="str">
        <f>"1010"</f>
        <v>1010</v>
      </c>
      <c r="W252" t="str">
        <f t="shared" si="51"/>
        <v>11</v>
      </c>
      <c r="X252" t="s">
        <v>75</v>
      </c>
      <c r="Y252" t="s">
        <v>139</v>
      </c>
      <c r="Z252" t="s">
        <v>105</v>
      </c>
      <c r="AA252" t="s">
        <v>106</v>
      </c>
      <c r="AB252" t="s">
        <v>79</v>
      </c>
      <c r="AD252" t="s">
        <v>80</v>
      </c>
      <c r="AE252" t="s">
        <v>81</v>
      </c>
      <c r="AF252" t="s">
        <v>82</v>
      </c>
      <c r="AG252" t="s">
        <v>83</v>
      </c>
      <c r="AH252" t="s">
        <v>84</v>
      </c>
      <c r="AJ252" t="str">
        <f t="shared" si="53"/>
        <v>1</v>
      </c>
      <c r="AK252" t="s">
        <v>101</v>
      </c>
      <c r="AL252" t="s">
        <v>143</v>
      </c>
      <c r="AM252" t="s">
        <v>95</v>
      </c>
      <c r="AN252" t="str">
        <f t="shared" si="52"/>
        <v>.9700</v>
      </c>
      <c r="AO252" t="str">
        <f>"9.07"</f>
        <v>9.07</v>
      </c>
      <c r="AP252" t="s">
        <v>102</v>
      </c>
      <c r="AQ252" t="str">
        <f>"9.07"</f>
        <v>9.07</v>
      </c>
      <c r="AR252">
        <v>35</v>
      </c>
      <c r="AS252">
        <v>-6</v>
      </c>
      <c r="AT252">
        <v>29</v>
      </c>
      <c r="AU252">
        <v>317.45</v>
      </c>
      <c r="AV252">
        <v>0</v>
      </c>
      <c r="AW252">
        <v>317.45</v>
      </c>
      <c r="AX252">
        <v>-48.71</v>
      </c>
      <c r="AY252">
        <v>268.74</v>
      </c>
      <c r="AZ252">
        <v>0</v>
      </c>
    </row>
    <row r="253" spans="1:52">
      <c r="A253" t="s">
        <v>65</v>
      </c>
      <c r="B253" t="s">
        <v>66</v>
      </c>
      <c r="C253" t="s">
        <v>67</v>
      </c>
      <c r="D253" t="s">
        <v>68</v>
      </c>
      <c r="E253" t="s">
        <v>69</v>
      </c>
      <c r="F253" t="s">
        <v>70</v>
      </c>
      <c r="G253" t="s">
        <v>71</v>
      </c>
      <c r="H253" t="s">
        <v>70</v>
      </c>
      <c r="I253" t="str">
        <f t="shared" si="49"/>
        <v>1010</v>
      </c>
      <c r="J253" t="str">
        <f t="shared" si="50"/>
        <v>05</v>
      </c>
      <c r="K253" t="s">
        <v>68</v>
      </c>
      <c r="L253" t="s">
        <v>72</v>
      </c>
      <c r="M253" t="s">
        <v>68</v>
      </c>
      <c r="N253" t="s">
        <v>181</v>
      </c>
      <c r="O253" t="s">
        <v>521</v>
      </c>
      <c r="P253" t="str">
        <f>"3020670822"</f>
        <v>3020670822</v>
      </c>
      <c r="R253" t="str">
        <f>"00030206708226"</f>
        <v>00030206708226</v>
      </c>
      <c r="S253" s="1">
        <v>40652</v>
      </c>
      <c r="T253" s="1">
        <v>40638</v>
      </c>
      <c r="U253" t="str">
        <f>"3020670822"</f>
        <v>3020670822</v>
      </c>
      <c r="V253" t="str">
        <f>"1510"</f>
        <v>1510</v>
      </c>
      <c r="W253" t="str">
        <f t="shared" si="51"/>
        <v>11</v>
      </c>
      <c r="X253" t="s">
        <v>75</v>
      </c>
      <c r="Y253" t="s">
        <v>76</v>
      </c>
      <c r="Z253" t="s">
        <v>180</v>
      </c>
      <c r="AA253" t="s">
        <v>181</v>
      </c>
      <c r="AB253" t="s">
        <v>79</v>
      </c>
      <c r="AD253" t="s">
        <v>80</v>
      </c>
      <c r="AE253" t="s">
        <v>81</v>
      </c>
      <c r="AF253" t="s">
        <v>82</v>
      </c>
      <c r="AG253" t="s">
        <v>83</v>
      </c>
      <c r="AH253" t="s">
        <v>84</v>
      </c>
      <c r="AI253" t="str">
        <f>"01"</f>
        <v>01</v>
      </c>
      <c r="AJ253" t="str">
        <f t="shared" si="53"/>
        <v>1</v>
      </c>
      <c r="AK253" t="s">
        <v>93</v>
      </c>
      <c r="AL253" t="s">
        <v>94</v>
      </c>
      <c r="AM253" t="s">
        <v>95</v>
      </c>
      <c r="AN253" t="str">
        <f t="shared" si="52"/>
        <v>.9700</v>
      </c>
      <c r="AO253" t="str">
        <f>"11.41"</f>
        <v>11.41</v>
      </c>
      <c r="AP253" t="s">
        <v>96</v>
      </c>
      <c r="AQ253" t="str">
        <f>"11.41"</f>
        <v>11.41</v>
      </c>
      <c r="AR253">
        <v>7</v>
      </c>
      <c r="AS253">
        <v>-6</v>
      </c>
      <c r="AT253">
        <v>1</v>
      </c>
      <c r="AU253">
        <v>79.86</v>
      </c>
      <c r="AV253">
        <v>9.58</v>
      </c>
      <c r="AW253">
        <v>70.28</v>
      </c>
      <c r="AX253">
        <v>-61.74</v>
      </c>
      <c r="AY253">
        <v>8.5399999999999991</v>
      </c>
      <c r="AZ253">
        <v>0</v>
      </c>
    </row>
    <row r="254" spans="1:52">
      <c r="A254" t="s">
        <v>65</v>
      </c>
      <c r="B254" t="s">
        <v>66</v>
      </c>
      <c r="C254" t="s">
        <v>67</v>
      </c>
      <c r="D254" t="s">
        <v>68</v>
      </c>
      <c r="E254" t="s">
        <v>69</v>
      </c>
      <c r="F254" t="s">
        <v>70</v>
      </c>
      <c r="G254" t="s">
        <v>71</v>
      </c>
      <c r="H254" t="s">
        <v>70</v>
      </c>
      <c r="I254" t="str">
        <f t="shared" si="49"/>
        <v>1010</v>
      </c>
      <c r="J254" t="str">
        <f t="shared" si="50"/>
        <v>05</v>
      </c>
      <c r="K254" t="s">
        <v>68</v>
      </c>
      <c r="L254" t="s">
        <v>72</v>
      </c>
      <c r="M254" t="s">
        <v>68</v>
      </c>
      <c r="N254" t="s">
        <v>181</v>
      </c>
      <c r="O254" t="s">
        <v>522</v>
      </c>
      <c r="P254" t="str">
        <f>"3020672418"</f>
        <v>3020672418</v>
      </c>
      <c r="R254" t="str">
        <f>"00030206724189"</f>
        <v>00030206724189</v>
      </c>
      <c r="S254" s="1">
        <v>41625</v>
      </c>
      <c r="T254" s="1">
        <v>41618</v>
      </c>
      <c r="U254" t="str">
        <f>"3020672418"</f>
        <v>3020672418</v>
      </c>
      <c r="V254" t="str">
        <f>"1010"</f>
        <v>1010</v>
      </c>
      <c r="W254" t="str">
        <f t="shared" si="51"/>
        <v>11</v>
      </c>
      <c r="X254" t="s">
        <v>75</v>
      </c>
      <c r="Y254" t="s">
        <v>173</v>
      </c>
      <c r="Z254" t="s">
        <v>180</v>
      </c>
      <c r="AA254" t="s">
        <v>181</v>
      </c>
      <c r="AB254" t="s">
        <v>79</v>
      </c>
      <c r="AD254" t="s">
        <v>80</v>
      </c>
      <c r="AE254" t="s">
        <v>81</v>
      </c>
      <c r="AF254" t="s">
        <v>82</v>
      </c>
      <c r="AG254" t="s">
        <v>83</v>
      </c>
      <c r="AH254" t="s">
        <v>84</v>
      </c>
      <c r="AJ254" t="str">
        <f t="shared" si="53"/>
        <v>1</v>
      </c>
      <c r="AK254" t="s">
        <v>93</v>
      </c>
      <c r="AL254" t="s">
        <v>143</v>
      </c>
      <c r="AM254" t="s">
        <v>95</v>
      </c>
      <c r="AN254" t="str">
        <f t="shared" si="52"/>
        <v>.9700</v>
      </c>
      <c r="AO254" t="str">
        <f>"11.41"</f>
        <v>11.41</v>
      </c>
      <c r="AP254" t="s">
        <v>96</v>
      </c>
      <c r="AQ254" t="str">
        <f>"11.41"</f>
        <v>11.41</v>
      </c>
      <c r="AR254">
        <v>1</v>
      </c>
      <c r="AS254">
        <v>-34</v>
      </c>
      <c r="AT254">
        <v>-33</v>
      </c>
      <c r="AU254">
        <v>11.41</v>
      </c>
      <c r="AV254">
        <v>0</v>
      </c>
      <c r="AW254">
        <v>11.41</v>
      </c>
      <c r="AX254">
        <v>-337.28</v>
      </c>
      <c r="AY254">
        <v>-325.87</v>
      </c>
      <c r="AZ254">
        <v>0</v>
      </c>
    </row>
    <row r="255" spans="1:52">
      <c r="A255" t="s">
        <v>65</v>
      </c>
      <c r="B255" t="s">
        <v>66</v>
      </c>
      <c r="C255" t="s">
        <v>67</v>
      </c>
      <c r="D255" t="s">
        <v>68</v>
      </c>
      <c r="E255" t="s">
        <v>69</v>
      </c>
      <c r="F255" t="s">
        <v>70</v>
      </c>
      <c r="G255" t="s">
        <v>71</v>
      </c>
      <c r="H255" t="s">
        <v>70</v>
      </c>
      <c r="I255" t="str">
        <f t="shared" si="49"/>
        <v>1010</v>
      </c>
      <c r="J255" t="str">
        <f t="shared" si="50"/>
        <v>05</v>
      </c>
      <c r="K255" t="s">
        <v>68</v>
      </c>
      <c r="L255" t="s">
        <v>72</v>
      </c>
      <c r="M255" t="s">
        <v>68</v>
      </c>
      <c r="N255" t="s">
        <v>181</v>
      </c>
      <c r="O255" t="s">
        <v>523</v>
      </c>
      <c r="P255" t="str">
        <f>"3020671912"</f>
        <v>3020671912</v>
      </c>
      <c r="R255" t="str">
        <f>"00030206719123"</f>
        <v>00030206719123</v>
      </c>
      <c r="S255" s="1">
        <v>41373</v>
      </c>
      <c r="T255" s="1">
        <v>41366</v>
      </c>
      <c r="U255" t="str">
        <f>"3020671912"</f>
        <v>3020671912</v>
      </c>
      <c r="V255" t="str">
        <f>"1010"</f>
        <v>1010</v>
      </c>
      <c r="W255" t="str">
        <f t="shared" si="51"/>
        <v>11</v>
      </c>
      <c r="X255" t="s">
        <v>75</v>
      </c>
      <c r="Y255" t="s">
        <v>173</v>
      </c>
      <c r="Z255" t="s">
        <v>180</v>
      </c>
      <c r="AA255" t="s">
        <v>181</v>
      </c>
      <c r="AB255" t="s">
        <v>79</v>
      </c>
      <c r="AD255" t="s">
        <v>80</v>
      </c>
      <c r="AE255" t="s">
        <v>81</v>
      </c>
      <c r="AF255" t="s">
        <v>82</v>
      </c>
      <c r="AG255" t="s">
        <v>83</v>
      </c>
      <c r="AH255" t="s">
        <v>84</v>
      </c>
      <c r="AJ255" t="str">
        <f t="shared" si="53"/>
        <v>1</v>
      </c>
      <c r="AK255" t="s">
        <v>240</v>
      </c>
      <c r="AL255" t="s">
        <v>143</v>
      </c>
      <c r="AM255" t="s">
        <v>95</v>
      </c>
      <c r="AN255" t="str">
        <f t="shared" si="52"/>
        <v>.9700</v>
      </c>
      <c r="AO255" t="str">
        <f>"12.65"</f>
        <v>12.65</v>
      </c>
      <c r="AP255" t="s">
        <v>241</v>
      </c>
      <c r="AQ255" t="str">
        <f>"12.65"</f>
        <v>12.65</v>
      </c>
      <c r="AR255">
        <v>51</v>
      </c>
      <c r="AS255">
        <v>-4</v>
      </c>
      <c r="AT255">
        <v>47</v>
      </c>
      <c r="AU255">
        <v>645.15</v>
      </c>
      <c r="AV255">
        <v>0</v>
      </c>
      <c r="AW255">
        <v>645.15</v>
      </c>
      <c r="AX255">
        <v>-44.16</v>
      </c>
      <c r="AY255">
        <v>600.99</v>
      </c>
      <c r="AZ255">
        <v>0</v>
      </c>
    </row>
    <row r="256" spans="1:52">
      <c r="A256" t="s">
        <v>65</v>
      </c>
      <c r="B256" t="s">
        <v>66</v>
      </c>
      <c r="C256" t="s">
        <v>67</v>
      </c>
      <c r="D256" t="s">
        <v>68</v>
      </c>
      <c r="E256" t="s">
        <v>69</v>
      </c>
      <c r="F256" t="s">
        <v>70</v>
      </c>
      <c r="G256" t="s">
        <v>71</v>
      </c>
      <c r="H256" t="s">
        <v>70</v>
      </c>
      <c r="I256" t="str">
        <f t="shared" si="49"/>
        <v>1010</v>
      </c>
      <c r="J256" t="str">
        <f t="shared" si="50"/>
        <v>05</v>
      </c>
      <c r="K256" t="s">
        <v>68</v>
      </c>
      <c r="L256" t="s">
        <v>72</v>
      </c>
      <c r="M256" t="s">
        <v>68</v>
      </c>
      <c r="N256" t="s">
        <v>181</v>
      </c>
      <c r="O256" t="s">
        <v>524</v>
      </c>
      <c r="P256" t="str">
        <f>"3020672718"</f>
        <v>3020672718</v>
      </c>
      <c r="R256" t="str">
        <f>"00030206727180"</f>
        <v>00030206727180</v>
      </c>
      <c r="S256" s="1">
        <v>41807</v>
      </c>
      <c r="T256" s="1">
        <v>41751</v>
      </c>
      <c r="U256" t="str">
        <f>"3020672718"</f>
        <v>3020672718</v>
      </c>
      <c r="V256" t="str">
        <f>"1010"</f>
        <v>1010</v>
      </c>
      <c r="W256" t="str">
        <f t="shared" si="51"/>
        <v>11</v>
      </c>
      <c r="X256" t="s">
        <v>75</v>
      </c>
      <c r="Y256" t="s">
        <v>139</v>
      </c>
      <c r="Z256" t="s">
        <v>180</v>
      </c>
      <c r="AA256" t="s">
        <v>181</v>
      </c>
      <c r="AB256" t="s">
        <v>79</v>
      </c>
      <c r="AD256" t="s">
        <v>80</v>
      </c>
      <c r="AE256" t="s">
        <v>81</v>
      </c>
      <c r="AF256" t="s">
        <v>82</v>
      </c>
      <c r="AG256" t="s">
        <v>83</v>
      </c>
      <c r="AH256" t="s">
        <v>84</v>
      </c>
      <c r="AI256" t="str">
        <f>"02"</f>
        <v>02</v>
      </c>
      <c r="AJ256" t="str">
        <f>"2"</f>
        <v>2</v>
      </c>
      <c r="AK256" t="s">
        <v>240</v>
      </c>
      <c r="AL256" t="s">
        <v>143</v>
      </c>
      <c r="AM256" t="s">
        <v>95</v>
      </c>
      <c r="AN256" t="str">
        <f t="shared" si="52"/>
        <v>.9700</v>
      </c>
      <c r="AO256" t="str">
        <f>"12.65"</f>
        <v>12.65</v>
      </c>
      <c r="AP256" t="s">
        <v>241</v>
      </c>
      <c r="AQ256" t="str">
        <f>"12.65"</f>
        <v>12.65</v>
      </c>
      <c r="AR256">
        <v>126</v>
      </c>
      <c r="AS256">
        <v>0</v>
      </c>
      <c r="AT256">
        <v>126</v>
      </c>
      <c r="AU256">
        <v>1581.33</v>
      </c>
      <c r="AV256">
        <v>153.13999999999999</v>
      </c>
      <c r="AW256">
        <v>1428.19</v>
      </c>
      <c r="AX256">
        <v>0</v>
      </c>
      <c r="AY256">
        <v>1428.19</v>
      </c>
      <c r="AZ256">
        <v>0</v>
      </c>
    </row>
    <row r="257" spans="1:52">
      <c r="A257" t="s">
        <v>65</v>
      </c>
      <c r="B257" t="s">
        <v>66</v>
      </c>
      <c r="C257" t="s">
        <v>67</v>
      </c>
      <c r="D257" t="s">
        <v>68</v>
      </c>
      <c r="E257" t="s">
        <v>69</v>
      </c>
      <c r="F257" t="s">
        <v>70</v>
      </c>
      <c r="G257" t="s">
        <v>71</v>
      </c>
      <c r="H257" t="s">
        <v>70</v>
      </c>
      <c r="I257" t="str">
        <f t="shared" si="49"/>
        <v>1010</v>
      </c>
      <c r="J257" t="str">
        <f t="shared" si="50"/>
        <v>05</v>
      </c>
      <c r="K257" t="s">
        <v>68</v>
      </c>
      <c r="L257" t="s">
        <v>72</v>
      </c>
      <c r="M257" t="s">
        <v>68</v>
      </c>
      <c r="N257" t="s">
        <v>181</v>
      </c>
      <c r="O257" t="s">
        <v>524</v>
      </c>
      <c r="P257" t="str">
        <f>"3020672718"</f>
        <v>3020672718</v>
      </c>
      <c r="R257" t="str">
        <f>"00030206727180"</f>
        <v>00030206727180</v>
      </c>
      <c r="S257" s="1">
        <v>41807</v>
      </c>
      <c r="T257" s="1">
        <v>41751</v>
      </c>
      <c r="U257" t="str">
        <f>"3020672718"</f>
        <v>3020672718</v>
      </c>
      <c r="V257" t="str">
        <f>"1010"</f>
        <v>1010</v>
      </c>
      <c r="W257" t="str">
        <f t="shared" si="51"/>
        <v>11</v>
      </c>
      <c r="X257" t="s">
        <v>80</v>
      </c>
      <c r="Y257" t="s">
        <v>139</v>
      </c>
      <c r="Z257" t="s">
        <v>180</v>
      </c>
      <c r="AA257" t="s">
        <v>181</v>
      </c>
      <c r="AB257" t="s">
        <v>79</v>
      </c>
      <c r="AD257" t="s">
        <v>80</v>
      </c>
      <c r="AE257" t="s">
        <v>81</v>
      </c>
      <c r="AF257" t="s">
        <v>82</v>
      </c>
      <c r="AG257" t="s">
        <v>83</v>
      </c>
      <c r="AH257" t="s">
        <v>84</v>
      </c>
      <c r="AI257" t="str">
        <f>"02"</f>
        <v>02</v>
      </c>
      <c r="AJ257" t="str">
        <f>"2"</f>
        <v>2</v>
      </c>
      <c r="AK257" t="s">
        <v>240</v>
      </c>
      <c r="AL257" t="s">
        <v>143</v>
      </c>
      <c r="AM257" t="s">
        <v>95</v>
      </c>
      <c r="AN257" t="str">
        <f t="shared" si="52"/>
        <v>.9700</v>
      </c>
      <c r="AO257" t="str">
        <f>"12.65"</f>
        <v>12.65</v>
      </c>
      <c r="AP257" t="s">
        <v>241</v>
      </c>
      <c r="AQ257" t="str">
        <f>"12.65"</f>
        <v>12.65</v>
      </c>
      <c r="AR257">
        <v>1318</v>
      </c>
      <c r="AS257">
        <v>0</v>
      </c>
      <c r="AT257">
        <v>1318</v>
      </c>
      <c r="AU257">
        <v>16382.84</v>
      </c>
      <c r="AV257">
        <v>1526.5</v>
      </c>
      <c r="AW257">
        <v>14856.34</v>
      </c>
      <c r="AX257">
        <v>0</v>
      </c>
      <c r="AY257">
        <v>14856.34</v>
      </c>
      <c r="AZ257">
        <v>0</v>
      </c>
    </row>
    <row r="258" spans="1:52">
      <c r="A258" t="s">
        <v>65</v>
      </c>
      <c r="B258" t="s">
        <v>66</v>
      </c>
      <c r="C258" t="s">
        <v>67</v>
      </c>
      <c r="D258" t="s">
        <v>68</v>
      </c>
      <c r="E258" t="s">
        <v>69</v>
      </c>
      <c r="F258" t="s">
        <v>70</v>
      </c>
      <c r="G258" t="s">
        <v>71</v>
      </c>
      <c r="H258" t="s">
        <v>70</v>
      </c>
      <c r="I258" t="str">
        <f t="shared" si="49"/>
        <v>1010</v>
      </c>
      <c r="J258" t="str">
        <f t="shared" si="50"/>
        <v>05</v>
      </c>
      <c r="K258" t="s">
        <v>68</v>
      </c>
      <c r="L258" t="s">
        <v>72</v>
      </c>
      <c r="M258" t="s">
        <v>68</v>
      </c>
      <c r="N258" t="s">
        <v>181</v>
      </c>
      <c r="O258" t="s">
        <v>525</v>
      </c>
      <c r="P258" t="str">
        <f>"3020670122"</f>
        <v>3020670122</v>
      </c>
      <c r="R258" t="str">
        <f>"00030206701227"</f>
        <v>00030206701227</v>
      </c>
      <c r="S258" s="1">
        <v>40260</v>
      </c>
      <c r="T258" s="1">
        <v>40260</v>
      </c>
      <c r="U258" t="str">
        <f>"3020670122"</f>
        <v>3020670122</v>
      </c>
      <c r="V258" t="str">
        <f t="shared" ref="V258:V267" si="63">"1510"</f>
        <v>1510</v>
      </c>
      <c r="W258" t="str">
        <f t="shared" si="51"/>
        <v>11</v>
      </c>
      <c r="X258" t="s">
        <v>75</v>
      </c>
      <c r="Y258" t="s">
        <v>76</v>
      </c>
      <c r="Z258" t="s">
        <v>180</v>
      </c>
      <c r="AA258" t="s">
        <v>181</v>
      </c>
      <c r="AB258" t="s">
        <v>79</v>
      </c>
      <c r="AD258" t="s">
        <v>80</v>
      </c>
      <c r="AE258" t="s">
        <v>81</v>
      </c>
      <c r="AF258" t="s">
        <v>82</v>
      </c>
      <c r="AG258" t="s">
        <v>83</v>
      </c>
      <c r="AH258" t="s">
        <v>84</v>
      </c>
      <c r="AI258" t="str">
        <f t="shared" ref="AI258:AI267" si="64">"01"</f>
        <v>01</v>
      </c>
      <c r="AJ258" t="str">
        <f t="shared" ref="AJ258:AJ289" si="65">"1"</f>
        <v>1</v>
      </c>
      <c r="AK258" t="s">
        <v>93</v>
      </c>
      <c r="AL258" t="s">
        <v>94</v>
      </c>
      <c r="AM258" t="s">
        <v>95</v>
      </c>
      <c r="AN258" t="str">
        <f t="shared" si="52"/>
        <v>.9700</v>
      </c>
      <c r="AO258" t="str">
        <f>"11.41"</f>
        <v>11.41</v>
      </c>
      <c r="AP258" t="s">
        <v>96</v>
      </c>
      <c r="AQ258" t="str">
        <f>"11.41"</f>
        <v>11.41</v>
      </c>
      <c r="AR258">
        <v>697</v>
      </c>
      <c r="AS258">
        <v>-6</v>
      </c>
      <c r="AT258">
        <v>691</v>
      </c>
      <c r="AU258">
        <v>7938.83</v>
      </c>
      <c r="AV258">
        <v>453.2</v>
      </c>
      <c r="AW258">
        <v>7485.63</v>
      </c>
      <c r="AX258">
        <v>-60.72</v>
      </c>
      <c r="AY258">
        <v>7424.91</v>
      </c>
      <c r="AZ258">
        <v>0</v>
      </c>
    </row>
    <row r="259" spans="1:52">
      <c r="A259" t="s">
        <v>65</v>
      </c>
      <c r="B259" t="s">
        <v>66</v>
      </c>
      <c r="C259" t="s">
        <v>67</v>
      </c>
      <c r="D259" t="s">
        <v>68</v>
      </c>
      <c r="E259" t="s">
        <v>69</v>
      </c>
      <c r="F259" t="s">
        <v>70</v>
      </c>
      <c r="G259" t="s">
        <v>71</v>
      </c>
      <c r="H259" t="s">
        <v>70</v>
      </c>
      <c r="I259" t="str">
        <f t="shared" si="49"/>
        <v>1010</v>
      </c>
      <c r="J259" t="str">
        <f t="shared" si="50"/>
        <v>05</v>
      </c>
      <c r="K259" t="s">
        <v>68</v>
      </c>
      <c r="L259" t="s">
        <v>72</v>
      </c>
      <c r="M259" t="s">
        <v>68</v>
      </c>
      <c r="N259" t="s">
        <v>181</v>
      </c>
      <c r="O259" t="s">
        <v>526</v>
      </c>
      <c r="P259" t="s">
        <v>527</v>
      </c>
      <c r="R259" t="str">
        <f>"00030206818420"</f>
        <v>00030206818420</v>
      </c>
      <c r="S259" s="1">
        <v>32447</v>
      </c>
      <c r="T259" s="1">
        <v>32447</v>
      </c>
      <c r="U259" t="s">
        <v>527</v>
      </c>
      <c r="V259" t="str">
        <f t="shared" si="63"/>
        <v>1510</v>
      </c>
      <c r="W259" t="str">
        <f t="shared" si="51"/>
        <v>11</v>
      </c>
      <c r="X259" t="s">
        <v>75</v>
      </c>
      <c r="Y259" t="s">
        <v>76</v>
      </c>
      <c r="Z259" t="s">
        <v>180</v>
      </c>
      <c r="AA259" t="s">
        <v>181</v>
      </c>
      <c r="AB259" t="s">
        <v>79</v>
      </c>
      <c r="AD259" t="s">
        <v>80</v>
      </c>
      <c r="AE259" t="s">
        <v>81</v>
      </c>
      <c r="AF259" t="s">
        <v>82</v>
      </c>
      <c r="AG259" t="s">
        <v>83</v>
      </c>
      <c r="AH259" t="s">
        <v>84</v>
      </c>
      <c r="AI259" t="str">
        <f t="shared" si="64"/>
        <v>01</v>
      </c>
      <c r="AJ259" t="str">
        <f t="shared" si="65"/>
        <v>1</v>
      </c>
      <c r="AK259" t="s">
        <v>107</v>
      </c>
      <c r="AL259" t="s">
        <v>94</v>
      </c>
      <c r="AM259" t="s">
        <v>95</v>
      </c>
      <c r="AN259" t="str">
        <f t="shared" si="52"/>
        <v>.9700</v>
      </c>
      <c r="AO259" t="str">
        <f>"10.78"</f>
        <v>10.78</v>
      </c>
      <c r="AP259" t="s">
        <v>108</v>
      </c>
      <c r="AQ259" t="str">
        <f>"10.78"</f>
        <v>10.78</v>
      </c>
      <c r="AR259">
        <v>3</v>
      </c>
      <c r="AS259">
        <v>0</v>
      </c>
      <c r="AT259">
        <v>3</v>
      </c>
      <c r="AU259">
        <v>32.35</v>
      </c>
      <c r="AV259">
        <v>3.88</v>
      </c>
      <c r="AW259">
        <v>28.47</v>
      </c>
      <c r="AX259">
        <v>0</v>
      </c>
      <c r="AY259">
        <v>28.47</v>
      </c>
      <c r="AZ259">
        <v>0</v>
      </c>
    </row>
    <row r="260" spans="1:52">
      <c r="A260" t="s">
        <v>65</v>
      </c>
      <c r="B260" t="s">
        <v>66</v>
      </c>
      <c r="C260" t="s">
        <v>67</v>
      </c>
      <c r="D260" t="s">
        <v>68</v>
      </c>
      <c r="E260" t="s">
        <v>69</v>
      </c>
      <c r="F260" t="s">
        <v>70</v>
      </c>
      <c r="G260" t="s">
        <v>71</v>
      </c>
      <c r="H260" t="s">
        <v>70</v>
      </c>
      <c r="I260" t="str">
        <f t="shared" si="49"/>
        <v>1010</v>
      </c>
      <c r="J260" t="str">
        <f t="shared" si="50"/>
        <v>05</v>
      </c>
      <c r="K260" t="s">
        <v>68</v>
      </c>
      <c r="L260" t="s">
        <v>72</v>
      </c>
      <c r="M260" t="s">
        <v>68</v>
      </c>
      <c r="N260" t="s">
        <v>181</v>
      </c>
      <c r="O260" t="s">
        <v>528</v>
      </c>
      <c r="P260" t="str">
        <f>"3020668782"</f>
        <v>3020668782</v>
      </c>
      <c r="R260" t="str">
        <f>"00030206687828"</f>
        <v>00030206687828</v>
      </c>
      <c r="S260" s="1">
        <v>39462</v>
      </c>
      <c r="T260" s="1">
        <v>39462</v>
      </c>
      <c r="U260" t="str">
        <f>"3020668782"</f>
        <v>3020668782</v>
      </c>
      <c r="V260" t="str">
        <f t="shared" si="63"/>
        <v>1510</v>
      </c>
      <c r="W260" t="str">
        <f t="shared" si="51"/>
        <v>11</v>
      </c>
      <c r="X260" t="s">
        <v>75</v>
      </c>
      <c r="Y260" t="s">
        <v>76</v>
      </c>
      <c r="Z260" t="s">
        <v>180</v>
      </c>
      <c r="AA260" t="s">
        <v>181</v>
      </c>
      <c r="AB260" t="s">
        <v>79</v>
      </c>
      <c r="AD260" t="s">
        <v>80</v>
      </c>
      <c r="AE260" t="s">
        <v>81</v>
      </c>
      <c r="AF260" t="s">
        <v>82</v>
      </c>
      <c r="AG260" t="s">
        <v>83</v>
      </c>
      <c r="AH260" t="s">
        <v>84</v>
      </c>
      <c r="AI260" t="str">
        <f t="shared" si="64"/>
        <v>01</v>
      </c>
      <c r="AJ260" t="str">
        <f t="shared" si="65"/>
        <v>1</v>
      </c>
      <c r="AK260" t="s">
        <v>93</v>
      </c>
      <c r="AL260" t="s">
        <v>94</v>
      </c>
      <c r="AM260" t="s">
        <v>95</v>
      </c>
      <c r="AN260" t="str">
        <f t="shared" si="52"/>
        <v>.9700</v>
      </c>
      <c r="AO260" t="str">
        <f>"11.41"</f>
        <v>11.41</v>
      </c>
      <c r="AP260" t="s">
        <v>96</v>
      </c>
      <c r="AQ260" t="str">
        <f>"11.41"</f>
        <v>11.41</v>
      </c>
      <c r="AR260">
        <v>10</v>
      </c>
      <c r="AS260">
        <v>0</v>
      </c>
      <c r="AT260">
        <v>10</v>
      </c>
      <c r="AU260">
        <v>114.09</v>
      </c>
      <c r="AV260">
        <v>13.69</v>
      </c>
      <c r="AW260">
        <v>100.4</v>
      </c>
      <c r="AX260">
        <v>0</v>
      </c>
      <c r="AY260">
        <v>100.4</v>
      </c>
      <c r="AZ260">
        <v>0</v>
      </c>
    </row>
    <row r="261" spans="1:52">
      <c r="A261" t="s">
        <v>65</v>
      </c>
      <c r="B261" t="s">
        <v>66</v>
      </c>
      <c r="C261" t="s">
        <v>67</v>
      </c>
      <c r="D261" t="s">
        <v>68</v>
      </c>
      <c r="E261" t="s">
        <v>69</v>
      </c>
      <c r="F261" t="s">
        <v>70</v>
      </c>
      <c r="G261" t="s">
        <v>71</v>
      </c>
      <c r="H261" t="s">
        <v>70</v>
      </c>
      <c r="I261" t="str">
        <f t="shared" si="49"/>
        <v>1010</v>
      </c>
      <c r="J261" t="str">
        <f t="shared" si="50"/>
        <v>05</v>
      </c>
      <c r="K261" t="s">
        <v>68</v>
      </c>
      <c r="L261" t="s">
        <v>72</v>
      </c>
      <c r="M261" t="s">
        <v>68</v>
      </c>
      <c r="N261" t="s">
        <v>181</v>
      </c>
      <c r="O261" t="s">
        <v>529</v>
      </c>
      <c r="P261" t="str">
        <f>"3020670902"</f>
        <v>3020670902</v>
      </c>
      <c r="R261" t="str">
        <f>"00030206709025"</f>
        <v>00030206709025</v>
      </c>
      <c r="S261" s="1">
        <v>40687</v>
      </c>
      <c r="T261" s="1">
        <v>40680</v>
      </c>
      <c r="U261" t="str">
        <f>"3020670902"</f>
        <v>3020670902</v>
      </c>
      <c r="V261" t="str">
        <f t="shared" si="63"/>
        <v>1510</v>
      </c>
      <c r="W261" t="str">
        <f t="shared" si="51"/>
        <v>11</v>
      </c>
      <c r="X261" t="s">
        <v>75</v>
      </c>
      <c r="Y261" t="s">
        <v>76</v>
      </c>
      <c r="Z261" t="s">
        <v>180</v>
      </c>
      <c r="AA261" t="s">
        <v>181</v>
      </c>
      <c r="AB261" t="s">
        <v>79</v>
      </c>
      <c r="AD261" t="s">
        <v>80</v>
      </c>
      <c r="AE261" t="s">
        <v>81</v>
      </c>
      <c r="AF261" t="s">
        <v>82</v>
      </c>
      <c r="AG261" t="s">
        <v>83</v>
      </c>
      <c r="AH261" t="s">
        <v>84</v>
      </c>
      <c r="AI261" t="str">
        <f t="shared" si="64"/>
        <v>01</v>
      </c>
      <c r="AJ261" t="str">
        <f t="shared" si="65"/>
        <v>1</v>
      </c>
      <c r="AK261" t="s">
        <v>93</v>
      </c>
      <c r="AL261" t="s">
        <v>94</v>
      </c>
      <c r="AM261" t="s">
        <v>95</v>
      </c>
      <c r="AN261" t="str">
        <f t="shared" si="52"/>
        <v>.9700</v>
      </c>
      <c r="AO261" t="str">
        <f>"11.41"</f>
        <v>11.41</v>
      </c>
      <c r="AP261" t="s">
        <v>96</v>
      </c>
      <c r="AQ261" t="str">
        <f>"11.41"</f>
        <v>11.41</v>
      </c>
      <c r="AR261">
        <v>10</v>
      </c>
      <c r="AS261">
        <v>-2</v>
      </c>
      <c r="AT261">
        <v>8</v>
      </c>
      <c r="AU261">
        <v>114.09</v>
      </c>
      <c r="AV261">
        <v>13.69</v>
      </c>
      <c r="AW261">
        <v>100.4</v>
      </c>
      <c r="AX261">
        <v>-20.82</v>
      </c>
      <c r="AY261">
        <v>79.58</v>
      </c>
      <c r="AZ261">
        <v>0</v>
      </c>
    </row>
    <row r="262" spans="1:52">
      <c r="A262" t="s">
        <v>65</v>
      </c>
      <c r="B262" t="s">
        <v>66</v>
      </c>
      <c r="C262" t="s">
        <v>67</v>
      </c>
      <c r="D262" t="s">
        <v>68</v>
      </c>
      <c r="E262" t="s">
        <v>69</v>
      </c>
      <c r="F262" t="s">
        <v>70</v>
      </c>
      <c r="G262" t="s">
        <v>71</v>
      </c>
      <c r="H262" t="s">
        <v>70</v>
      </c>
      <c r="I262" t="str">
        <f t="shared" si="49"/>
        <v>1010</v>
      </c>
      <c r="J262" t="str">
        <f t="shared" si="50"/>
        <v>05</v>
      </c>
      <c r="K262" t="s">
        <v>68</v>
      </c>
      <c r="L262" t="s">
        <v>72</v>
      </c>
      <c r="M262" t="s">
        <v>68</v>
      </c>
      <c r="N262" t="s">
        <v>181</v>
      </c>
      <c r="O262" t="s">
        <v>530</v>
      </c>
      <c r="P262" t="s">
        <v>531</v>
      </c>
      <c r="R262" t="str">
        <f>"00030206577129"</f>
        <v>00030206577129</v>
      </c>
      <c r="S262" s="1">
        <v>35395</v>
      </c>
      <c r="T262" s="1">
        <v>35395</v>
      </c>
      <c r="U262" t="s">
        <v>531</v>
      </c>
      <c r="V262" t="str">
        <f t="shared" si="63"/>
        <v>1510</v>
      </c>
      <c r="W262" t="str">
        <f t="shared" si="51"/>
        <v>11</v>
      </c>
      <c r="X262" t="s">
        <v>75</v>
      </c>
      <c r="Y262" t="s">
        <v>76</v>
      </c>
      <c r="Z262" t="s">
        <v>180</v>
      </c>
      <c r="AA262" t="s">
        <v>181</v>
      </c>
      <c r="AB262" t="s">
        <v>79</v>
      </c>
      <c r="AD262" t="s">
        <v>80</v>
      </c>
      <c r="AE262" t="s">
        <v>81</v>
      </c>
      <c r="AF262" t="s">
        <v>82</v>
      </c>
      <c r="AG262" t="s">
        <v>83</v>
      </c>
      <c r="AH262" t="s">
        <v>84</v>
      </c>
      <c r="AI262" t="str">
        <f t="shared" si="64"/>
        <v>01</v>
      </c>
      <c r="AJ262" t="str">
        <f t="shared" si="65"/>
        <v>1</v>
      </c>
      <c r="AK262" t="s">
        <v>107</v>
      </c>
      <c r="AL262" t="s">
        <v>94</v>
      </c>
      <c r="AM262" t="s">
        <v>95</v>
      </c>
      <c r="AN262" t="str">
        <f t="shared" si="52"/>
        <v>.9700</v>
      </c>
      <c r="AO262" t="str">
        <f>"10.78"</f>
        <v>10.78</v>
      </c>
      <c r="AP262" t="s">
        <v>108</v>
      </c>
      <c r="AQ262" t="str">
        <f>"10.78"</f>
        <v>10.78</v>
      </c>
      <c r="AR262">
        <v>0</v>
      </c>
      <c r="AS262">
        <v>-1</v>
      </c>
      <c r="AT262">
        <v>-1</v>
      </c>
      <c r="AU262">
        <v>0</v>
      </c>
      <c r="AV262">
        <v>0</v>
      </c>
      <c r="AW262">
        <v>0</v>
      </c>
      <c r="AX262">
        <v>-9.86</v>
      </c>
      <c r="AY262">
        <v>-9.86</v>
      </c>
      <c r="AZ262">
        <v>0</v>
      </c>
    </row>
    <row r="263" spans="1:52">
      <c r="A263" t="s">
        <v>65</v>
      </c>
      <c r="B263" t="s">
        <v>66</v>
      </c>
      <c r="C263" t="s">
        <v>67</v>
      </c>
      <c r="D263" t="s">
        <v>68</v>
      </c>
      <c r="E263" t="s">
        <v>69</v>
      </c>
      <c r="F263" t="s">
        <v>70</v>
      </c>
      <c r="G263" t="s">
        <v>71</v>
      </c>
      <c r="H263" t="s">
        <v>70</v>
      </c>
      <c r="I263" t="str">
        <f t="shared" si="49"/>
        <v>1010</v>
      </c>
      <c r="J263" t="str">
        <f t="shared" si="50"/>
        <v>05</v>
      </c>
      <c r="K263" t="s">
        <v>68</v>
      </c>
      <c r="L263" t="s">
        <v>72</v>
      </c>
      <c r="M263" t="s">
        <v>68</v>
      </c>
      <c r="N263" t="s">
        <v>181</v>
      </c>
      <c r="O263" t="s">
        <v>532</v>
      </c>
      <c r="P263" t="str">
        <f>"3020671522"</f>
        <v>3020671522</v>
      </c>
      <c r="R263" t="str">
        <f>"00030206715224"</f>
        <v>00030206715224</v>
      </c>
      <c r="S263" s="1">
        <v>41100</v>
      </c>
      <c r="T263" s="1">
        <v>41100</v>
      </c>
      <c r="U263" t="str">
        <f>"3020671522"</f>
        <v>3020671522</v>
      </c>
      <c r="V263" t="str">
        <f t="shared" si="63"/>
        <v>1510</v>
      </c>
      <c r="W263" t="str">
        <f t="shared" si="51"/>
        <v>11</v>
      </c>
      <c r="X263" t="s">
        <v>75</v>
      </c>
      <c r="Y263" t="s">
        <v>76</v>
      </c>
      <c r="Z263" t="s">
        <v>180</v>
      </c>
      <c r="AA263" t="s">
        <v>181</v>
      </c>
      <c r="AB263" t="s">
        <v>79</v>
      </c>
      <c r="AD263" t="s">
        <v>80</v>
      </c>
      <c r="AE263" t="s">
        <v>81</v>
      </c>
      <c r="AF263" t="s">
        <v>82</v>
      </c>
      <c r="AG263" t="s">
        <v>83</v>
      </c>
      <c r="AH263" t="s">
        <v>84</v>
      </c>
      <c r="AI263" t="str">
        <f t="shared" si="64"/>
        <v>01</v>
      </c>
      <c r="AJ263" t="str">
        <f t="shared" si="65"/>
        <v>1</v>
      </c>
      <c r="AK263" t="s">
        <v>93</v>
      </c>
      <c r="AL263" t="s">
        <v>94</v>
      </c>
      <c r="AM263" t="s">
        <v>95</v>
      </c>
      <c r="AN263" t="str">
        <f t="shared" si="52"/>
        <v>.9700</v>
      </c>
      <c r="AO263" t="str">
        <f>"11.41"</f>
        <v>11.41</v>
      </c>
      <c r="AP263" t="s">
        <v>96</v>
      </c>
      <c r="AQ263" t="str">
        <f>"11.41"</f>
        <v>11.41</v>
      </c>
      <c r="AR263">
        <v>5</v>
      </c>
      <c r="AS263">
        <v>-7</v>
      </c>
      <c r="AT263">
        <v>-2</v>
      </c>
      <c r="AU263">
        <v>57.05</v>
      </c>
      <c r="AV263">
        <v>0</v>
      </c>
      <c r="AW263">
        <v>57.05</v>
      </c>
      <c r="AX263">
        <v>-72.41</v>
      </c>
      <c r="AY263">
        <v>-15.36</v>
      </c>
      <c r="AZ263">
        <v>0</v>
      </c>
    </row>
    <row r="264" spans="1:52">
      <c r="A264" t="s">
        <v>65</v>
      </c>
      <c r="B264" t="s">
        <v>66</v>
      </c>
      <c r="C264" t="s">
        <v>67</v>
      </c>
      <c r="D264" t="s">
        <v>68</v>
      </c>
      <c r="E264" t="s">
        <v>69</v>
      </c>
      <c r="F264" t="s">
        <v>70</v>
      </c>
      <c r="G264" t="s">
        <v>71</v>
      </c>
      <c r="H264" t="s">
        <v>70</v>
      </c>
      <c r="I264" t="str">
        <f t="shared" si="49"/>
        <v>1010</v>
      </c>
      <c r="J264" t="str">
        <f t="shared" si="50"/>
        <v>05</v>
      </c>
      <c r="K264" t="s">
        <v>68</v>
      </c>
      <c r="L264" t="s">
        <v>72</v>
      </c>
      <c r="M264" t="s">
        <v>68</v>
      </c>
      <c r="N264" t="s">
        <v>181</v>
      </c>
      <c r="O264" t="s">
        <v>533</v>
      </c>
      <c r="P264" t="str">
        <f>"3020671232"</f>
        <v>3020671232</v>
      </c>
      <c r="R264" t="str">
        <f>"00030206712322"</f>
        <v>00030206712322</v>
      </c>
      <c r="S264" s="1">
        <v>40883</v>
      </c>
      <c r="T264" s="1">
        <v>40848</v>
      </c>
      <c r="U264" t="str">
        <f>"3020671232"</f>
        <v>3020671232</v>
      </c>
      <c r="V264" t="str">
        <f t="shared" si="63"/>
        <v>1510</v>
      </c>
      <c r="W264" t="str">
        <f t="shared" si="51"/>
        <v>11</v>
      </c>
      <c r="X264" t="s">
        <v>75</v>
      </c>
      <c r="Y264" t="s">
        <v>76</v>
      </c>
      <c r="Z264" t="s">
        <v>180</v>
      </c>
      <c r="AA264" t="s">
        <v>181</v>
      </c>
      <c r="AB264" t="s">
        <v>79</v>
      </c>
      <c r="AD264" t="s">
        <v>80</v>
      </c>
      <c r="AE264" t="s">
        <v>81</v>
      </c>
      <c r="AF264" t="s">
        <v>82</v>
      </c>
      <c r="AG264" t="s">
        <v>83</v>
      </c>
      <c r="AH264" t="s">
        <v>84</v>
      </c>
      <c r="AI264" t="str">
        <f t="shared" si="64"/>
        <v>01</v>
      </c>
      <c r="AJ264" t="str">
        <f t="shared" si="65"/>
        <v>1</v>
      </c>
      <c r="AK264" t="s">
        <v>93</v>
      </c>
      <c r="AL264" t="s">
        <v>94</v>
      </c>
      <c r="AM264" t="s">
        <v>95</v>
      </c>
      <c r="AN264" t="str">
        <f t="shared" si="52"/>
        <v>.9700</v>
      </c>
      <c r="AO264" t="str">
        <f>"11.41"</f>
        <v>11.41</v>
      </c>
      <c r="AP264" t="s">
        <v>96</v>
      </c>
      <c r="AQ264" t="str">
        <f>"11.41"</f>
        <v>11.41</v>
      </c>
      <c r="AR264">
        <v>3</v>
      </c>
      <c r="AS264">
        <v>-5</v>
      </c>
      <c r="AT264">
        <v>-2</v>
      </c>
      <c r="AU264">
        <v>34.229999999999997</v>
      </c>
      <c r="AV264">
        <v>4.1100000000000003</v>
      </c>
      <c r="AW264">
        <v>30.12</v>
      </c>
      <c r="AX264">
        <v>-49.77</v>
      </c>
      <c r="AY264">
        <v>-19.649999999999999</v>
      </c>
      <c r="AZ264">
        <v>0</v>
      </c>
    </row>
    <row r="265" spans="1:52">
      <c r="A265" t="s">
        <v>65</v>
      </c>
      <c r="B265" t="s">
        <v>66</v>
      </c>
      <c r="C265" t="s">
        <v>67</v>
      </c>
      <c r="D265" t="s">
        <v>68</v>
      </c>
      <c r="E265" t="s">
        <v>69</v>
      </c>
      <c r="F265" t="s">
        <v>70</v>
      </c>
      <c r="G265" t="s">
        <v>71</v>
      </c>
      <c r="H265" t="s">
        <v>70</v>
      </c>
      <c r="I265" t="str">
        <f t="shared" si="49"/>
        <v>1010</v>
      </c>
      <c r="J265" t="str">
        <f t="shared" si="50"/>
        <v>05</v>
      </c>
      <c r="K265" t="s">
        <v>68</v>
      </c>
      <c r="L265" t="s">
        <v>72</v>
      </c>
      <c r="M265" t="s">
        <v>68</v>
      </c>
      <c r="N265" t="s">
        <v>181</v>
      </c>
      <c r="O265" t="s">
        <v>534</v>
      </c>
      <c r="P265" t="s">
        <v>535</v>
      </c>
      <c r="R265" t="str">
        <f>"00030206593525"</f>
        <v>00030206593525</v>
      </c>
      <c r="S265" s="1">
        <v>35962</v>
      </c>
      <c r="T265" s="1">
        <v>35962</v>
      </c>
      <c r="U265" t="s">
        <v>535</v>
      </c>
      <c r="V265" t="str">
        <f t="shared" si="63"/>
        <v>1510</v>
      </c>
      <c r="W265" t="str">
        <f t="shared" si="51"/>
        <v>11</v>
      </c>
      <c r="X265" t="s">
        <v>75</v>
      </c>
      <c r="Y265" t="s">
        <v>76</v>
      </c>
      <c r="Z265" t="s">
        <v>180</v>
      </c>
      <c r="AA265" t="s">
        <v>181</v>
      </c>
      <c r="AB265" t="s">
        <v>79</v>
      </c>
      <c r="AD265" t="s">
        <v>80</v>
      </c>
      <c r="AE265" t="s">
        <v>81</v>
      </c>
      <c r="AF265" t="s">
        <v>82</v>
      </c>
      <c r="AG265" t="s">
        <v>83</v>
      </c>
      <c r="AH265" t="s">
        <v>84</v>
      </c>
      <c r="AI265" t="str">
        <f t="shared" si="64"/>
        <v>01</v>
      </c>
      <c r="AJ265" t="str">
        <f t="shared" si="65"/>
        <v>1</v>
      </c>
      <c r="AK265" t="s">
        <v>107</v>
      </c>
      <c r="AL265" t="s">
        <v>94</v>
      </c>
      <c r="AM265" t="s">
        <v>95</v>
      </c>
      <c r="AN265" t="str">
        <f t="shared" si="52"/>
        <v>.9700</v>
      </c>
      <c r="AO265" t="str">
        <f>"10.78"</f>
        <v>10.78</v>
      </c>
      <c r="AP265" t="s">
        <v>108</v>
      </c>
      <c r="AQ265" t="str">
        <f>"10.78"</f>
        <v>10.78</v>
      </c>
      <c r="AR265">
        <v>21</v>
      </c>
      <c r="AS265">
        <v>0</v>
      </c>
      <c r="AT265">
        <v>21</v>
      </c>
      <c r="AU265">
        <v>226.44</v>
      </c>
      <c r="AV265">
        <v>20.7</v>
      </c>
      <c r="AW265">
        <v>205.74</v>
      </c>
      <c r="AX265">
        <v>0</v>
      </c>
      <c r="AY265">
        <v>205.74</v>
      </c>
      <c r="AZ265">
        <v>0</v>
      </c>
    </row>
    <row r="266" spans="1:52">
      <c r="A266" t="s">
        <v>65</v>
      </c>
      <c r="B266" t="s">
        <v>66</v>
      </c>
      <c r="C266" t="s">
        <v>67</v>
      </c>
      <c r="D266" t="s">
        <v>68</v>
      </c>
      <c r="E266" t="s">
        <v>69</v>
      </c>
      <c r="F266" t="s">
        <v>70</v>
      </c>
      <c r="G266" t="s">
        <v>71</v>
      </c>
      <c r="H266" t="s">
        <v>70</v>
      </c>
      <c r="I266" t="str">
        <f t="shared" ref="I266:I329" si="66">"1010"</f>
        <v>1010</v>
      </c>
      <c r="J266" t="str">
        <f t="shared" ref="J266:J329" si="67">"05"</f>
        <v>05</v>
      </c>
      <c r="K266" t="s">
        <v>68</v>
      </c>
      <c r="L266" t="s">
        <v>72</v>
      </c>
      <c r="M266" t="s">
        <v>68</v>
      </c>
      <c r="N266" t="s">
        <v>181</v>
      </c>
      <c r="O266" t="s">
        <v>536</v>
      </c>
      <c r="P266" t="str">
        <f>"3020671332"</f>
        <v>3020671332</v>
      </c>
      <c r="R266" t="str">
        <f>"00030206713329"</f>
        <v>00030206713329</v>
      </c>
      <c r="S266" s="1">
        <v>40918</v>
      </c>
      <c r="T266" s="1">
        <v>40918</v>
      </c>
      <c r="U266" t="str">
        <f>"3020671332"</f>
        <v>3020671332</v>
      </c>
      <c r="V266" t="str">
        <f t="shared" si="63"/>
        <v>1510</v>
      </c>
      <c r="W266" t="str">
        <f t="shared" ref="W266:W329" si="68">"11"</f>
        <v>11</v>
      </c>
      <c r="X266" t="s">
        <v>376</v>
      </c>
      <c r="Y266" t="s">
        <v>76</v>
      </c>
      <c r="Z266" t="s">
        <v>180</v>
      </c>
      <c r="AA266" t="s">
        <v>181</v>
      </c>
      <c r="AB266" t="s">
        <v>79</v>
      </c>
      <c r="AD266" t="s">
        <v>80</v>
      </c>
      <c r="AE266" t="s">
        <v>81</v>
      </c>
      <c r="AF266" t="s">
        <v>82</v>
      </c>
      <c r="AG266" t="s">
        <v>83</v>
      </c>
      <c r="AH266" t="s">
        <v>84</v>
      </c>
      <c r="AI266" t="str">
        <f t="shared" si="64"/>
        <v>01</v>
      </c>
      <c r="AJ266" t="str">
        <f t="shared" si="65"/>
        <v>1</v>
      </c>
      <c r="AK266" t="s">
        <v>93</v>
      </c>
      <c r="AL266" t="s">
        <v>94</v>
      </c>
      <c r="AM266" t="s">
        <v>95</v>
      </c>
      <c r="AN266" t="str">
        <f t="shared" si="52"/>
        <v>.9700</v>
      </c>
      <c r="AO266" t="str">
        <f t="shared" ref="AO266:AO272" si="69">"11.41"</f>
        <v>11.41</v>
      </c>
      <c r="AP266" t="s">
        <v>96</v>
      </c>
      <c r="AQ266" t="str">
        <f t="shared" ref="AQ266:AQ272" si="70">"11.41"</f>
        <v>11.41</v>
      </c>
      <c r="AR266">
        <v>0</v>
      </c>
      <c r="AS266">
        <v>-5</v>
      </c>
      <c r="AT266">
        <v>-5</v>
      </c>
      <c r="AU266">
        <v>0</v>
      </c>
      <c r="AV266">
        <v>0</v>
      </c>
      <c r="AW266">
        <v>0</v>
      </c>
      <c r="AX266">
        <v>-49.55</v>
      </c>
      <c r="AY266">
        <v>-49.55</v>
      </c>
      <c r="AZ266">
        <v>0</v>
      </c>
    </row>
    <row r="267" spans="1:52">
      <c r="A267" t="s">
        <v>65</v>
      </c>
      <c r="B267" t="s">
        <v>66</v>
      </c>
      <c r="C267" t="s">
        <v>67</v>
      </c>
      <c r="D267" t="s">
        <v>68</v>
      </c>
      <c r="E267" t="s">
        <v>69</v>
      </c>
      <c r="F267" t="s">
        <v>70</v>
      </c>
      <c r="G267" t="s">
        <v>71</v>
      </c>
      <c r="H267" t="s">
        <v>70</v>
      </c>
      <c r="I267" t="str">
        <f t="shared" si="66"/>
        <v>1010</v>
      </c>
      <c r="J267" t="str">
        <f t="shared" si="67"/>
        <v>05</v>
      </c>
      <c r="K267" t="s">
        <v>68</v>
      </c>
      <c r="L267" t="s">
        <v>72</v>
      </c>
      <c r="M267" t="s">
        <v>68</v>
      </c>
      <c r="N267" t="s">
        <v>181</v>
      </c>
      <c r="O267" t="s">
        <v>537</v>
      </c>
      <c r="P267" t="str">
        <f>"3020664822"</f>
        <v>3020664822</v>
      </c>
      <c r="R267" t="str">
        <f>"00030206648225"</f>
        <v>00030206648225</v>
      </c>
      <c r="S267" s="1">
        <v>37796</v>
      </c>
      <c r="T267" s="1">
        <v>37796</v>
      </c>
      <c r="U267" t="str">
        <f>"3020664822"</f>
        <v>3020664822</v>
      </c>
      <c r="V267" t="str">
        <f t="shared" si="63"/>
        <v>1510</v>
      </c>
      <c r="W267" t="str">
        <f t="shared" si="68"/>
        <v>11</v>
      </c>
      <c r="X267" t="s">
        <v>75</v>
      </c>
      <c r="Y267" t="s">
        <v>76</v>
      </c>
      <c r="Z267" t="s">
        <v>180</v>
      </c>
      <c r="AA267" t="s">
        <v>181</v>
      </c>
      <c r="AB267" t="s">
        <v>79</v>
      </c>
      <c r="AD267" t="s">
        <v>80</v>
      </c>
      <c r="AE267" t="s">
        <v>81</v>
      </c>
      <c r="AF267" t="s">
        <v>82</v>
      </c>
      <c r="AG267" t="s">
        <v>83</v>
      </c>
      <c r="AH267" t="s">
        <v>84</v>
      </c>
      <c r="AI267" t="str">
        <f t="shared" si="64"/>
        <v>01</v>
      </c>
      <c r="AJ267" t="str">
        <f t="shared" si="65"/>
        <v>1</v>
      </c>
      <c r="AK267" t="s">
        <v>93</v>
      </c>
      <c r="AL267" t="s">
        <v>94</v>
      </c>
      <c r="AM267" t="s">
        <v>95</v>
      </c>
      <c r="AN267" t="str">
        <f t="shared" ref="AN267:AN330" si="71">".9700"</f>
        <v>.9700</v>
      </c>
      <c r="AO267" t="str">
        <f t="shared" si="69"/>
        <v>11.41</v>
      </c>
      <c r="AP267" t="s">
        <v>96</v>
      </c>
      <c r="AQ267" t="str">
        <f t="shared" si="70"/>
        <v>11.41</v>
      </c>
      <c r="AR267">
        <v>11</v>
      </c>
      <c r="AS267">
        <v>0</v>
      </c>
      <c r="AT267">
        <v>11</v>
      </c>
      <c r="AU267">
        <v>125.5</v>
      </c>
      <c r="AV267">
        <v>13.69</v>
      </c>
      <c r="AW267">
        <v>111.81</v>
      </c>
      <c r="AX267">
        <v>0</v>
      </c>
      <c r="AY267">
        <v>111.81</v>
      </c>
      <c r="AZ267">
        <v>0</v>
      </c>
    </row>
    <row r="268" spans="1:52">
      <c r="A268" t="s">
        <v>65</v>
      </c>
      <c r="B268" t="s">
        <v>66</v>
      </c>
      <c r="C268" t="s">
        <v>67</v>
      </c>
      <c r="D268" t="s">
        <v>68</v>
      </c>
      <c r="E268" t="s">
        <v>69</v>
      </c>
      <c r="F268" t="s">
        <v>70</v>
      </c>
      <c r="G268" t="s">
        <v>71</v>
      </c>
      <c r="H268" t="s">
        <v>70</v>
      </c>
      <c r="I268" t="str">
        <f t="shared" si="66"/>
        <v>1010</v>
      </c>
      <c r="J268" t="str">
        <f t="shared" si="67"/>
        <v>05</v>
      </c>
      <c r="K268" t="s">
        <v>68</v>
      </c>
      <c r="L268" t="s">
        <v>72</v>
      </c>
      <c r="M268" t="s">
        <v>68</v>
      </c>
      <c r="N268" t="s">
        <v>181</v>
      </c>
      <c r="O268" t="s">
        <v>538</v>
      </c>
      <c r="P268" t="str">
        <f>"3020672428"</f>
        <v>3020672428</v>
      </c>
      <c r="R268" t="str">
        <f>"00030206724288"</f>
        <v>00030206724288</v>
      </c>
      <c r="S268" s="1">
        <v>41674</v>
      </c>
      <c r="T268" s="1">
        <v>41653</v>
      </c>
      <c r="U268" t="str">
        <f>"3020672428"</f>
        <v>3020672428</v>
      </c>
      <c r="V268" t="str">
        <f>"1010"</f>
        <v>1010</v>
      </c>
      <c r="W268" t="str">
        <f t="shared" si="68"/>
        <v>11</v>
      </c>
      <c r="X268" t="s">
        <v>75</v>
      </c>
      <c r="Y268" t="s">
        <v>139</v>
      </c>
      <c r="Z268" t="s">
        <v>180</v>
      </c>
      <c r="AA268" t="s">
        <v>181</v>
      </c>
      <c r="AB268" t="s">
        <v>79</v>
      </c>
      <c r="AD268" t="s">
        <v>80</v>
      </c>
      <c r="AE268" t="s">
        <v>81</v>
      </c>
      <c r="AF268" t="s">
        <v>82</v>
      </c>
      <c r="AG268" t="s">
        <v>83</v>
      </c>
      <c r="AH268" t="s">
        <v>84</v>
      </c>
      <c r="AJ268" t="str">
        <f t="shared" si="65"/>
        <v>1</v>
      </c>
      <c r="AK268" t="s">
        <v>93</v>
      </c>
      <c r="AL268" t="s">
        <v>143</v>
      </c>
      <c r="AM268" t="s">
        <v>95</v>
      </c>
      <c r="AN268" t="str">
        <f t="shared" si="71"/>
        <v>.9700</v>
      </c>
      <c r="AO268" t="str">
        <f t="shared" si="69"/>
        <v>11.41</v>
      </c>
      <c r="AP268" t="s">
        <v>96</v>
      </c>
      <c r="AQ268" t="str">
        <f t="shared" si="70"/>
        <v>11.41</v>
      </c>
      <c r="AR268">
        <v>10</v>
      </c>
      <c r="AS268">
        <v>-32</v>
      </c>
      <c r="AT268">
        <v>-22</v>
      </c>
      <c r="AU268">
        <v>114.1</v>
      </c>
      <c r="AV268">
        <v>0</v>
      </c>
      <c r="AW268">
        <v>114.1</v>
      </c>
      <c r="AX268">
        <v>-320.06</v>
      </c>
      <c r="AY268">
        <v>-205.96</v>
      </c>
      <c r="AZ268">
        <v>0</v>
      </c>
    </row>
    <row r="269" spans="1:52">
      <c r="A269" t="s">
        <v>65</v>
      </c>
      <c r="B269" t="s">
        <v>66</v>
      </c>
      <c r="C269" t="s">
        <v>67</v>
      </c>
      <c r="D269" t="s">
        <v>68</v>
      </c>
      <c r="E269" t="s">
        <v>69</v>
      </c>
      <c r="F269" t="s">
        <v>70</v>
      </c>
      <c r="G269" t="s">
        <v>71</v>
      </c>
      <c r="H269" t="s">
        <v>70</v>
      </c>
      <c r="I269" t="str">
        <f t="shared" si="66"/>
        <v>1010</v>
      </c>
      <c r="J269" t="str">
        <f t="shared" si="67"/>
        <v>05</v>
      </c>
      <c r="K269" t="s">
        <v>68</v>
      </c>
      <c r="L269" t="s">
        <v>72</v>
      </c>
      <c r="M269" t="s">
        <v>68</v>
      </c>
      <c r="N269" t="s">
        <v>181</v>
      </c>
      <c r="O269" t="s">
        <v>539</v>
      </c>
      <c r="P269" t="str">
        <f>"3020671172"</f>
        <v>3020671172</v>
      </c>
      <c r="R269" t="str">
        <f>"00030206711721"</f>
        <v>00030206711721</v>
      </c>
      <c r="S269" s="1">
        <v>40848</v>
      </c>
      <c r="T269" s="1">
        <v>40841</v>
      </c>
      <c r="U269" t="str">
        <f>"3020671172"</f>
        <v>3020671172</v>
      </c>
      <c r="V269" t="str">
        <f t="shared" ref="V269:V274" si="72">"1510"</f>
        <v>1510</v>
      </c>
      <c r="W269" t="str">
        <f t="shared" si="68"/>
        <v>11</v>
      </c>
      <c r="X269" t="s">
        <v>376</v>
      </c>
      <c r="Y269" t="s">
        <v>76</v>
      </c>
      <c r="Z269" t="s">
        <v>180</v>
      </c>
      <c r="AA269" t="s">
        <v>181</v>
      </c>
      <c r="AB269" t="s">
        <v>79</v>
      </c>
      <c r="AD269" t="s">
        <v>80</v>
      </c>
      <c r="AE269" t="s">
        <v>81</v>
      </c>
      <c r="AF269" t="s">
        <v>82</v>
      </c>
      <c r="AG269" t="s">
        <v>83</v>
      </c>
      <c r="AH269" t="s">
        <v>84</v>
      </c>
      <c r="AI269" t="str">
        <f t="shared" ref="AI269:AI274" si="73">"01"</f>
        <v>01</v>
      </c>
      <c r="AJ269" t="str">
        <f t="shared" si="65"/>
        <v>1</v>
      </c>
      <c r="AK269" t="s">
        <v>93</v>
      </c>
      <c r="AL269" t="s">
        <v>94</v>
      </c>
      <c r="AM269" t="s">
        <v>95</v>
      </c>
      <c r="AN269" t="str">
        <f t="shared" si="71"/>
        <v>.9700</v>
      </c>
      <c r="AO269" t="str">
        <f t="shared" si="69"/>
        <v>11.41</v>
      </c>
      <c r="AP269" t="s">
        <v>96</v>
      </c>
      <c r="AQ269" t="str">
        <f t="shared" si="70"/>
        <v>11.41</v>
      </c>
      <c r="AR269">
        <v>0</v>
      </c>
      <c r="AS269">
        <v>-28</v>
      </c>
      <c r="AT269">
        <v>-28</v>
      </c>
      <c r="AU269">
        <v>0</v>
      </c>
      <c r="AV269">
        <v>0</v>
      </c>
      <c r="AW269">
        <v>0</v>
      </c>
      <c r="AX269">
        <v>-288.74</v>
      </c>
      <c r="AY269">
        <v>-288.74</v>
      </c>
      <c r="AZ269">
        <v>0</v>
      </c>
    </row>
    <row r="270" spans="1:52">
      <c r="A270" t="s">
        <v>65</v>
      </c>
      <c r="B270" t="s">
        <v>66</v>
      </c>
      <c r="C270" t="s">
        <v>67</v>
      </c>
      <c r="D270" t="s">
        <v>68</v>
      </c>
      <c r="E270" t="s">
        <v>69</v>
      </c>
      <c r="F270" t="s">
        <v>70</v>
      </c>
      <c r="G270" t="s">
        <v>71</v>
      </c>
      <c r="H270" t="s">
        <v>70</v>
      </c>
      <c r="I270" t="str">
        <f t="shared" si="66"/>
        <v>1010</v>
      </c>
      <c r="J270" t="str">
        <f t="shared" si="67"/>
        <v>05</v>
      </c>
      <c r="K270" t="s">
        <v>68</v>
      </c>
      <c r="L270" t="s">
        <v>72</v>
      </c>
      <c r="M270" t="s">
        <v>68</v>
      </c>
      <c r="N270" t="s">
        <v>181</v>
      </c>
      <c r="O270" t="s">
        <v>540</v>
      </c>
      <c r="P270" t="str">
        <f>"3020670342"</f>
        <v>3020670342</v>
      </c>
      <c r="R270" t="str">
        <f>"00030206703429"</f>
        <v>00030206703429</v>
      </c>
      <c r="S270" s="1">
        <v>40372</v>
      </c>
      <c r="T270" s="1">
        <v>40365</v>
      </c>
      <c r="U270" t="str">
        <f>"3020670342"</f>
        <v>3020670342</v>
      </c>
      <c r="V270" t="str">
        <f t="shared" si="72"/>
        <v>1510</v>
      </c>
      <c r="W270" t="str">
        <f t="shared" si="68"/>
        <v>11</v>
      </c>
      <c r="X270" t="s">
        <v>75</v>
      </c>
      <c r="Y270" t="s">
        <v>76</v>
      </c>
      <c r="Z270" t="s">
        <v>180</v>
      </c>
      <c r="AA270" t="s">
        <v>181</v>
      </c>
      <c r="AB270" t="s">
        <v>79</v>
      </c>
      <c r="AD270" t="s">
        <v>80</v>
      </c>
      <c r="AE270" t="s">
        <v>81</v>
      </c>
      <c r="AF270" t="s">
        <v>82</v>
      </c>
      <c r="AG270" t="s">
        <v>83</v>
      </c>
      <c r="AH270" t="s">
        <v>84</v>
      </c>
      <c r="AI270" t="str">
        <f t="shared" si="73"/>
        <v>01</v>
      </c>
      <c r="AJ270" t="str">
        <f t="shared" si="65"/>
        <v>1</v>
      </c>
      <c r="AK270" t="s">
        <v>93</v>
      </c>
      <c r="AL270" t="s">
        <v>94</v>
      </c>
      <c r="AM270" t="s">
        <v>95</v>
      </c>
      <c r="AN270" t="str">
        <f t="shared" si="71"/>
        <v>.9700</v>
      </c>
      <c r="AO270" t="str">
        <f t="shared" si="69"/>
        <v>11.41</v>
      </c>
      <c r="AP270" t="s">
        <v>96</v>
      </c>
      <c r="AQ270" t="str">
        <f t="shared" si="70"/>
        <v>11.41</v>
      </c>
      <c r="AR270">
        <v>29</v>
      </c>
      <c r="AS270">
        <v>-1</v>
      </c>
      <c r="AT270">
        <v>28</v>
      </c>
      <c r="AU270">
        <v>330.88</v>
      </c>
      <c r="AV270">
        <v>26.02</v>
      </c>
      <c r="AW270">
        <v>304.86</v>
      </c>
      <c r="AX270">
        <v>-9.91</v>
      </c>
      <c r="AY270">
        <v>294.95</v>
      </c>
      <c r="AZ270">
        <v>0</v>
      </c>
    </row>
    <row r="271" spans="1:52">
      <c r="A271" t="s">
        <v>65</v>
      </c>
      <c r="B271" t="s">
        <v>66</v>
      </c>
      <c r="C271" t="s">
        <v>67</v>
      </c>
      <c r="D271" t="s">
        <v>68</v>
      </c>
      <c r="E271" t="s">
        <v>69</v>
      </c>
      <c r="F271" t="s">
        <v>70</v>
      </c>
      <c r="G271" t="s">
        <v>71</v>
      </c>
      <c r="H271" t="s">
        <v>70</v>
      </c>
      <c r="I271" t="str">
        <f t="shared" si="66"/>
        <v>1010</v>
      </c>
      <c r="J271" t="str">
        <f t="shared" si="67"/>
        <v>05</v>
      </c>
      <c r="K271" t="s">
        <v>68</v>
      </c>
      <c r="L271" t="s">
        <v>72</v>
      </c>
      <c r="M271" t="s">
        <v>68</v>
      </c>
      <c r="N271" t="s">
        <v>181</v>
      </c>
      <c r="O271" t="s">
        <v>541</v>
      </c>
      <c r="P271" t="str">
        <f>"3020670922"</f>
        <v>3020670922</v>
      </c>
      <c r="R271" t="str">
        <f>"00030206709223"</f>
        <v>00030206709223</v>
      </c>
      <c r="S271" s="1">
        <v>40687</v>
      </c>
      <c r="T271" s="1">
        <v>40687</v>
      </c>
      <c r="U271" t="str">
        <f>"3020670922"</f>
        <v>3020670922</v>
      </c>
      <c r="V271" t="str">
        <f t="shared" si="72"/>
        <v>1510</v>
      </c>
      <c r="W271" t="str">
        <f t="shared" si="68"/>
        <v>11</v>
      </c>
      <c r="X271" t="s">
        <v>75</v>
      </c>
      <c r="Y271" t="s">
        <v>76</v>
      </c>
      <c r="Z271" t="s">
        <v>180</v>
      </c>
      <c r="AA271" t="s">
        <v>181</v>
      </c>
      <c r="AB271" t="s">
        <v>79</v>
      </c>
      <c r="AD271" t="s">
        <v>80</v>
      </c>
      <c r="AE271" t="s">
        <v>81</v>
      </c>
      <c r="AF271" t="s">
        <v>82</v>
      </c>
      <c r="AG271" t="s">
        <v>83</v>
      </c>
      <c r="AH271" t="s">
        <v>84</v>
      </c>
      <c r="AI271" t="str">
        <f t="shared" si="73"/>
        <v>01</v>
      </c>
      <c r="AJ271" t="str">
        <f t="shared" si="65"/>
        <v>1</v>
      </c>
      <c r="AK271" t="s">
        <v>93</v>
      </c>
      <c r="AL271" t="s">
        <v>94</v>
      </c>
      <c r="AM271" t="s">
        <v>95</v>
      </c>
      <c r="AN271" t="str">
        <f t="shared" si="71"/>
        <v>.9700</v>
      </c>
      <c r="AO271" t="str">
        <f t="shared" si="69"/>
        <v>11.41</v>
      </c>
      <c r="AP271" t="s">
        <v>96</v>
      </c>
      <c r="AQ271" t="str">
        <f t="shared" si="70"/>
        <v>11.41</v>
      </c>
      <c r="AR271">
        <v>37</v>
      </c>
      <c r="AS271">
        <v>-5</v>
      </c>
      <c r="AT271">
        <v>32</v>
      </c>
      <c r="AU271">
        <v>417.11</v>
      </c>
      <c r="AV271">
        <v>42.44</v>
      </c>
      <c r="AW271">
        <v>374.67</v>
      </c>
      <c r="AX271">
        <v>-48.45</v>
      </c>
      <c r="AY271">
        <v>326.22000000000003</v>
      </c>
      <c r="AZ271">
        <v>0</v>
      </c>
    </row>
    <row r="272" spans="1:52">
      <c r="A272" t="s">
        <v>65</v>
      </c>
      <c r="B272" t="s">
        <v>66</v>
      </c>
      <c r="C272" t="s">
        <v>67</v>
      </c>
      <c r="D272" t="s">
        <v>68</v>
      </c>
      <c r="E272" t="s">
        <v>69</v>
      </c>
      <c r="F272" t="s">
        <v>70</v>
      </c>
      <c r="G272" t="s">
        <v>71</v>
      </c>
      <c r="H272" t="s">
        <v>70</v>
      </c>
      <c r="I272" t="str">
        <f t="shared" si="66"/>
        <v>1010</v>
      </c>
      <c r="J272" t="str">
        <f t="shared" si="67"/>
        <v>05</v>
      </c>
      <c r="K272" t="s">
        <v>68</v>
      </c>
      <c r="L272" t="s">
        <v>72</v>
      </c>
      <c r="M272" t="s">
        <v>68</v>
      </c>
      <c r="N272" t="s">
        <v>181</v>
      </c>
      <c r="O272" t="s">
        <v>542</v>
      </c>
      <c r="P272" t="str">
        <f>"3020668202"</f>
        <v>3020668202</v>
      </c>
      <c r="R272" t="str">
        <f>"00030206682021"</f>
        <v>00030206682021</v>
      </c>
      <c r="S272" s="1">
        <v>39308</v>
      </c>
      <c r="T272" s="1">
        <v>39308</v>
      </c>
      <c r="U272" t="str">
        <f>"3020668202"</f>
        <v>3020668202</v>
      </c>
      <c r="V272" t="str">
        <f t="shared" si="72"/>
        <v>1510</v>
      </c>
      <c r="W272" t="str">
        <f t="shared" si="68"/>
        <v>11</v>
      </c>
      <c r="X272" t="s">
        <v>75</v>
      </c>
      <c r="Y272" t="s">
        <v>76</v>
      </c>
      <c r="Z272" t="s">
        <v>180</v>
      </c>
      <c r="AA272" t="s">
        <v>181</v>
      </c>
      <c r="AB272" t="s">
        <v>79</v>
      </c>
      <c r="AD272" t="s">
        <v>80</v>
      </c>
      <c r="AE272" t="s">
        <v>81</v>
      </c>
      <c r="AF272" t="s">
        <v>82</v>
      </c>
      <c r="AG272" t="s">
        <v>83</v>
      </c>
      <c r="AH272" t="s">
        <v>84</v>
      </c>
      <c r="AI272" t="str">
        <f t="shared" si="73"/>
        <v>01</v>
      </c>
      <c r="AJ272" t="str">
        <f t="shared" si="65"/>
        <v>1</v>
      </c>
      <c r="AK272" t="s">
        <v>93</v>
      </c>
      <c r="AL272" t="s">
        <v>94</v>
      </c>
      <c r="AM272" t="s">
        <v>95</v>
      </c>
      <c r="AN272" t="str">
        <f t="shared" si="71"/>
        <v>.9700</v>
      </c>
      <c r="AO272" t="str">
        <f t="shared" si="69"/>
        <v>11.41</v>
      </c>
      <c r="AP272" t="s">
        <v>96</v>
      </c>
      <c r="AQ272" t="str">
        <f t="shared" si="70"/>
        <v>11.41</v>
      </c>
      <c r="AR272">
        <v>3</v>
      </c>
      <c r="AS272">
        <v>0</v>
      </c>
      <c r="AT272">
        <v>3</v>
      </c>
      <c r="AU272">
        <v>34.229999999999997</v>
      </c>
      <c r="AV272">
        <v>4.1100000000000003</v>
      </c>
      <c r="AW272">
        <v>30.12</v>
      </c>
      <c r="AX272">
        <v>0</v>
      </c>
      <c r="AY272">
        <v>30.12</v>
      </c>
      <c r="AZ272">
        <v>0</v>
      </c>
    </row>
    <row r="273" spans="1:52">
      <c r="A273" t="s">
        <v>65</v>
      </c>
      <c r="B273" t="s">
        <v>66</v>
      </c>
      <c r="C273" t="s">
        <v>67</v>
      </c>
      <c r="D273" t="s">
        <v>68</v>
      </c>
      <c r="E273" t="s">
        <v>69</v>
      </c>
      <c r="F273" t="s">
        <v>70</v>
      </c>
      <c r="G273" t="s">
        <v>71</v>
      </c>
      <c r="H273" t="s">
        <v>70</v>
      </c>
      <c r="I273" t="str">
        <f t="shared" si="66"/>
        <v>1010</v>
      </c>
      <c r="J273" t="str">
        <f t="shared" si="67"/>
        <v>05</v>
      </c>
      <c r="K273" t="s">
        <v>68</v>
      </c>
      <c r="L273" t="s">
        <v>72</v>
      </c>
      <c r="M273" t="s">
        <v>68</v>
      </c>
      <c r="N273" t="s">
        <v>181</v>
      </c>
      <c r="O273" t="s">
        <v>543</v>
      </c>
      <c r="P273" t="str">
        <f>"3020661612"</f>
        <v>3020661612</v>
      </c>
      <c r="R273" t="str">
        <f>"00030206616125"</f>
        <v>00030206616125</v>
      </c>
      <c r="S273" s="1">
        <v>36795</v>
      </c>
      <c r="T273" s="1">
        <v>36760</v>
      </c>
      <c r="U273" t="str">
        <f>"3020661612"</f>
        <v>3020661612</v>
      </c>
      <c r="V273" t="str">
        <f t="shared" si="72"/>
        <v>1510</v>
      </c>
      <c r="W273" t="str">
        <f t="shared" si="68"/>
        <v>11</v>
      </c>
      <c r="X273" t="s">
        <v>75</v>
      </c>
      <c r="Y273" t="s">
        <v>76</v>
      </c>
      <c r="Z273" t="s">
        <v>180</v>
      </c>
      <c r="AA273" t="s">
        <v>181</v>
      </c>
      <c r="AB273" t="s">
        <v>79</v>
      </c>
      <c r="AD273" t="s">
        <v>80</v>
      </c>
      <c r="AE273" t="s">
        <v>81</v>
      </c>
      <c r="AF273" t="s">
        <v>82</v>
      </c>
      <c r="AG273" t="s">
        <v>83</v>
      </c>
      <c r="AH273" t="s">
        <v>84</v>
      </c>
      <c r="AI273" t="str">
        <f t="shared" si="73"/>
        <v>01</v>
      </c>
      <c r="AJ273" t="str">
        <f t="shared" si="65"/>
        <v>1</v>
      </c>
      <c r="AK273" t="s">
        <v>194</v>
      </c>
      <c r="AL273" t="s">
        <v>94</v>
      </c>
      <c r="AM273" t="s">
        <v>95</v>
      </c>
      <c r="AN273" t="str">
        <f t="shared" si="71"/>
        <v>.9700</v>
      </c>
      <c r="AO273" t="str">
        <f>"9.75"</f>
        <v>9.75</v>
      </c>
      <c r="AP273" t="s">
        <v>195</v>
      </c>
      <c r="AQ273" t="str">
        <f>"9.75"</f>
        <v>9.75</v>
      </c>
      <c r="AR273">
        <v>0</v>
      </c>
      <c r="AS273">
        <v>-4</v>
      </c>
      <c r="AT273">
        <v>-4</v>
      </c>
      <c r="AU273">
        <v>-7.38</v>
      </c>
      <c r="AV273">
        <v>0</v>
      </c>
      <c r="AW273">
        <v>-7.38</v>
      </c>
      <c r="AX273">
        <v>-35.270000000000003</v>
      </c>
      <c r="AY273">
        <v>-42.65</v>
      </c>
      <c r="AZ273">
        <v>0</v>
      </c>
    </row>
    <row r="274" spans="1:52">
      <c r="A274" t="s">
        <v>65</v>
      </c>
      <c r="B274" t="s">
        <v>66</v>
      </c>
      <c r="C274" t="s">
        <v>67</v>
      </c>
      <c r="D274" t="s">
        <v>68</v>
      </c>
      <c r="E274" t="s">
        <v>69</v>
      </c>
      <c r="F274" t="s">
        <v>70</v>
      </c>
      <c r="G274" t="s">
        <v>71</v>
      </c>
      <c r="H274" t="s">
        <v>70</v>
      </c>
      <c r="I274" t="str">
        <f t="shared" si="66"/>
        <v>1010</v>
      </c>
      <c r="J274" t="str">
        <f t="shared" si="67"/>
        <v>05</v>
      </c>
      <c r="K274" t="s">
        <v>68</v>
      </c>
      <c r="L274" t="s">
        <v>72</v>
      </c>
      <c r="M274" t="s">
        <v>68</v>
      </c>
      <c r="N274" t="s">
        <v>181</v>
      </c>
      <c r="O274" t="s">
        <v>544</v>
      </c>
      <c r="P274" t="str">
        <f>"3020669982"</f>
        <v>3020669982</v>
      </c>
      <c r="R274" t="str">
        <f>"00030206699821"</f>
        <v>00030206699821</v>
      </c>
      <c r="S274" s="1">
        <v>40168</v>
      </c>
      <c r="T274" s="1">
        <v>40168</v>
      </c>
      <c r="U274" t="str">
        <f>"3020669982"</f>
        <v>3020669982</v>
      </c>
      <c r="V274" t="str">
        <f t="shared" si="72"/>
        <v>1510</v>
      </c>
      <c r="W274" t="str">
        <f t="shared" si="68"/>
        <v>11</v>
      </c>
      <c r="X274" t="s">
        <v>376</v>
      </c>
      <c r="Y274" t="s">
        <v>76</v>
      </c>
      <c r="Z274" t="s">
        <v>180</v>
      </c>
      <c r="AA274" t="s">
        <v>181</v>
      </c>
      <c r="AB274" t="s">
        <v>79</v>
      </c>
      <c r="AD274" t="s">
        <v>80</v>
      </c>
      <c r="AE274" t="s">
        <v>81</v>
      </c>
      <c r="AF274" t="s">
        <v>82</v>
      </c>
      <c r="AG274" t="s">
        <v>83</v>
      </c>
      <c r="AH274" t="s">
        <v>84</v>
      </c>
      <c r="AI274" t="str">
        <f t="shared" si="73"/>
        <v>01</v>
      </c>
      <c r="AJ274" t="str">
        <f t="shared" si="65"/>
        <v>1</v>
      </c>
      <c r="AK274" t="s">
        <v>93</v>
      </c>
      <c r="AL274" t="s">
        <v>94</v>
      </c>
      <c r="AM274" t="s">
        <v>95</v>
      </c>
      <c r="AN274" t="str">
        <f t="shared" si="71"/>
        <v>.9700</v>
      </c>
      <c r="AO274" t="str">
        <f t="shared" ref="AO274:AO280" si="74">"11.41"</f>
        <v>11.41</v>
      </c>
      <c r="AP274" t="s">
        <v>96</v>
      </c>
      <c r="AQ274" t="str">
        <f t="shared" ref="AQ274:AQ280" si="75">"11.41"</f>
        <v>11.41</v>
      </c>
      <c r="AR274">
        <v>0</v>
      </c>
      <c r="AS274">
        <v>-19</v>
      </c>
      <c r="AT274">
        <v>-19</v>
      </c>
      <c r="AU274">
        <v>0</v>
      </c>
      <c r="AV274">
        <v>0</v>
      </c>
      <c r="AW274">
        <v>0</v>
      </c>
      <c r="AX274">
        <v>-192.32</v>
      </c>
      <c r="AY274">
        <v>-192.32</v>
      </c>
      <c r="AZ274">
        <v>0</v>
      </c>
    </row>
    <row r="275" spans="1:52">
      <c r="A275" t="s">
        <v>65</v>
      </c>
      <c r="B275" t="s">
        <v>66</v>
      </c>
      <c r="C275" t="s">
        <v>67</v>
      </c>
      <c r="D275" t="s">
        <v>68</v>
      </c>
      <c r="E275" t="s">
        <v>69</v>
      </c>
      <c r="F275" t="s">
        <v>70</v>
      </c>
      <c r="G275" t="s">
        <v>71</v>
      </c>
      <c r="H275" t="s">
        <v>70</v>
      </c>
      <c r="I275" t="str">
        <f t="shared" si="66"/>
        <v>1010</v>
      </c>
      <c r="J275" t="str">
        <f t="shared" si="67"/>
        <v>05</v>
      </c>
      <c r="K275" t="s">
        <v>68</v>
      </c>
      <c r="L275" t="s">
        <v>72</v>
      </c>
      <c r="M275" t="s">
        <v>68</v>
      </c>
      <c r="N275" t="s">
        <v>181</v>
      </c>
      <c r="O275" t="s">
        <v>545</v>
      </c>
      <c r="P275" t="str">
        <f>"3020672348"</f>
        <v>3020672348</v>
      </c>
      <c r="R275" t="str">
        <f>"00030206723489"</f>
        <v>00030206723489</v>
      </c>
      <c r="S275" s="1">
        <v>41583</v>
      </c>
      <c r="T275" s="1">
        <v>41576</v>
      </c>
      <c r="U275" t="str">
        <f>"3020672348"</f>
        <v>3020672348</v>
      </c>
      <c r="V275" t="str">
        <f>"1010"</f>
        <v>1010</v>
      </c>
      <c r="W275" t="str">
        <f t="shared" si="68"/>
        <v>11</v>
      </c>
      <c r="X275" t="s">
        <v>75</v>
      </c>
      <c r="Y275" t="s">
        <v>173</v>
      </c>
      <c r="Z275" t="s">
        <v>180</v>
      </c>
      <c r="AA275" t="s">
        <v>181</v>
      </c>
      <c r="AB275" t="s">
        <v>79</v>
      </c>
      <c r="AD275" t="s">
        <v>80</v>
      </c>
      <c r="AE275" t="s">
        <v>81</v>
      </c>
      <c r="AF275" t="s">
        <v>82</v>
      </c>
      <c r="AG275" t="s">
        <v>83</v>
      </c>
      <c r="AH275" t="s">
        <v>84</v>
      </c>
      <c r="AJ275" t="str">
        <f t="shared" si="65"/>
        <v>1</v>
      </c>
      <c r="AK275" t="s">
        <v>93</v>
      </c>
      <c r="AL275" t="s">
        <v>143</v>
      </c>
      <c r="AM275" t="s">
        <v>95</v>
      </c>
      <c r="AN275" t="str">
        <f t="shared" si="71"/>
        <v>.9700</v>
      </c>
      <c r="AO275" t="str">
        <f t="shared" si="74"/>
        <v>11.41</v>
      </c>
      <c r="AP275" t="s">
        <v>96</v>
      </c>
      <c r="AQ275" t="str">
        <f t="shared" si="75"/>
        <v>11.41</v>
      </c>
      <c r="AR275">
        <v>5</v>
      </c>
      <c r="AS275">
        <v>-16</v>
      </c>
      <c r="AT275">
        <v>-11</v>
      </c>
      <c r="AU275">
        <v>57.05</v>
      </c>
      <c r="AV275">
        <v>0</v>
      </c>
      <c r="AW275">
        <v>57.05</v>
      </c>
      <c r="AX275">
        <v>-163.05000000000001</v>
      </c>
      <c r="AY275">
        <v>-106</v>
      </c>
      <c r="AZ275">
        <v>0</v>
      </c>
    </row>
    <row r="276" spans="1:52">
      <c r="A276" t="s">
        <v>65</v>
      </c>
      <c r="B276" t="s">
        <v>66</v>
      </c>
      <c r="C276" t="s">
        <v>67</v>
      </c>
      <c r="D276" t="s">
        <v>68</v>
      </c>
      <c r="E276" t="s">
        <v>69</v>
      </c>
      <c r="F276" t="s">
        <v>70</v>
      </c>
      <c r="G276" t="s">
        <v>71</v>
      </c>
      <c r="H276" t="s">
        <v>70</v>
      </c>
      <c r="I276" t="str">
        <f t="shared" si="66"/>
        <v>1010</v>
      </c>
      <c r="J276" t="str">
        <f t="shared" si="67"/>
        <v>05</v>
      </c>
      <c r="K276" t="s">
        <v>68</v>
      </c>
      <c r="L276" t="s">
        <v>72</v>
      </c>
      <c r="M276" t="s">
        <v>68</v>
      </c>
      <c r="N276" t="s">
        <v>181</v>
      </c>
      <c r="O276" t="s">
        <v>546</v>
      </c>
      <c r="P276" t="str">
        <f>"3020670532"</f>
        <v>3020670532</v>
      </c>
      <c r="R276" t="str">
        <f>"00030206705324"</f>
        <v>00030206705324</v>
      </c>
      <c r="S276" s="1">
        <v>40463</v>
      </c>
      <c r="T276" s="1">
        <v>40456</v>
      </c>
      <c r="U276" t="str">
        <f>"3020670532"</f>
        <v>3020670532</v>
      </c>
      <c r="V276" t="str">
        <f t="shared" ref="V276:V286" si="76">"1510"</f>
        <v>1510</v>
      </c>
      <c r="W276" t="str">
        <f t="shared" si="68"/>
        <v>11</v>
      </c>
      <c r="X276" t="s">
        <v>75</v>
      </c>
      <c r="Y276" t="s">
        <v>76</v>
      </c>
      <c r="Z276" t="s">
        <v>180</v>
      </c>
      <c r="AA276" t="s">
        <v>181</v>
      </c>
      <c r="AB276" t="s">
        <v>79</v>
      </c>
      <c r="AD276" t="s">
        <v>80</v>
      </c>
      <c r="AE276" t="s">
        <v>81</v>
      </c>
      <c r="AF276" t="s">
        <v>82</v>
      </c>
      <c r="AG276" t="s">
        <v>83</v>
      </c>
      <c r="AH276" t="s">
        <v>84</v>
      </c>
      <c r="AI276" t="str">
        <f t="shared" ref="AI276:AI286" si="77">"01"</f>
        <v>01</v>
      </c>
      <c r="AJ276" t="str">
        <f t="shared" si="65"/>
        <v>1</v>
      </c>
      <c r="AK276" t="s">
        <v>93</v>
      </c>
      <c r="AL276" t="s">
        <v>94</v>
      </c>
      <c r="AM276" t="s">
        <v>95</v>
      </c>
      <c r="AN276" t="str">
        <f t="shared" si="71"/>
        <v>.9700</v>
      </c>
      <c r="AO276" t="str">
        <f t="shared" si="74"/>
        <v>11.41</v>
      </c>
      <c r="AP276" t="s">
        <v>96</v>
      </c>
      <c r="AQ276" t="str">
        <f t="shared" si="75"/>
        <v>11.41</v>
      </c>
      <c r="AR276">
        <v>9</v>
      </c>
      <c r="AS276">
        <v>-6</v>
      </c>
      <c r="AT276">
        <v>3</v>
      </c>
      <c r="AU276">
        <v>102.68</v>
      </c>
      <c r="AV276">
        <v>12.32</v>
      </c>
      <c r="AW276">
        <v>90.36</v>
      </c>
      <c r="AX276">
        <v>-60.24</v>
      </c>
      <c r="AY276">
        <v>30.12</v>
      </c>
      <c r="AZ276">
        <v>0</v>
      </c>
    </row>
    <row r="277" spans="1:52">
      <c r="A277" t="s">
        <v>65</v>
      </c>
      <c r="B277" t="s">
        <v>66</v>
      </c>
      <c r="C277" t="s">
        <v>67</v>
      </c>
      <c r="D277" t="s">
        <v>68</v>
      </c>
      <c r="E277" t="s">
        <v>69</v>
      </c>
      <c r="F277" t="s">
        <v>70</v>
      </c>
      <c r="G277" t="s">
        <v>71</v>
      </c>
      <c r="H277" t="s">
        <v>70</v>
      </c>
      <c r="I277" t="str">
        <f t="shared" si="66"/>
        <v>1010</v>
      </c>
      <c r="J277" t="str">
        <f t="shared" si="67"/>
        <v>05</v>
      </c>
      <c r="K277" t="s">
        <v>68</v>
      </c>
      <c r="L277" t="s">
        <v>72</v>
      </c>
      <c r="M277" t="s">
        <v>68</v>
      </c>
      <c r="N277" t="s">
        <v>181</v>
      </c>
      <c r="O277" t="s">
        <v>547</v>
      </c>
      <c r="P277" t="str">
        <f>"3020662972"</f>
        <v>3020662972</v>
      </c>
      <c r="R277" t="str">
        <f>"00030206629729"</f>
        <v>00030206629729</v>
      </c>
      <c r="S277" s="1">
        <v>37194</v>
      </c>
      <c r="T277" s="1">
        <v>37194</v>
      </c>
      <c r="U277" t="str">
        <f>"3020662972"</f>
        <v>3020662972</v>
      </c>
      <c r="V277" t="str">
        <f t="shared" si="76"/>
        <v>1510</v>
      </c>
      <c r="W277" t="str">
        <f t="shared" si="68"/>
        <v>11</v>
      </c>
      <c r="X277" t="s">
        <v>75</v>
      </c>
      <c r="Y277" t="s">
        <v>76</v>
      </c>
      <c r="Z277" t="s">
        <v>180</v>
      </c>
      <c r="AA277" t="s">
        <v>181</v>
      </c>
      <c r="AB277" t="s">
        <v>79</v>
      </c>
      <c r="AD277" t="s">
        <v>80</v>
      </c>
      <c r="AE277" t="s">
        <v>81</v>
      </c>
      <c r="AF277" t="s">
        <v>82</v>
      </c>
      <c r="AG277" t="s">
        <v>83</v>
      </c>
      <c r="AH277" t="s">
        <v>84</v>
      </c>
      <c r="AI277" t="str">
        <f t="shared" si="77"/>
        <v>01</v>
      </c>
      <c r="AJ277" t="str">
        <f t="shared" si="65"/>
        <v>1</v>
      </c>
      <c r="AK277" t="s">
        <v>93</v>
      </c>
      <c r="AL277" t="s">
        <v>94</v>
      </c>
      <c r="AM277" t="s">
        <v>95</v>
      </c>
      <c r="AN277" t="str">
        <f t="shared" si="71"/>
        <v>.9700</v>
      </c>
      <c r="AO277" t="str">
        <f t="shared" si="74"/>
        <v>11.41</v>
      </c>
      <c r="AP277" t="s">
        <v>96</v>
      </c>
      <c r="AQ277" t="str">
        <f t="shared" si="75"/>
        <v>11.41</v>
      </c>
      <c r="AR277">
        <v>20</v>
      </c>
      <c r="AS277">
        <v>0</v>
      </c>
      <c r="AT277">
        <v>20</v>
      </c>
      <c r="AU277">
        <v>228.18</v>
      </c>
      <c r="AV277">
        <v>27.38</v>
      </c>
      <c r="AW277">
        <v>200.8</v>
      </c>
      <c r="AX277">
        <v>0</v>
      </c>
      <c r="AY277">
        <v>200.8</v>
      </c>
      <c r="AZ277">
        <v>0</v>
      </c>
    </row>
    <row r="278" spans="1:52">
      <c r="A278" t="s">
        <v>65</v>
      </c>
      <c r="B278" t="s">
        <v>66</v>
      </c>
      <c r="C278" t="s">
        <v>67</v>
      </c>
      <c r="D278" t="s">
        <v>68</v>
      </c>
      <c r="E278" t="s">
        <v>69</v>
      </c>
      <c r="F278" t="s">
        <v>70</v>
      </c>
      <c r="G278" t="s">
        <v>71</v>
      </c>
      <c r="H278" t="s">
        <v>70</v>
      </c>
      <c r="I278" t="str">
        <f t="shared" si="66"/>
        <v>1010</v>
      </c>
      <c r="J278" t="str">
        <f t="shared" si="67"/>
        <v>05</v>
      </c>
      <c r="K278" t="s">
        <v>68</v>
      </c>
      <c r="L278" t="s">
        <v>72</v>
      </c>
      <c r="M278" t="s">
        <v>68</v>
      </c>
      <c r="N278" t="s">
        <v>181</v>
      </c>
      <c r="O278" t="s">
        <v>548</v>
      </c>
      <c r="P278" t="str">
        <f>"3020668182"</f>
        <v>3020668182</v>
      </c>
      <c r="R278" t="str">
        <f>"00030206681826"</f>
        <v>00030206681826</v>
      </c>
      <c r="S278" s="1">
        <v>39245</v>
      </c>
      <c r="T278" s="1">
        <v>39245</v>
      </c>
      <c r="U278" t="str">
        <f>"3020668182"</f>
        <v>3020668182</v>
      </c>
      <c r="V278" t="str">
        <f t="shared" si="76"/>
        <v>1510</v>
      </c>
      <c r="W278" t="str">
        <f t="shared" si="68"/>
        <v>11</v>
      </c>
      <c r="X278" t="s">
        <v>75</v>
      </c>
      <c r="Y278" t="s">
        <v>76</v>
      </c>
      <c r="Z278" t="s">
        <v>180</v>
      </c>
      <c r="AA278" t="s">
        <v>181</v>
      </c>
      <c r="AB278" t="s">
        <v>79</v>
      </c>
      <c r="AD278" t="s">
        <v>80</v>
      </c>
      <c r="AE278" t="s">
        <v>81</v>
      </c>
      <c r="AF278" t="s">
        <v>82</v>
      </c>
      <c r="AG278" t="s">
        <v>83</v>
      </c>
      <c r="AH278" t="s">
        <v>84</v>
      </c>
      <c r="AI278" t="str">
        <f t="shared" si="77"/>
        <v>01</v>
      </c>
      <c r="AJ278" t="str">
        <f t="shared" si="65"/>
        <v>1</v>
      </c>
      <c r="AK278" t="s">
        <v>93</v>
      </c>
      <c r="AL278" t="s">
        <v>94</v>
      </c>
      <c r="AM278" t="s">
        <v>95</v>
      </c>
      <c r="AN278" t="str">
        <f t="shared" si="71"/>
        <v>.9700</v>
      </c>
      <c r="AO278" t="str">
        <f t="shared" si="74"/>
        <v>11.41</v>
      </c>
      <c r="AP278" t="s">
        <v>96</v>
      </c>
      <c r="AQ278" t="str">
        <f t="shared" si="75"/>
        <v>11.41</v>
      </c>
      <c r="AR278">
        <v>2</v>
      </c>
      <c r="AS278">
        <v>0</v>
      </c>
      <c r="AT278">
        <v>2</v>
      </c>
      <c r="AU278">
        <v>22.82</v>
      </c>
      <c r="AV278">
        <v>0</v>
      </c>
      <c r="AW278">
        <v>22.82</v>
      </c>
      <c r="AX278">
        <v>0</v>
      </c>
      <c r="AY278">
        <v>22.82</v>
      </c>
      <c r="AZ278">
        <v>0</v>
      </c>
    </row>
    <row r="279" spans="1:52">
      <c r="A279" t="s">
        <v>65</v>
      </c>
      <c r="B279" t="s">
        <v>66</v>
      </c>
      <c r="C279" t="s">
        <v>67</v>
      </c>
      <c r="D279" t="s">
        <v>68</v>
      </c>
      <c r="E279" t="s">
        <v>69</v>
      </c>
      <c r="F279" t="s">
        <v>70</v>
      </c>
      <c r="G279" t="s">
        <v>71</v>
      </c>
      <c r="H279" t="s">
        <v>70</v>
      </c>
      <c r="I279" t="str">
        <f t="shared" si="66"/>
        <v>1010</v>
      </c>
      <c r="J279" t="str">
        <f t="shared" si="67"/>
        <v>05</v>
      </c>
      <c r="K279" t="s">
        <v>68</v>
      </c>
      <c r="L279" t="s">
        <v>72</v>
      </c>
      <c r="M279" t="s">
        <v>68</v>
      </c>
      <c r="N279" t="s">
        <v>181</v>
      </c>
      <c r="O279" t="s">
        <v>549</v>
      </c>
      <c r="P279" t="str">
        <f>"3020667212"</f>
        <v>3020667212</v>
      </c>
      <c r="R279" t="str">
        <f>"00030206672121"</f>
        <v>00030206672121</v>
      </c>
      <c r="S279" s="1">
        <v>38797</v>
      </c>
      <c r="T279" s="1">
        <v>38797</v>
      </c>
      <c r="U279" t="str">
        <f>"3020667212"</f>
        <v>3020667212</v>
      </c>
      <c r="V279" t="str">
        <f t="shared" si="76"/>
        <v>1510</v>
      </c>
      <c r="W279" t="str">
        <f t="shared" si="68"/>
        <v>11</v>
      </c>
      <c r="X279" t="s">
        <v>75</v>
      </c>
      <c r="Y279" t="s">
        <v>76</v>
      </c>
      <c r="Z279" t="s">
        <v>180</v>
      </c>
      <c r="AA279" t="s">
        <v>181</v>
      </c>
      <c r="AB279" t="s">
        <v>79</v>
      </c>
      <c r="AD279" t="s">
        <v>80</v>
      </c>
      <c r="AE279" t="s">
        <v>81</v>
      </c>
      <c r="AF279" t="s">
        <v>82</v>
      </c>
      <c r="AG279" t="s">
        <v>83</v>
      </c>
      <c r="AH279" t="s">
        <v>84</v>
      </c>
      <c r="AI279" t="str">
        <f t="shared" si="77"/>
        <v>01</v>
      </c>
      <c r="AJ279" t="str">
        <f t="shared" si="65"/>
        <v>1</v>
      </c>
      <c r="AK279" t="s">
        <v>93</v>
      </c>
      <c r="AL279" t="s">
        <v>94</v>
      </c>
      <c r="AM279" t="s">
        <v>95</v>
      </c>
      <c r="AN279" t="str">
        <f t="shared" si="71"/>
        <v>.9700</v>
      </c>
      <c r="AO279" t="str">
        <f t="shared" si="74"/>
        <v>11.41</v>
      </c>
      <c r="AP279" t="s">
        <v>96</v>
      </c>
      <c r="AQ279" t="str">
        <f t="shared" si="75"/>
        <v>11.41</v>
      </c>
      <c r="AR279">
        <v>31</v>
      </c>
      <c r="AS279">
        <v>0</v>
      </c>
      <c r="AT279">
        <v>31</v>
      </c>
      <c r="AU279">
        <v>353.71</v>
      </c>
      <c r="AV279">
        <v>1.37</v>
      </c>
      <c r="AW279">
        <v>352.34</v>
      </c>
      <c r="AX279">
        <v>0</v>
      </c>
      <c r="AY279">
        <v>352.34</v>
      </c>
      <c r="AZ279">
        <v>0</v>
      </c>
    </row>
    <row r="280" spans="1:52">
      <c r="A280" t="s">
        <v>65</v>
      </c>
      <c r="B280" t="s">
        <v>66</v>
      </c>
      <c r="C280" t="s">
        <v>67</v>
      </c>
      <c r="D280" t="s">
        <v>68</v>
      </c>
      <c r="E280" t="s">
        <v>69</v>
      </c>
      <c r="F280" t="s">
        <v>70</v>
      </c>
      <c r="G280" t="s">
        <v>71</v>
      </c>
      <c r="H280" t="s">
        <v>70</v>
      </c>
      <c r="I280" t="str">
        <f t="shared" si="66"/>
        <v>1010</v>
      </c>
      <c r="J280" t="str">
        <f t="shared" si="67"/>
        <v>05</v>
      </c>
      <c r="K280" t="s">
        <v>68</v>
      </c>
      <c r="L280" t="s">
        <v>72</v>
      </c>
      <c r="M280" t="s">
        <v>68</v>
      </c>
      <c r="N280" t="s">
        <v>181</v>
      </c>
      <c r="O280" t="s">
        <v>550</v>
      </c>
      <c r="P280" t="str">
        <f>"3020667592"</f>
        <v>3020667592</v>
      </c>
      <c r="R280" t="str">
        <f>"00030206675924"</f>
        <v>00030206675924</v>
      </c>
      <c r="S280" s="1">
        <v>38993</v>
      </c>
      <c r="T280" s="1">
        <v>38993</v>
      </c>
      <c r="U280" t="str">
        <f>"3020667592"</f>
        <v>3020667592</v>
      </c>
      <c r="V280" t="str">
        <f t="shared" si="76"/>
        <v>1510</v>
      </c>
      <c r="W280" t="str">
        <f t="shared" si="68"/>
        <v>11</v>
      </c>
      <c r="X280" t="s">
        <v>75</v>
      </c>
      <c r="Y280" t="s">
        <v>76</v>
      </c>
      <c r="Z280" t="s">
        <v>180</v>
      </c>
      <c r="AA280" t="s">
        <v>181</v>
      </c>
      <c r="AB280" t="s">
        <v>79</v>
      </c>
      <c r="AD280" t="s">
        <v>80</v>
      </c>
      <c r="AE280" t="s">
        <v>81</v>
      </c>
      <c r="AF280" t="s">
        <v>82</v>
      </c>
      <c r="AG280" t="s">
        <v>83</v>
      </c>
      <c r="AH280" t="s">
        <v>84</v>
      </c>
      <c r="AI280" t="str">
        <f t="shared" si="77"/>
        <v>01</v>
      </c>
      <c r="AJ280" t="str">
        <f t="shared" si="65"/>
        <v>1</v>
      </c>
      <c r="AK280" t="s">
        <v>93</v>
      </c>
      <c r="AL280" t="s">
        <v>94</v>
      </c>
      <c r="AM280" t="s">
        <v>95</v>
      </c>
      <c r="AN280" t="str">
        <f t="shared" si="71"/>
        <v>.9700</v>
      </c>
      <c r="AO280" t="str">
        <f t="shared" si="74"/>
        <v>11.41</v>
      </c>
      <c r="AP280" t="s">
        <v>96</v>
      </c>
      <c r="AQ280" t="str">
        <f t="shared" si="75"/>
        <v>11.41</v>
      </c>
      <c r="AR280">
        <v>8</v>
      </c>
      <c r="AS280">
        <v>0</v>
      </c>
      <c r="AT280">
        <v>8</v>
      </c>
      <c r="AU280">
        <v>91.28</v>
      </c>
      <c r="AV280">
        <v>10.96</v>
      </c>
      <c r="AW280">
        <v>80.319999999999993</v>
      </c>
      <c r="AX280">
        <v>0</v>
      </c>
      <c r="AY280">
        <v>80.319999999999993</v>
      </c>
      <c r="AZ280">
        <v>0</v>
      </c>
    </row>
    <row r="281" spans="1:52">
      <c r="A281" t="s">
        <v>65</v>
      </c>
      <c r="B281" t="s">
        <v>66</v>
      </c>
      <c r="C281" t="s">
        <v>67</v>
      </c>
      <c r="D281" t="s">
        <v>68</v>
      </c>
      <c r="E281" t="s">
        <v>69</v>
      </c>
      <c r="F281" t="s">
        <v>70</v>
      </c>
      <c r="G281" t="s">
        <v>71</v>
      </c>
      <c r="H281" t="s">
        <v>70</v>
      </c>
      <c r="I281" t="str">
        <f t="shared" si="66"/>
        <v>1010</v>
      </c>
      <c r="J281" t="str">
        <f t="shared" si="67"/>
        <v>05</v>
      </c>
      <c r="K281" t="s">
        <v>68</v>
      </c>
      <c r="L281" t="s">
        <v>72</v>
      </c>
      <c r="M281" t="s">
        <v>68</v>
      </c>
      <c r="N281" t="s">
        <v>181</v>
      </c>
      <c r="O281" t="s">
        <v>551</v>
      </c>
      <c r="P281" t="str">
        <f>"3020668922"</f>
        <v>3020668922</v>
      </c>
      <c r="R281" t="str">
        <f>"00030206689228"</f>
        <v>00030206689228</v>
      </c>
      <c r="S281" s="1">
        <v>39574</v>
      </c>
      <c r="T281" s="1">
        <v>39567</v>
      </c>
      <c r="U281" t="str">
        <f>"3020668922"</f>
        <v>3020668922</v>
      </c>
      <c r="V281" t="str">
        <f t="shared" si="76"/>
        <v>1510</v>
      </c>
      <c r="W281" t="str">
        <f t="shared" si="68"/>
        <v>11</v>
      </c>
      <c r="X281" t="s">
        <v>75</v>
      </c>
      <c r="Y281" t="s">
        <v>76</v>
      </c>
      <c r="Z281" t="s">
        <v>180</v>
      </c>
      <c r="AA281" t="s">
        <v>181</v>
      </c>
      <c r="AB281" t="s">
        <v>79</v>
      </c>
      <c r="AD281" t="s">
        <v>80</v>
      </c>
      <c r="AE281" t="s">
        <v>81</v>
      </c>
      <c r="AF281" t="s">
        <v>82</v>
      </c>
      <c r="AG281" t="s">
        <v>83</v>
      </c>
      <c r="AH281" t="s">
        <v>84</v>
      </c>
      <c r="AI281" t="str">
        <f t="shared" si="77"/>
        <v>01</v>
      </c>
      <c r="AJ281" t="str">
        <f t="shared" si="65"/>
        <v>1</v>
      </c>
      <c r="AK281" t="s">
        <v>240</v>
      </c>
      <c r="AL281" t="s">
        <v>94</v>
      </c>
      <c r="AM281" t="s">
        <v>95</v>
      </c>
      <c r="AN281" t="str">
        <f t="shared" si="71"/>
        <v>.9700</v>
      </c>
      <c r="AO281" t="str">
        <f>"12.65"</f>
        <v>12.65</v>
      </c>
      <c r="AP281" t="s">
        <v>241</v>
      </c>
      <c r="AQ281" t="str">
        <f>"12.65"</f>
        <v>12.65</v>
      </c>
      <c r="AR281">
        <v>1</v>
      </c>
      <c r="AS281">
        <v>0</v>
      </c>
      <c r="AT281">
        <v>1</v>
      </c>
      <c r="AU281">
        <v>12.65</v>
      </c>
      <c r="AV281">
        <v>1.52</v>
      </c>
      <c r="AW281">
        <v>11.13</v>
      </c>
      <c r="AX281">
        <v>0</v>
      </c>
      <c r="AY281">
        <v>11.13</v>
      </c>
      <c r="AZ281">
        <v>0</v>
      </c>
    </row>
    <row r="282" spans="1:52">
      <c r="A282" t="s">
        <v>65</v>
      </c>
      <c r="B282" t="s">
        <v>66</v>
      </c>
      <c r="C282" t="s">
        <v>67</v>
      </c>
      <c r="D282" t="s">
        <v>68</v>
      </c>
      <c r="E282" t="s">
        <v>69</v>
      </c>
      <c r="F282" t="s">
        <v>70</v>
      </c>
      <c r="G282" t="s">
        <v>71</v>
      </c>
      <c r="H282" t="s">
        <v>70</v>
      </c>
      <c r="I282" t="str">
        <f t="shared" si="66"/>
        <v>1010</v>
      </c>
      <c r="J282" t="str">
        <f t="shared" si="67"/>
        <v>05</v>
      </c>
      <c r="K282" t="s">
        <v>68</v>
      </c>
      <c r="L282" t="s">
        <v>72</v>
      </c>
      <c r="M282" t="s">
        <v>68</v>
      </c>
      <c r="N282" t="s">
        <v>181</v>
      </c>
      <c r="O282" t="s">
        <v>552</v>
      </c>
      <c r="P282" t="str">
        <f>"3020670402"</f>
        <v>3020670402</v>
      </c>
      <c r="R282" t="str">
        <f>"00030206704020"</f>
        <v>00030206704020</v>
      </c>
      <c r="S282" s="1">
        <v>40435</v>
      </c>
      <c r="T282" s="1">
        <v>40414</v>
      </c>
      <c r="U282" t="str">
        <f>"3020670402"</f>
        <v>3020670402</v>
      </c>
      <c r="V282" t="str">
        <f t="shared" si="76"/>
        <v>1510</v>
      </c>
      <c r="W282" t="str">
        <f t="shared" si="68"/>
        <v>11</v>
      </c>
      <c r="X282" t="s">
        <v>75</v>
      </c>
      <c r="Y282" t="s">
        <v>76</v>
      </c>
      <c r="Z282" t="s">
        <v>180</v>
      </c>
      <c r="AA282" t="s">
        <v>181</v>
      </c>
      <c r="AB282" t="s">
        <v>79</v>
      </c>
      <c r="AD282" t="s">
        <v>80</v>
      </c>
      <c r="AE282" t="s">
        <v>81</v>
      </c>
      <c r="AF282" t="s">
        <v>82</v>
      </c>
      <c r="AG282" t="s">
        <v>83</v>
      </c>
      <c r="AH282" t="s">
        <v>84</v>
      </c>
      <c r="AI282" t="str">
        <f t="shared" si="77"/>
        <v>01</v>
      </c>
      <c r="AJ282" t="str">
        <f t="shared" si="65"/>
        <v>1</v>
      </c>
      <c r="AK282" t="s">
        <v>240</v>
      </c>
      <c r="AL282" t="s">
        <v>94</v>
      </c>
      <c r="AM282" t="s">
        <v>95</v>
      </c>
      <c r="AN282" t="str">
        <f t="shared" si="71"/>
        <v>.9700</v>
      </c>
      <c r="AO282" t="str">
        <f>"12.65"</f>
        <v>12.65</v>
      </c>
      <c r="AP282" t="s">
        <v>241</v>
      </c>
      <c r="AQ282" t="str">
        <f>"12.65"</f>
        <v>12.65</v>
      </c>
      <c r="AR282">
        <v>23</v>
      </c>
      <c r="AS282">
        <v>0</v>
      </c>
      <c r="AT282">
        <v>23</v>
      </c>
      <c r="AU282">
        <v>290.92</v>
      </c>
      <c r="AV282">
        <v>28.85</v>
      </c>
      <c r="AW282">
        <v>262.07</v>
      </c>
      <c r="AX282">
        <v>0</v>
      </c>
      <c r="AY282">
        <v>262.07</v>
      </c>
      <c r="AZ282">
        <v>0</v>
      </c>
    </row>
    <row r="283" spans="1:52">
      <c r="A283" t="s">
        <v>65</v>
      </c>
      <c r="B283" t="s">
        <v>66</v>
      </c>
      <c r="C283" t="s">
        <v>67</v>
      </c>
      <c r="D283" t="s">
        <v>68</v>
      </c>
      <c r="E283" t="s">
        <v>69</v>
      </c>
      <c r="F283" t="s">
        <v>70</v>
      </c>
      <c r="G283" t="s">
        <v>71</v>
      </c>
      <c r="H283" t="s">
        <v>70</v>
      </c>
      <c r="I283" t="str">
        <f t="shared" si="66"/>
        <v>1010</v>
      </c>
      <c r="J283" t="str">
        <f t="shared" si="67"/>
        <v>05</v>
      </c>
      <c r="K283" t="s">
        <v>68</v>
      </c>
      <c r="L283" t="s">
        <v>72</v>
      </c>
      <c r="M283" t="s">
        <v>68</v>
      </c>
      <c r="N283" t="s">
        <v>181</v>
      </c>
      <c r="O283" t="s">
        <v>553</v>
      </c>
      <c r="P283" t="str">
        <f>"3020669642"</f>
        <v>3020669642</v>
      </c>
      <c r="R283" t="str">
        <f>"00030206696424"</f>
        <v>00030206696424</v>
      </c>
      <c r="S283" s="1">
        <v>39945</v>
      </c>
      <c r="T283" s="1">
        <v>39945</v>
      </c>
      <c r="U283" t="str">
        <f>"3020669642"</f>
        <v>3020669642</v>
      </c>
      <c r="V283" t="str">
        <f t="shared" si="76"/>
        <v>1510</v>
      </c>
      <c r="W283" t="str">
        <f t="shared" si="68"/>
        <v>11</v>
      </c>
      <c r="X283" t="s">
        <v>75</v>
      </c>
      <c r="Y283" t="s">
        <v>76</v>
      </c>
      <c r="Z283" t="s">
        <v>180</v>
      </c>
      <c r="AA283" t="s">
        <v>181</v>
      </c>
      <c r="AB283" t="s">
        <v>79</v>
      </c>
      <c r="AD283" t="s">
        <v>80</v>
      </c>
      <c r="AE283" t="s">
        <v>81</v>
      </c>
      <c r="AF283" t="s">
        <v>82</v>
      </c>
      <c r="AG283" t="s">
        <v>83</v>
      </c>
      <c r="AH283" t="s">
        <v>84</v>
      </c>
      <c r="AI283" t="str">
        <f t="shared" si="77"/>
        <v>01</v>
      </c>
      <c r="AJ283" t="str">
        <f t="shared" si="65"/>
        <v>1</v>
      </c>
      <c r="AK283" t="s">
        <v>93</v>
      </c>
      <c r="AL283" t="s">
        <v>94</v>
      </c>
      <c r="AM283" t="s">
        <v>95</v>
      </c>
      <c r="AN283" t="str">
        <f t="shared" si="71"/>
        <v>.9700</v>
      </c>
      <c r="AO283" t="str">
        <f>"11.41"</f>
        <v>11.41</v>
      </c>
      <c r="AP283" t="s">
        <v>96</v>
      </c>
      <c r="AQ283" t="str">
        <f>"11.41"</f>
        <v>11.41</v>
      </c>
      <c r="AR283">
        <v>11</v>
      </c>
      <c r="AS283">
        <v>0</v>
      </c>
      <c r="AT283">
        <v>11</v>
      </c>
      <c r="AU283">
        <v>125.51</v>
      </c>
      <c r="AV283">
        <v>9.59</v>
      </c>
      <c r="AW283">
        <v>115.92</v>
      </c>
      <c r="AX283">
        <v>0</v>
      </c>
      <c r="AY283">
        <v>115.92</v>
      </c>
      <c r="AZ283">
        <v>0</v>
      </c>
    </row>
    <row r="284" spans="1:52">
      <c r="A284" t="s">
        <v>65</v>
      </c>
      <c r="B284" t="s">
        <v>66</v>
      </c>
      <c r="C284" t="s">
        <v>67</v>
      </c>
      <c r="D284" t="s">
        <v>68</v>
      </c>
      <c r="E284" t="s">
        <v>69</v>
      </c>
      <c r="F284" t="s">
        <v>70</v>
      </c>
      <c r="G284" t="s">
        <v>71</v>
      </c>
      <c r="H284" t="s">
        <v>70</v>
      </c>
      <c r="I284" t="str">
        <f t="shared" si="66"/>
        <v>1010</v>
      </c>
      <c r="J284" t="str">
        <f t="shared" si="67"/>
        <v>05</v>
      </c>
      <c r="K284" t="s">
        <v>68</v>
      </c>
      <c r="L284" t="s">
        <v>72</v>
      </c>
      <c r="M284" t="s">
        <v>68</v>
      </c>
      <c r="N284" t="s">
        <v>181</v>
      </c>
      <c r="O284" t="s">
        <v>554</v>
      </c>
      <c r="P284" t="str">
        <f>"3020670252"</f>
        <v>3020670252</v>
      </c>
      <c r="R284" t="str">
        <f>"00030206702521"</f>
        <v>00030206702521</v>
      </c>
      <c r="S284" s="1">
        <v>40309</v>
      </c>
      <c r="T284" s="1">
        <v>40309</v>
      </c>
      <c r="U284" t="str">
        <f>"3020670252"</f>
        <v>3020670252</v>
      </c>
      <c r="V284" t="str">
        <f t="shared" si="76"/>
        <v>1510</v>
      </c>
      <c r="W284" t="str">
        <f t="shared" si="68"/>
        <v>11</v>
      </c>
      <c r="X284" t="s">
        <v>75</v>
      </c>
      <c r="Y284" t="s">
        <v>76</v>
      </c>
      <c r="Z284" t="s">
        <v>180</v>
      </c>
      <c r="AA284" t="s">
        <v>181</v>
      </c>
      <c r="AB284" t="s">
        <v>79</v>
      </c>
      <c r="AD284" t="s">
        <v>80</v>
      </c>
      <c r="AE284" t="s">
        <v>81</v>
      </c>
      <c r="AF284" t="s">
        <v>82</v>
      </c>
      <c r="AG284" t="s">
        <v>83</v>
      </c>
      <c r="AH284" t="s">
        <v>84</v>
      </c>
      <c r="AI284" t="str">
        <f t="shared" si="77"/>
        <v>01</v>
      </c>
      <c r="AJ284" t="str">
        <f t="shared" si="65"/>
        <v>1</v>
      </c>
      <c r="AK284" t="s">
        <v>93</v>
      </c>
      <c r="AL284" t="s">
        <v>94</v>
      </c>
      <c r="AM284" t="s">
        <v>95</v>
      </c>
      <c r="AN284" t="str">
        <f t="shared" si="71"/>
        <v>.9700</v>
      </c>
      <c r="AO284" t="str">
        <f>"11.41"</f>
        <v>11.41</v>
      </c>
      <c r="AP284" t="s">
        <v>96</v>
      </c>
      <c r="AQ284" t="str">
        <f>"11.41"</f>
        <v>11.41</v>
      </c>
      <c r="AR284">
        <v>8</v>
      </c>
      <c r="AS284">
        <v>0</v>
      </c>
      <c r="AT284">
        <v>8</v>
      </c>
      <c r="AU284">
        <v>91.28</v>
      </c>
      <c r="AV284">
        <v>10.96</v>
      </c>
      <c r="AW284">
        <v>80.319999999999993</v>
      </c>
      <c r="AX284">
        <v>0</v>
      </c>
      <c r="AY284">
        <v>80.319999999999993</v>
      </c>
      <c r="AZ284">
        <v>0</v>
      </c>
    </row>
    <row r="285" spans="1:52">
      <c r="A285" t="s">
        <v>65</v>
      </c>
      <c r="B285" t="s">
        <v>66</v>
      </c>
      <c r="C285" t="s">
        <v>67</v>
      </c>
      <c r="D285" t="s">
        <v>68</v>
      </c>
      <c r="E285" t="s">
        <v>69</v>
      </c>
      <c r="F285" t="s">
        <v>70</v>
      </c>
      <c r="G285" t="s">
        <v>71</v>
      </c>
      <c r="H285" t="s">
        <v>70</v>
      </c>
      <c r="I285" t="str">
        <f t="shared" si="66"/>
        <v>1010</v>
      </c>
      <c r="J285" t="str">
        <f t="shared" si="67"/>
        <v>05</v>
      </c>
      <c r="K285" t="s">
        <v>68</v>
      </c>
      <c r="L285" t="s">
        <v>72</v>
      </c>
      <c r="M285" t="s">
        <v>68</v>
      </c>
      <c r="N285" t="s">
        <v>181</v>
      </c>
      <c r="O285" t="s">
        <v>555</v>
      </c>
      <c r="P285" t="s">
        <v>556</v>
      </c>
      <c r="R285" t="str">
        <f>"00030206816723"</f>
        <v>00030206816723</v>
      </c>
      <c r="S285" s="1">
        <v>32447</v>
      </c>
      <c r="T285" s="1">
        <v>32447</v>
      </c>
      <c r="U285" t="s">
        <v>556</v>
      </c>
      <c r="V285" t="str">
        <f t="shared" si="76"/>
        <v>1510</v>
      </c>
      <c r="W285" t="str">
        <f t="shared" si="68"/>
        <v>11</v>
      </c>
      <c r="X285" t="s">
        <v>75</v>
      </c>
      <c r="Y285" t="s">
        <v>76</v>
      </c>
      <c r="Z285" t="s">
        <v>180</v>
      </c>
      <c r="AA285" t="s">
        <v>181</v>
      </c>
      <c r="AB285" t="s">
        <v>79</v>
      </c>
      <c r="AD285" t="s">
        <v>80</v>
      </c>
      <c r="AE285" t="s">
        <v>81</v>
      </c>
      <c r="AF285" t="s">
        <v>82</v>
      </c>
      <c r="AG285" t="s">
        <v>83</v>
      </c>
      <c r="AH285" t="s">
        <v>84</v>
      </c>
      <c r="AI285" t="str">
        <f t="shared" si="77"/>
        <v>01</v>
      </c>
      <c r="AJ285" t="str">
        <f t="shared" si="65"/>
        <v>1</v>
      </c>
      <c r="AK285" t="s">
        <v>107</v>
      </c>
      <c r="AL285" t="s">
        <v>94</v>
      </c>
      <c r="AM285" t="s">
        <v>95</v>
      </c>
      <c r="AN285" t="str">
        <f t="shared" si="71"/>
        <v>.9700</v>
      </c>
      <c r="AO285" t="str">
        <f>"10.78"</f>
        <v>10.78</v>
      </c>
      <c r="AP285" t="s">
        <v>108</v>
      </c>
      <c r="AQ285" t="str">
        <f>"10.78"</f>
        <v>10.78</v>
      </c>
      <c r="AR285">
        <v>76</v>
      </c>
      <c r="AS285">
        <v>-1</v>
      </c>
      <c r="AT285">
        <v>75</v>
      </c>
      <c r="AU285">
        <v>819.06</v>
      </c>
      <c r="AV285">
        <v>85.41</v>
      </c>
      <c r="AW285">
        <v>733.65</v>
      </c>
      <c r="AX285">
        <v>-9.93</v>
      </c>
      <c r="AY285">
        <v>723.72</v>
      </c>
      <c r="AZ285">
        <v>0</v>
      </c>
    </row>
    <row r="286" spans="1:52">
      <c r="A286" t="s">
        <v>65</v>
      </c>
      <c r="B286" t="s">
        <v>66</v>
      </c>
      <c r="C286" t="s">
        <v>67</v>
      </c>
      <c r="D286" t="s">
        <v>68</v>
      </c>
      <c r="E286" t="s">
        <v>69</v>
      </c>
      <c r="F286" t="s">
        <v>70</v>
      </c>
      <c r="G286" t="s">
        <v>71</v>
      </c>
      <c r="H286" t="s">
        <v>70</v>
      </c>
      <c r="I286" t="str">
        <f t="shared" si="66"/>
        <v>1010</v>
      </c>
      <c r="J286" t="str">
        <f t="shared" si="67"/>
        <v>05</v>
      </c>
      <c r="K286" t="s">
        <v>68</v>
      </c>
      <c r="L286" t="s">
        <v>72</v>
      </c>
      <c r="M286" t="s">
        <v>68</v>
      </c>
      <c r="N286" t="s">
        <v>181</v>
      </c>
      <c r="O286" t="s">
        <v>557</v>
      </c>
      <c r="P286" t="str">
        <f>"3020665832"</f>
        <v>3020665832</v>
      </c>
      <c r="R286" t="str">
        <f>"00030206658323"</f>
        <v>00030206658323</v>
      </c>
      <c r="S286" s="1">
        <v>38195</v>
      </c>
      <c r="T286" s="1">
        <v>38146</v>
      </c>
      <c r="U286" t="str">
        <f>"3020665832"</f>
        <v>3020665832</v>
      </c>
      <c r="V286" t="str">
        <f t="shared" si="76"/>
        <v>1510</v>
      </c>
      <c r="W286" t="str">
        <f t="shared" si="68"/>
        <v>11</v>
      </c>
      <c r="X286" t="s">
        <v>75</v>
      </c>
      <c r="Y286" t="s">
        <v>76</v>
      </c>
      <c r="Z286" t="s">
        <v>180</v>
      </c>
      <c r="AA286" t="s">
        <v>181</v>
      </c>
      <c r="AB286" t="s">
        <v>79</v>
      </c>
      <c r="AD286" t="s">
        <v>80</v>
      </c>
      <c r="AE286" t="s">
        <v>81</v>
      </c>
      <c r="AF286" t="s">
        <v>82</v>
      </c>
      <c r="AG286" t="s">
        <v>83</v>
      </c>
      <c r="AH286" t="s">
        <v>84</v>
      </c>
      <c r="AI286" t="str">
        <f t="shared" si="77"/>
        <v>01</v>
      </c>
      <c r="AJ286" t="str">
        <f t="shared" si="65"/>
        <v>1</v>
      </c>
      <c r="AK286" t="s">
        <v>93</v>
      </c>
      <c r="AL286" t="s">
        <v>94</v>
      </c>
      <c r="AM286" t="s">
        <v>95</v>
      </c>
      <c r="AN286" t="str">
        <f t="shared" si="71"/>
        <v>.9700</v>
      </c>
      <c r="AO286" t="str">
        <f>"11.41"</f>
        <v>11.41</v>
      </c>
      <c r="AP286" t="s">
        <v>96</v>
      </c>
      <c r="AQ286" t="str">
        <f>"11.41"</f>
        <v>11.41</v>
      </c>
      <c r="AR286">
        <v>97</v>
      </c>
      <c r="AS286">
        <v>-1</v>
      </c>
      <c r="AT286">
        <v>96</v>
      </c>
      <c r="AU286">
        <v>1105.01</v>
      </c>
      <c r="AV286">
        <v>87.63</v>
      </c>
      <c r="AW286">
        <v>1017.38</v>
      </c>
      <c r="AX286">
        <v>-10.77</v>
      </c>
      <c r="AY286">
        <v>1006.61</v>
      </c>
      <c r="AZ286">
        <v>0</v>
      </c>
    </row>
    <row r="287" spans="1:52">
      <c r="A287" t="s">
        <v>65</v>
      </c>
      <c r="B287" t="s">
        <v>66</v>
      </c>
      <c r="C287" t="s">
        <v>67</v>
      </c>
      <c r="D287" t="s">
        <v>68</v>
      </c>
      <c r="E287" t="s">
        <v>69</v>
      </c>
      <c r="F287" t="s">
        <v>70</v>
      </c>
      <c r="G287" t="s">
        <v>71</v>
      </c>
      <c r="H287" t="s">
        <v>70</v>
      </c>
      <c r="I287" t="str">
        <f t="shared" si="66"/>
        <v>1010</v>
      </c>
      <c r="J287" t="str">
        <f t="shared" si="67"/>
        <v>05</v>
      </c>
      <c r="K287" t="s">
        <v>68</v>
      </c>
      <c r="L287" t="s">
        <v>72</v>
      </c>
      <c r="M287" t="s">
        <v>68</v>
      </c>
      <c r="N287" t="s">
        <v>181</v>
      </c>
      <c r="O287" t="s">
        <v>558</v>
      </c>
      <c r="P287" t="str">
        <f>"3020671772"</f>
        <v>3020671772</v>
      </c>
      <c r="R287" t="str">
        <f>"00030206717723"</f>
        <v>00030206717723</v>
      </c>
      <c r="S287" s="1">
        <v>41310</v>
      </c>
      <c r="T287" s="1">
        <v>41310</v>
      </c>
      <c r="U287" t="str">
        <f>"3020671772"</f>
        <v>3020671772</v>
      </c>
      <c r="V287" t="str">
        <f>"1010"</f>
        <v>1010</v>
      </c>
      <c r="W287" t="str">
        <f t="shared" si="68"/>
        <v>11</v>
      </c>
      <c r="X287" t="s">
        <v>75</v>
      </c>
      <c r="Y287" t="s">
        <v>173</v>
      </c>
      <c r="Z287" t="s">
        <v>180</v>
      </c>
      <c r="AA287" t="s">
        <v>181</v>
      </c>
      <c r="AB287" t="s">
        <v>79</v>
      </c>
      <c r="AD287" t="s">
        <v>80</v>
      </c>
      <c r="AE287" t="s">
        <v>81</v>
      </c>
      <c r="AF287" t="s">
        <v>82</v>
      </c>
      <c r="AG287" t="s">
        <v>83</v>
      </c>
      <c r="AH287" t="s">
        <v>84</v>
      </c>
      <c r="AJ287" t="str">
        <f t="shared" si="65"/>
        <v>1</v>
      </c>
      <c r="AK287" t="s">
        <v>101</v>
      </c>
      <c r="AL287" t="s">
        <v>143</v>
      </c>
      <c r="AM287" t="s">
        <v>95</v>
      </c>
      <c r="AN287" t="str">
        <f t="shared" si="71"/>
        <v>.9700</v>
      </c>
      <c r="AO287" t="str">
        <f>"9.07"</f>
        <v>9.07</v>
      </c>
      <c r="AP287" t="s">
        <v>102</v>
      </c>
      <c r="AQ287" t="str">
        <f>"9.07"</f>
        <v>9.07</v>
      </c>
      <c r="AR287">
        <v>7</v>
      </c>
      <c r="AS287">
        <v>-2</v>
      </c>
      <c r="AT287">
        <v>5</v>
      </c>
      <c r="AU287">
        <v>63.49</v>
      </c>
      <c r="AV287">
        <v>0</v>
      </c>
      <c r="AW287">
        <v>63.49</v>
      </c>
      <c r="AX287">
        <v>-16.54</v>
      </c>
      <c r="AY287">
        <v>46.95</v>
      </c>
      <c r="AZ287">
        <v>0</v>
      </c>
    </row>
    <row r="288" spans="1:52">
      <c r="A288" t="s">
        <v>65</v>
      </c>
      <c r="B288" t="s">
        <v>66</v>
      </c>
      <c r="C288" t="s">
        <v>67</v>
      </c>
      <c r="D288" t="s">
        <v>68</v>
      </c>
      <c r="E288" t="s">
        <v>69</v>
      </c>
      <c r="F288" t="s">
        <v>70</v>
      </c>
      <c r="G288" t="s">
        <v>71</v>
      </c>
      <c r="H288" t="s">
        <v>70</v>
      </c>
      <c r="I288" t="str">
        <f t="shared" si="66"/>
        <v>1010</v>
      </c>
      <c r="J288" t="str">
        <f t="shared" si="67"/>
        <v>05</v>
      </c>
      <c r="K288" t="s">
        <v>68</v>
      </c>
      <c r="L288" t="s">
        <v>72</v>
      </c>
      <c r="M288" t="s">
        <v>68</v>
      </c>
      <c r="N288" t="s">
        <v>181</v>
      </c>
      <c r="O288" t="s">
        <v>559</v>
      </c>
      <c r="P288" t="str">
        <f>"3020670862"</f>
        <v>3020670862</v>
      </c>
      <c r="R288" t="str">
        <f>"00030206708622"</f>
        <v>00030206708622</v>
      </c>
      <c r="S288" s="1">
        <v>40666</v>
      </c>
      <c r="T288" s="1">
        <v>40652</v>
      </c>
      <c r="U288" t="str">
        <f>"3020670862"</f>
        <v>3020670862</v>
      </c>
      <c r="V288" t="str">
        <f t="shared" ref="V288:V297" si="78">"1510"</f>
        <v>1510</v>
      </c>
      <c r="W288" t="str">
        <f t="shared" si="68"/>
        <v>11</v>
      </c>
      <c r="X288" t="s">
        <v>75</v>
      </c>
      <c r="Y288" t="s">
        <v>76</v>
      </c>
      <c r="Z288" t="s">
        <v>180</v>
      </c>
      <c r="AA288" t="s">
        <v>181</v>
      </c>
      <c r="AB288" t="s">
        <v>79</v>
      </c>
      <c r="AD288" t="s">
        <v>80</v>
      </c>
      <c r="AE288" t="s">
        <v>81</v>
      </c>
      <c r="AF288" t="s">
        <v>82</v>
      </c>
      <c r="AG288" t="s">
        <v>83</v>
      </c>
      <c r="AH288" t="s">
        <v>84</v>
      </c>
      <c r="AI288" t="str">
        <f t="shared" ref="AI288:AI299" si="79">"01"</f>
        <v>01</v>
      </c>
      <c r="AJ288" t="str">
        <f t="shared" si="65"/>
        <v>1</v>
      </c>
      <c r="AK288" t="s">
        <v>93</v>
      </c>
      <c r="AL288" t="s">
        <v>94</v>
      </c>
      <c r="AM288" t="s">
        <v>95</v>
      </c>
      <c r="AN288" t="str">
        <f t="shared" si="71"/>
        <v>.9700</v>
      </c>
      <c r="AO288" t="str">
        <f t="shared" ref="AO288:AO300" si="80">"11.41"</f>
        <v>11.41</v>
      </c>
      <c r="AP288" t="s">
        <v>96</v>
      </c>
      <c r="AQ288" t="str">
        <f t="shared" ref="AQ288:AQ300" si="81">"11.41"</f>
        <v>11.41</v>
      </c>
      <c r="AR288">
        <v>17</v>
      </c>
      <c r="AS288">
        <v>0</v>
      </c>
      <c r="AT288">
        <v>17</v>
      </c>
      <c r="AU288">
        <v>193.96</v>
      </c>
      <c r="AV288">
        <v>20.54</v>
      </c>
      <c r="AW288">
        <v>173.42</v>
      </c>
      <c r="AX288">
        <v>0</v>
      </c>
      <c r="AY288">
        <v>173.42</v>
      </c>
      <c r="AZ288">
        <v>0</v>
      </c>
    </row>
    <row r="289" spans="1:52">
      <c r="A289" t="s">
        <v>65</v>
      </c>
      <c r="B289" t="s">
        <v>66</v>
      </c>
      <c r="C289" t="s">
        <v>67</v>
      </c>
      <c r="D289" t="s">
        <v>68</v>
      </c>
      <c r="E289" t="s">
        <v>69</v>
      </c>
      <c r="F289" t="s">
        <v>70</v>
      </c>
      <c r="G289" t="s">
        <v>71</v>
      </c>
      <c r="H289" t="s">
        <v>70</v>
      </c>
      <c r="I289" t="str">
        <f t="shared" si="66"/>
        <v>1010</v>
      </c>
      <c r="J289" t="str">
        <f t="shared" si="67"/>
        <v>05</v>
      </c>
      <c r="K289" t="s">
        <v>68</v>
      </c>
      <c r="L289" t="s">
        <v>72</v>
      </c>
      <c r="M289" t="s">
        <v>68</v>
      </c>
      <c r="N289" t="s">
        <v>181</v>
      </c>
      <c r="O289" t="s">
        <v>560</v>
      </c>
      <c r="P289" t="str">
        <f>"3020668822"</f>
        <v>3020668822</v>
      </c>
      <c r="R289" t="str">
        <f>"00030206688221"</f>
        <v>00030206688221</v>
      </c>
      <c r="S289" s="1">
        <v>39504</v>
      </c>
      <c r="T289" s="1">
        <v>39504</v>
      </c>
      <c r="U289" t="str">
        <f>"3020668822"</f>
        <v>3020668822</v>
      </c>
      <c r="V289" t="str">
        <f t="shared" si="78"/>
        <v>1510</v>
      </c>
      <c r="W289" t="str">
        <f t="shared" si="68"/>
        <v>11</v>
      </c>
      <c r="X289" t="s">
        <v>75</v>
      </c>
      <c r="Y289" t="s">
        <v>76</v>
      </c>
      <c r="Z289" t="s">
        <v>180</v>
      </c>
      <c r="AA289" t="s">
        <v>181</v>
      </c>
      <c r="AB289" t="s">
        <v>79</v>
      </c>
      <c r="AD289" t="s">
        <v>80</v>
      </c>
      <c r="AE289" t="s">
        <v>81</v>
      </c>
      <c r="AF289" t="s">
        <v>82</v>
      </c>
      <c r="AG289" t="s">
        <v>83</v>
      </c>
      <c r="AH289" t="s">
        <v>84</v>
      </c>
      <c r="AI289" t="str">
        <f t="shared" si="79"/>
        <v>01</v>
      </c>
      <c r="AJ289" t="str">
        <f t="shared" si="65"/>
        <v>1</v>
      </c>
      <c r="AK289" t="s">
        <v>93</v>
      </c>
      <c r="AL289" t="s">
        <v>94</v>
      </c>
      <c r="AM289" t="s">
        <v>95</v>
      </c>
      <c r="AN289" t="str">
        <f t="shared" si="71"/>
        <v>.9700</v>
      </c>
      <c r="AO289" t="str">
        <f t="shared" si="80"/>
        <v>11.41</v>
      </c>
      <c r="AP289" t="s">
        <v>96</v>
      </c>
      <c r="AQ289" t="str">
        <f t="shared" si="81"/>
        <v>11.41</v>
      </c>
      <c r="AR289">
        <v>0</v>
      </c>
      <c r="AS289">
        <v>-1</v>
      </c>
      <c r="AT289">
        <v>-1</v>
      </c>
      <c r="AU289">
        <v>0</v>
      </c>
      <c r="AV289">
        <v>0</v>
      </c>
      <c r="AW289">
        <v>0</v>
      </c>
      <c r="AX289">
        <v>-10.210000000000001</v>
      </c>
      <c r="AY289">
        <v>-10.210000000000001</v>
      </c>
      <c r="AZ289">
        <v>0</v>
      </c>
    </row>
    <row r="290" spans="1:52">
      <c r="A290" t="s">
        <v>65</v>
      </c>
      <c r="B290" t="s">
        <v>66</v>
      </c>
      <c r="C290" t="s">
        <v>67</v>
      </c>
      <c r="D290" t="s">
        <v>68</v>
      </c>
      <c r="E290" t="s">
        <v>69</v>
      </c>
      <c r="F290" t="s">
        <v>70</v>
      </c>
      <c r="G290" t="s">
        <v>71</v>
      </c>
      <c r="H290" t="s">
        <v>70</v>
      </c>
      <c r="I290" t="str">
        <f t="shared" si="66"/>
        <v>1010</v>
      </c>
      <c r="J290" t="str">
        <f t="shared" si="67"/>
        <v>05</v>
      </c>
      <c r="K290" t="s">
        <v>68</v>
      </c>
      <c r="L290" t="s">
        <v>72</v>
      </c>
      <c r="M290" t="s">
        <v>68</v>
      </c>
      <c r="N290" t="s">
        <v>181</v>
      </c>
      <c r="O290" t="s">
        <v>561</v>
      </c>
      <c r="P290" t="str">
        <f>"3020671282"</f>
        <v>3020671282</v>
      </c>
      <c r="R290" t="str">
        <f>"00030206712827"</f>
        <v>00030206712827</v>
      </c>
      <c r="S290" s="1">
        <v>40918</v>
      </c>
      <c r="T290" s="1">
        <v>40890</v>
      </c>
      <c r="U290" t="str">
        <f>"3020671282"</f>
        <v>3020671282</v>
      </c>
      <c r="V290" t="str">
        <f t="shared" si="78"/>
        <v>1510</v>
      </c>
      <c r="W290" t="str">
        <f t="shared" si="68"/>
        <v>11</v>
      </c>
      <c r="X290" t="s">
        <v>75</v>
      </c>
      <c r="Y290" t="s">
        <v>173</v>
      </c>
      <c r="Z290" t="s">
        <v>180</v>
      </c>
      <c r="AA290" t="s">
        <v>181</v>
      </c>
      <c r="AB290" t="s">
        <v>79</v>
      </c>
      <c r="AD290" t="s">
        <v>80</v>
      </c>
      <c r="AE290" t="s">
        <v>81</v>
      </c>
      <c r="AF290" t="s">
        <v>82</v>
      </c>
      <c r="AG290" t="s">
        <v>83</v>
      </c>
      <c r="AH290" t="s">
        <v>84</v>
      </c>
      <c r="AI290" t="str">
        <f t="shared" si="79"/>
        <v>01</v>
      </c>
      <c r="AJ290" t="str">
        <f t="shared" ref="AJ290:AJ321" si="82">"1"</f>
        <v>1</v>
      </c>
      <c r="AK290" t="s">
        <v>93</v>
      </c>
      <c r="AL290" t="s">
        <v>94</v>
      </c>
      <c r="AM290" t="s">
        <v>95</v>
      </c>
      <c r="AN290" t="str">
        <f t="shared" si="71"/>
        <v>.9700</v>
      </c>
      <c r="AO290" t="str">
        <f t="shared" si="80"/>
        <v>11.41</v>
      </c>
      <c r="AP290" t="s">
        <v>96</v>
      </c>
      <c r="AQ290" t="str">
        <f t="shared" si="81"/>
        <v>11.41</v>
      </c>
      <c r="AR290">
        <v>10</v>
      </c>
      <c r="AS290">
        <v>-9</v>
      </c>
      <c r="AT290">
        <v>1</v>
      </c>
      <c r="AU290">
        <v>107.23</v>
      </c>
      <c r="AV290">
        <v>0</v>
      </c>
      <c r="AW290">
        <v>107.23</v>
      </c>
      <c r="AX290">
        <v>-88.72</v>
      </c>
      <c r="AY290">
        <v>18.510000000000002</v>
      </c>
      <c r="AZ290">
        <v>0</v>
      </c>
    </row>
    <row r="291" spans="1:52">
      <c r="A291" t="s">
        <v>65</v>
      </c>
      <c r="B291" t="s">
        <v>66</v>
      </c>
      <c r="C291" t="s">
        <v>67</v>
      </c>
      <c r="D291" t="s">
        <v>68</v>
      </c>
      <c r="E291" t="s">
        <v>69</v>
      </c>
      <c r="F291" t="s">
        <v>70</v>
      </c>
      <c r="G291" t="s">
        <v>71</v>
      </c>
      <c r="H291" t="s">
        <v>70</v>
      </c>
      <c r="I291" t="str">
        <f t="shared" si="66"/>
        <v>1010</v>
      </c>
      <c r="J291" t="str">
        <f t="shared" si="67"/>
        <v>05</v>
      </c>
      <c r="K291" t="s">
        <v>68</v>
      </c>
      <c r="L291" t="s">
        <v>72</v>
      </c>
      <c r="M291" t="s">
        <v>68</v>
      </c>
      <c r="N291" t="s">
        <v>181</v>
      </c>
      <c r="O291" t="s">
        <v>562</v>
      </c>
      <c r="P291" t="str">
        <f>"3020662662"</f>
        <v>3020662662</v>
      </c>
      <c r="R291" t="str">
        <f>"00030206626629"</f>
        <v>00030206626629</v>
      </c>
      <c r="S291" s="1">
        <v>37068</v>
      </c>
      <c r="T291" s="1">
        <v>37068</v>
      </c>
      <c r="U291" t="str">
        <f>"3020662662"</f>
        <v>3020662662</v>
      </c>
      <c r="V291" t="str">
        <f t="shared" si="78"/>
        <v>1510</v>
      </c>
      <c r="W291" t="str">
        <f t="shared" si="68"/>
        <v>11</v>
      </c>
      <c r="X291" t="s">
        <v>75</v>
      </c>
      <c r="Y291" t="s">
        <v>76</v>
      </c>
      <c r="Z291" t="s">
        <v>180</v>
      </c>
      <c r="AA291" t="s">
        <v>181</v>
      </c>
      <c r="AB291" t="s">
        <v>79</v>
      </c>
      <c r="AD291" t="s">
        <v>80</v>
      </c>
      <c r="AE291" t="s">
        <v>81</v>
      </c>
      <c r="AF291" t="s">
        <v>82</v>
      </c>
      <c r="AG291" t="s">
        <v>83</v>
      </c>
      <c r="AH291" t="s">
        <v>84</v>
      </c>
      <c r="AI291" t="str">
        <f t="shared" si="79"/>
        <v>01</v>
      </c>
      <c r="AJ291" t="str">
        <f t="shared" si="82"/>
        <v>1</v>
      </c>
      <c r="AK291" t="s">
        <v>93</v>
      </c>
      <c r="AL291" t="s">
        <v>94</v>
      </c>
      <c r="AM291" t="s">
        <v>95</v>
      </c>
      <c r="AN291" t="str">
        <f t="shared" si="71"/>
        <v>.9700</v>
      </c>
      <c r="AO291" t="str">
        <f t="shared" si="80"/>
        <v>11.41</v>
      </c>
      <c r="AP291" t="s">
        <v>96</v>
      </c>
      <c r="AQ291" t="str">
        <f t="shared" si="81"/>
        <v>11.41</v>
      </c>
      <c r="AR291">
        <v>20</v>
      </c>
      <c r="AS291">
        <v>0</v>
      </c>
      <c r="AT291">
        <v>20</v>
      </c>
      <c r="AU291">
        <v>228.18</v>
      </c>
      <c r="AV291">
        <v>27.38</v>
      </c>
      <c r="AW291">
        <v>200.8</v>
      </c>
      <c r="AX291">
        <v>0</v>
      </c>
      <c r="AY291">
        <v>200.8</v>
      </c>
      <c r="AZ291">
        <v>0</v>
      </c>
    </row>
    <row r="292" spans="1:52">
      <c r="A292" t="s">
        <v>65</v>
      </c>
      <c r="B292" t="s">
        <v>66</v>
      </c>
      <c r="C292" t="s">
        <v>67</v>
      </c>
      <c r="D292" t="s">
        <v>68</v>
      </c>
      <c r="E292" t="s">
        <v>69</v>
      </c>
      <c r="F292" t="s">
        <v>70</v>
      </c>
      <c r="G292" t="s">
        <v>71</v>
      </c>
      <c r="H292" t="s">
        <v>70</v>
      </c>
      <c r="I292" t="str">
        <f t="shared" si="66"/>
        <v>1010</v>
      </c>
      <c r="J292" t="str">
        <f t="shared" si="67"/>
        <v>05</v>
      </c>
      <c r="K292" t="s">
        <v>68</v>
      </c>
      <c r="L292" t="s">
        <v>72</v>
      </c>
      <c r="M292" t="s">
        <v>68</v>
      </c>
      <c r="N292" t="s">
        <v>181</v>
      </c>
      <c r="O292" t="s">
        <v>563</v>
      </c>
      <c r="P292" t="str">
        <f>"3020665882"</f>
        <v>3020665882</v>
      </c>
      <c r="R292" t="str">
        <f>"00030206658828"</f>
        <v>00030206658828</v>
      </c>
      <c r="S292" s="1">
        <v>38195</v>
      </c>
      <c r="T292" s="1">
        <v>38181</v>
      </c>
      <c r="U292" t="str">
        <f>"3020665882"</f>
        <v>3020665882</v>
      </c>
      <c r="V292" t="str">
        <f t="shared" si="78"/>
        <v>1510</v>
      </c>
      <c r="W292" t="str">
        <f t="shared" si="68"/>
        <v>11</v>
      </c>
      <c r="X292" t="s">
        <v>75</v>
      </c>
      <c r="Y292" t="s">
        <v>76</v>
      </c>
      <c r="Z292" t="s">
        <v>180</v>
      </c>
      <c r="AA292" t="s">
        <v>181</v>
      </c>
      <c r="AB292" t="s">
        <v>79</v>
      </c>
      <c r="AD292" t="s">
        <v>80</v>
      </c>
      <c r="AE292" t="s">
        <v>81</v>
      </c>
      <c r="AF292" t="s">
        <v>82</v>
      </c>
      <c r="AG292" t="s">
        <v>83</v>
      </c>
      <c r="AH292" t="s">
        <v>84</v>
      </c>
      <c r="AI292" t="str">
        <f t="shared" si="79"/>
        <v>01</v>
      </c>
      <c r="AJ292" t="str">
        <f t="shared" si="82"/>
        <v>1</v>
      </c>
      <c r="AK292" t="s">
        <v>93</v>
      </c>
      <c r="AL292" t="s">
        <v>94</v>
      </c>
      <c r="AM292" t="s">
        <v>95</v>
      </c>
      <c r="AN292" t="str">
        <f t="shared" si="71"/>
        <v>.9700</v>
      </c>
      <c r="AO292" t="str">
        <f t="shared" si="80"/>
        <v>11.41</v>
      </c>
      <c r="AP292" t="s">
        <v>96</v>
      </c>
      <c r="AQ292" t="str">
        <f t="shared" si="81"/>
        <v>11.41</v>
      </c>
      <c r="AR292">
        <v>0</v>
      </c>
      <c r="AS292">
        <v>-1</v>
      </c>
      <c r="AT292">
        <v>-1</v>
      </c>
      <c r="AU292">
        <v>0</v>
      </c>
      <c r="AV292">
        <v>0</v>
      </c>
      <c r="AW292">
        <v>0</v>
      </c>
      <c r="AX292">
        <v>-10.65</v>
      </c>
      <c r="AY292">
        <v>-10.65</v>
      </c>
      <c r="AZ292">
        <v>0</v>
      </c>
    </row>
    <row r="293" spans="1:52">
      <c r="A293" t="s">
        <v>65</v>
      </c>
      <c r="B293" t="s">
        <v>66</v>
      </c>
      <c r="C293" t="s">
        <v>67</v>
      </c>
      <c r="D293" t="s">
        <v>68</v>
      </c>
      <c r="E293" t="s">
        <v>69</v>
      </c>
      <c r="F293" t="s">
        <v>70</v>
      </c>
      <c r="G293" t="s">
        <v>71</v>
      </c>
      <c r="H293" t="s">
        <v>70</v>
      </c>
      <c r="I293" t="str">
        <f t="shared" si="66"/>
        <v>1010</v>
      </c>
      <c r="J293" t="str">
        <f t="shared" si="67"/>
        <v>05</v>
      </c>
      <c r="K293" t="s">
        <v>68</v>
      </c>
      <c r="L293" t="s">
        <v>72</v>
      </c>
      <c r="M293" t="s">
        <v>68</v>
      </c>
      <c r="N293" t="s">
        <v>181</v>
      </c>
      <c r="O293" t="s">
        <v>564</v>
      </c>
      <c r="P293" t="str">
        <f>"3020671002"</f>
        <v>3020671002</v>
      </c>
      <c r="R293" t="str">
        <f>"00030206710021"</f>
        <v>00030206710021</v>
      </c>
      <c r="S293" s="1">
        <v>40722</v>
      </c>
      <c r="T293" s="1">
        <v>40722</v>
      </c>
      <c r="U293" t="str">
        <f>"3020671002"</f>
        <v>3020671002</v>
      </c>
      <c r="V293" t="str">
        <f t="shared" si="78"/>
        <v>1510</v>
      </c>
      <c r="W293" t="str">
        <f t="shared" si="68"/>
        <v>11</v>
      </c>
      <c r="X293" t="s">
        <v>75</v>
      </c>
      <c r="Y293" t="s">
        <v>76</v>
      </c>
      <c r="Z293" t="s">
        <v>180</v>
      </c>
      <c r="AA293" t="s">
        <v>181</v>
      </c>
      <c r="AB293" t="s">
        <v>79</v>
      </c>
      <c r="AD293" t="s">
        <v>80</v>
      </c>
      <c r="AE293" t="s">
        <v>81</v>
      </c>
      <c r="AF293" t="s">
        <v>82</v>
      </c>
      <c r="AG293" t="s">
        <v>83</v>
      </c>
      <c r="AH293" t="s">
        <v>84</v>
      </c>
      <c r="AI293" t="str">
        <f t="shared" si="79"/>
        <v>01</v>
      </c>
      <c r="AJ293" t="str">
        <f t="shared" si="82"/>
        <v>1</v>
      </c>
      <c r="AK293" t="s">
        <v>93</v>
      </c>
      <c r="AL293" t="s">
        <v>94</v>
      </c>
      <c r="AM293" t="s">
        <v>95</v>
      </c>
      <c r="AN293" t="str">
        <f t="shared" si="71"/>
        <v>.9700</v>
      </c>
      <c r="AO293" t="str">
        <f t="shared" si="80"/>
        <v>11.41</v>
      </c>
      <c r="AP293" t="s">
        <v>96</v>
      </c>
      <c r="AQ293" t="str">
        <f t="shared" si="81"/>
        <v>11.41</v>
      </c>
      <c r="AR293">
        <v>0</v>
      </c>
      <c r="AS293">
        <v>-4</v>
      </c>
      <c r="AT293">
        <v>-4</v>
      </c>
      <c r="AU293">
        <v>0</v>
      </c>
      <c r="AV293">
        <v>0</v>
      </c>
      <c r="AW293">
        <v>0</v>
      </c>
      <c r="AX293">
        <v>-40.11</v>
      </c>
      <c r="AY293">
        <v>-40.11</v>
      </c>
      <c r="AZ293">
        <v>0</v>
      </c>
    </row>
    <row r="294" spans="1:52">
      <c r="A294" t="s">
        <v>65</v>
      </c>
      <c r="B294" t="s">
        <v>66</v>
      </c>
      <c r="C294" t="s">
        <v>67</v>
      </c>
      <c r="D294" t="s">
        <v>68</v>
      </c>
      <c r="E294" t="s">
        <v>69</v>
      </c>
      <c r="F294" t="s">
        <v>70</v>
      </c>
      <c r="G294" t="s">
        <v>71</v>
      </c>
      <c r="H294" t="s">
        <v>70</v>
      </c>
      <c r="I294" t="str">
        <f t="shared" si="66"/>
        <v>1010</v>
      </c>
      <c r="J294" t="str">
        <f t="shared" si="67"/>
        <v>05</v>
      </c>
      <c r="K294" t="s">
        <v>68</v>
      </c>
      <c r="L294" t="s">
        <v>72</v>
      </c>
      <c r="M294" t="s">
        <v>68</v>
      </c>
      <c r="N294" t="s">
        <v>181</v>
      </c>
      <c r="O294" t="s">
        <v>565</v>
      </c>
      <c r="P294" t="str">
        <f>"3020670212"</f>
        <v>3020670212</v>
      </c>
      <c r="R294" t="str">
        <f>"00030206702125"</f>
        <v>00030206702125</v>
      </c>
      <c r="S294" s="1">
        <v>40309</v>
      </c>
      <c r="T294" s="1">
        <v>40309</v>
      </c>
      <c r="U294" t="str">
        <f>"3020670212"</f>
        <v>3020670212</v>
      </c>
      <c r="V294" t="str">
        <f t="shared" si="78"/>
        <v>1510</v>
      </c>
      <c r="W294" t="str">
        <f t="shared" si="68"/>
        <v>11</v>
      </c>
      <c r="X294" t="s">
        <v>75</v>
      </c>
      <c r="Y294" t="s">
        <v>76</v>
      </c>
      <c r="Z294" t="s">
        <v>180</v>
      </c>
      <c r="AA294" t="s">
        <v>181</v>
      </c>
      <c r="AB294" t="s">
        <v>79</v>
      </c>
      <c r="AD294" t="s">
        <v>80</v>
      </c>
      <c r="AE294" t="s">
        <v>81</v>
      </c>
      <c r="AF294" t="s">
        <v>82</v>
      </c>
      <c r="AG294" t="s">
        <v>83</v>
      </c>
      <c r="AH294" t="s">
        <v>84</v>
      </c>
      <c r="AI294" t="str">
        <f t="shared" si="79"/>
        <v>01</v>
      </c>
      <c r="AJ294" t="str">
        <f t="shared" si="82"/>
        <v>1</v>
      </c>
      <c r="AK294" t="s">
        <v>93</v>
      </c>
      <c r="AL294" t="s">
        <v>94</v>
      </c>
      <c r="AM294" t="s">
        <v>95</v>
      </c>
      <c r="AN294" t="str">
        <f t="shared" si="71"/>
        <v>.9700</v>
      </c>
      <c r="AO294" t="str">
        <f t="shared" si="80"/>
        <v>11.41</v>
      </c>
      <c r="AP294" t="s">
        <v>96</v>
      </c>
      <c r="AQ294" t="str">
        <f t="shared" si="81"/>
        <v>11.41</v>
      </c>
      <c r="AR294">
        <v>1</v>
      </c>
      <c r="AS294">
        <v>0</v>
      </c>
      <c r="AT294">
        <v>1</v>
      </c>
      <c r="AU294">
        <v>11.41</v>
      </c>
      <c r="AV294">
        <v>0</v>
      </c>
      <c r="AW294">
        <v>11.41</v>
      </c>
      <c r="AX294">
        <v>0</v>
      </c>
      <c r="AY294">
        <v>11.41</v>
      </c>
      <c r="AZ294">
        <v>0</v>
      </c>
    </row>
    <row r="295" spans="1:52">
      <c r="A295" t="s">
        <v>65</v>
      </c>
      <c r="B295" t="s">
        <v>66</v>
      </c>
      <c r="C295" t="s">
        <v>67</v>
      </c>
      <c r="D295" t="s">
        <v>68</v>
      </c>
      <c r="E295" t="s">
        <v>69</v>
      </c>
      <c r="F295" t="s">
        <v>70</v>
      </c>
      <c r="G295" t="s">
        <v>71</v>
      </c>
      <c r="H295" t="s">
        <v>70</v>
      </c>
      <c r="I295" t="str">
        <f t="shared" si="66"/>
        <v>1010</v>
      </c>
      <c r="J295" t="str">
        <f t="shared" si="67"/>
        <v>05</v>
      </c>
      <c r="K295" t="s">
        <v>68</v>
      </c>
      <c r="L295" t="s">
        <v>72</v>
      </c>
      <c r="M295" t="s">
        <v>68</v>
      </c>
      <c r="N295" t="s">
        <v>181</v>
      </c>
      <c r="O295" t="s">
        <v>566</v>
      </c>
      <c r="P295" t="str">
        <f>"3020668642"</f>
        <v>3020668642</v>
      </c>
      <c r="R295" t="str">
        <f>"00030206686425"</f>
        <v>00030206686425</v>
      </c>
      <c r="S295" s="1">
        <v>39399</v>
      </c>
      <c r="T295" s="1">
        <v>39399</v>
      </c>
      <c r="U295" t="str">
        <f>"3020668642"</f>
        <v>3020668642</v>
      </c>
      <c r="V295" t="str">
        <f t="shared" si="78"/>
        <v>1510</v>
      </c>
      <c r="W295" t="str">
        <f t="shared" si="68"/>
        <v>11</v>
      </c>
      <c r="X295" t="s">
        <v>75</v>
      </c>
      <c r="Y295" t="s">
        <v>76</v>
      </c>
      <c r="Z295" t="s">
        <v>180</v>
      </c>
      <c r="AA295" t="s">
        <v>181</v>
      </c>
      <c r="AB295" t="s">
        <v>79</v>
      </c>
      <c r="AD295" t="s">
        <v>80</v>
      </c>
      <c r="AE295" t="s">
        <v>81</v>
      </c>
      <c r="AF295" t="s">
        <v>82</v>
      </c>
      <c r="AG295" t="s">
        <v>83</v>
      </c>
      <c r="AH295" t="s">
        <v>84</v>
      </c>
      <c r="AI295" t="str">
        <f t="shared" si="79"/>
        <v>01</v>
      </c>
      <c r="AJ295" t="str">
        <f t="shared" si="82"/>
        <v>1</v>
      </c>
      <c r="AK295" t="s">
        <v>93</v>
      </c>
      <c r="AL295" t="s">
        <v>94</v>
      </c>
      <c r="AM295" t="s">
        <v>95</v>
      </c>
      <c r="AN295" t="str">
        <f t="shared" si="71"/>
        <v>.9700</v>
      </c>
      <c r="AO295" t="str">
        <f t="shared" si="80"/>
        <v>11.41</v>
      </c>
      <c r="AP295" t="s">
        <v>96</v>
      </c>
      <c r="AQ295" t="str">
        <f t="shared" si="81"/>
        <v>11.41</v>
      </c>
      <c r="AR295">
        <v>4</v>
      </c>
      <c r="AS295">
        <v>0</v>
      </c>
      <c r="AT295">
        <v>4</v>
      </c>
      <c r="AU295">
        <v>42.73</v>
      </c>
      <c r="AV295">
        <v>4.1100000000000003</v>
      </c>
      <c r="AW295">
        <v>38.619999999999997</v>
      </c>
      <c r="AX295">
        <v>0</v>
      </c>
      <c r="AY295">
        <v>38.619999999999997</v>
      </c>
      <c r="AZ295">
        <v>0</v>
      </c>
    </row>
    <row r="296" spans="1:52">
      <c r="A296" t="s">
        <v>65</v>
      </c>
      <c r="B296" t="s">
        <v>66</v>
      </c>
      <c r="C296" t="s">
        <v>67</v>
      </c>
      <c r="D296" t="s">
        <v>68</v>
      </c>
      <c r="E296" t="s">
        <v>69</v>
      </c>
      <c r="F296" t="s">
        <v>70</v>
      </c>
      <c r="G296" t="s">
        <v>71</v>
      </c>
      <c r="H296" t="s">
        <v>70</v>
      </c>
      <c r="I296" t="str">
        <f t="shared" si="66"/>
        <v>1010</v>
      </c>
      <c r="J296" t="str">
        <f t="shared" si="67"/>
        <v>05</v>
      </c>
      <c r="K296" t="s">
        <v>68</v>
      </c>
      <c r="L296" t="s">
        <v>72</v>
      </c>
      <c r="M296" t="s">
        <v>68</v>
      </c>
      <c r="N296" t="s">
        <v>181</v>
      </c>
      <c r="O296" t="s">
        <v>567</v>
      </c>
      <c r="P296" t="str">
        <f>"3020671032"</f>
        <v>3020671032</v>
      </c>
      <c r="R296" t="str">
        <f>"00030206710328"</f>
        <v>00030206710328</v>
      </c>
      <c r="S296" s="1">
        <v>40722</v>
      </c>
      <c r="T296" s="1">
        <v>40722</v>
      </c>
      <c r="U296" t="str">
        <f>"3020671032"</f>
        <v>3020671032</v>
      </c>
      <c r="V296" t="str">
        <f t="shared" si="78"/>
        <v>1510</v>
      </c>
      <c r="W296" t="str">
        <f t="shared" si="68"/>
        <v>11</v>
      </c>
      <c r="X296" t="s">
        <v>75</v>
      </c>
      <c r="Y296" t="s">
        <v>76</v>
      </c>
      <c r="Z296" t="s">
        <v>180</v>
      </c>
      <c r="AA296" t="s">
        <v>181</v>
      </c>
      <c r="AB296" t="s">
        <v>79</v>
      </c>
      <c r="AD296" t="s">
        <v>80</v>
      </c>
      <c r="AE296" t="s">
        <v>81</v>
      </c>
      <c r="AF296" t="s">
        <v>82</v>
      </c>
      <c r="AG296" t="s">
        <v>83</v>
      </c>
      <c r="AH296" t="s">
        <v>84</v>
      </c>
      <c r="AI296" t="str">
        <f t="shared" si="79"/>
        <v>01</v>
      </c>
      <c r="AJ296" t="str">
        <f t="shared" si="82"/>
        <v>1</v>
      </c>
      <c r="AK296" t="s">
        <v>93</v>
      </c>
      <c r="AL296" t="s">
        <v>94</v>
      </c>
      <c r="AM296" t="s">
        <v>95</v>
      </c>
      <c r="AN296" t="str">
        <f t="shared" si="71"/>
        <v>.9700</v>
      </c>
      <c r="AO296" t="str">
        <f t="shared" si="80"/>
        <v>11.41</v>
      </c>
      <c r="AP296" t="s">
        <v>96</v>
      </c>
      <c r="AQ296" t="str">
        <f t="shared" si="81"/>
        <v>11.41</v>
      </c>
      <c r="AR296">
        <v>6</v>
      </c>
      <c r="AS296">
        <v>0</v>
      </c>
      <c r="AT296">
        <v>6</v>
      </c>
      <c r="AU296">
        <v>65.489999999999995</v>
      </c>
      <c r="AV296">
        <v>0</v>
      </c>
      <c r="AW296">
        <v>65.489999999999995</v>
      </c>
      <c r="AX296">
        <v>0</v>
      </c>
      <c r="AY296">
        <v>65.489999999999995</v>
      </c>
      <c r="AZ296">
        <v>0</v>
      </c>
    </row>
    <row r="297" spans="1:52">
      <c r="A297" t="s">
        <v>65</v>
      </c>
      <c r="B297" t="s">
        <v>66</v>
      </c>
      <c r="C297" t="s">
        <v>67</v>
      </c>
      <c r="D297" t="s">
        <v>68</v>
      </c>
      <c r="E297" t="s">
        <v>69</v>
      </c>
      <c r="F297" t="s">
        <v>70</v>
      </c>
      <c r="G297" t="s">
        <v>71</v>
      </c>
      <c r="H297" t="s">
        <v>70</v>
      </c>
      <c r="I297" t="str">
        <f t="shared" si="66"/>
        <v>1010</v>
      </c>
      <c r="J297" t="str">
        <f t="shared" si="67"/>
        <v>05</v>
      </c>
      <c r="K297" t="s">
        <v>68</v>
      </c>
      <c r="L297" t="s">
        <v>72</v>
      </c>
      <c r="M297" t="s">
        <v>68</v>
      </c>
      <c r="N297" t="s">
        <v>181</v>
      </c>
      <c r="O297" t="s">
        <v>568</v>
      </c>
      <c r="P297" t="str">
        <f>"3020666902"</f>
        <v>3020666902</v>
      </c>
      <c r="R297" t="str">
        <f>"00030206669022"</f>
        <v>00030206669022</v>
      </c>
      <c r="S297" s="1">
        <v>38741</v>
      </c>
      <c r="T297" s="1">
        <v>38741</v>
      </c>
      <c r="U297" t="str">
        <f>"3020666902"</f>
        <v>3020666902</v>
      </c>
      <c r="V297" t="str">
        <f t="shared" si="78"/>
        <v>1510</v>
      </c>
      <c r="W297" t="str">
        <f t="shared" si="68"/>
        <v>11</v>
      </c>
      <c r="X297" t="s">
        <v>75</v>
      </c>
      <c r="Y297" t="s">
        <v>76</v>
      </c>
      <c r="Z297" t="s">
        <v>180</v>
      </c>
      <c r="AA297" t="s">
        <v>181</v>
      </c>
      <c r="AB297" t="s">
        <v>79</v>
      </c>
      <c r="AD297" t="s">
        <v>80</v>
      </c>
      <c r="AE297" t="s">
        <v>81</v>
      </c>
      <c r="AF297" t="s">
        <v>82</v>
      </c>
      <c r="AG297" t="s">
        <v>83</v>
      </c>
      <c r="AH297" t="s">
        <v>84</v>
      </c>
      <c r="AI297" t="str">
        <f t="shared" si="79"/>
        <v>01</v>
      </c>
      <c r="AJ297" t="str">
        <f t="shared" si="82"/>
        <v>1</v>
      </c>
      <c r="AK297" t="s">
        <v>93</v>
      </c>
      <c r="AL297" t="s">
        <v>94</v>
      </c>
      <c r="AM297" t="s">
        <v>95</v>
      </c>
      <c r="AN297" t="str">
        <f t="shared" si="71"/>
        <v>.9700</v>
      </c>
      <c r="AO297" t="str">
        <f t="shared" si="80"/>
        <v>11.41</v>
      </c>
      <c r="AP297" t="s">
        <v>96</v>
      </c>
      <c r="AQ297" t="str">
        <f t="shared" si="81"/>
        <v>11.41</v>
      </c>
      <c r="AR297">
        <v>2</v>
      </c>
      <c r="AS297">
        <v>0</v>
      </c>
      <c r="AT297">
        <v>2</v>
      </c>
      <c r="AU297">
        <v>22.82</v>
      </c>
      <c r="AV297">
        <v>2.74</v>
      </c>
      <c r="AW297">
        <v>20.079999999999998</v>
      </c>
      <c r="AX297">
        <v>0</v>
      </c>
      <c r="AY297">
        <v>20.079999999999998</v>
      </c>
      <c r="AZ297">
        <v>0</v>
      </c>
    </row>
    <row r="298" spans="1:52">
      <c r="A298" t="s">
        <v>65</v>
      </c>
      <c r="B298" t="s">
        <v>66</v>
      </c>
      <c r="C298" t="s">
        <v>67</v>
      </c>
      <c r="D298" t="s">
        <v>68</v>
      </c>
      <c r="E298" t="s">
        <v>69</v>
      </c>
      <c r="F298" t="s">
        <v>70</v>
      </c>
      <c r="G298" t="s">
        <v>71</v>
      </c>
      <c r="H298" t="s">
        <v>70</v>
      </c>
      <c r="I298" t="str">
        <f t="shared" si="66"/>
        <v>1010</v>
      </c>
      <c r="J298" t="str">
        <f t="shared" si="67"/>
        <v>05</v>
      </c>
      <c r="K298" t="s">
        <v>68</v>
      </c>
      <c r="L298" t="s">
        <v>72</v>
      </c>
      <c r="M298" t="s">
        <v>68</v>
      </c>
      <c r="N298" t="s">
        <v>181</v>
      </c>
      <c r="O298" t="s">
        <v>569</v>
      </c>
      <c r="P298" t="str">
        <f>"3020672728"</f>
        <v>3020672728</v>
      </c>
      <c r="R298" t="str">
        <f>"00030206727289"</f>
        <v>00030206727289</v>
      </c>
      <c r="S298" s="1">
        <v>41744</v>
      </c>
      <c r="T298" s="1">
        <v>41744</v>
      </c>
      <c r="U298" t="str">
        <f>"3020672728"</f>
        <v>3020672728</v>
      </c>
      <c r="V298" t="str">
        <f>"1010"</f>
        <v>1010</v>
      </c>
      <c r="W298" t="str">
        <f t="shared" si="68"/>
        <v>11</v>
      </c>
      <c r="X298" t="s">
        <v>75</v>
      </c>
      <c r="Y298" t="s">
        <v>139</v>
      </c>
      <c r="Z298" t="s">
        <v>180</v>
      </c>
      <c r="AA298" t="s">
        <v>181</v>
      </c>
      <c r="AB298" t="s">
        <v>79</v>
      </c>
      <c r="AD298" t="s">
        <v>80</v>
      </c>
      <c r="AE298" t="s">
        <v>81</v>
      </c>
      <c r="AF298" t="s">
        <v>82</v>
      </c>
      <c r="AG298" t="s">
        <v>83</v>
      </c>
      <c r="AH298" t="s">
        <v>84</v>
      </c>
      <c r="AI298" t="str">
        <f t="shared" si="79"/>
        <v>01</v>
      </c>
      <c r="AJ298" t="str">
        <f t="shared" si="82"/>
        <v>1</v>
      </c>
      <c r="AK298" t="s">
        <v>93</v>
      </c>
      <c r="AL298" t="s">
        <v>143</v>
      </c>
      <c r="AM298" t="s">
        <v>95</v>
      </c>
      <c r="AN298" t="str">
        <f t="shared" si="71"/>
        <v>.9700</v>
      </c>
      <c r="AO298" t="str">
        <f t="shared" si="80"/>
        <v>11.41</v>
      </c>
      <c r="AP298" t="s">
        <v>96</v>
      </c>
      <c r="AQ298" t="str">
        <f t="shared" si="81"/>
        <v>11.41</v>
      </c>
      <c r="AR298">
        <v>17</v>
      </c>
      <c r="AS298">
        <v>-4</v>
      </c>
      <c r="AT298">
        <v>13</v>
      </c>
      <c r="AU298">
        <v>170.69</v>
      </c>
      <c r="AV298">
        <v>0</v>
      </c>
      <c r="AW298">
        <v>170.69</v>
      </c>
      <c r="AX298">
        <v>-39.68</v>
      </c>
      <c r="AY298">
        <v>131.01</v>
      </c>
      <c r="AZ298">
        <v>0</v>
      </c>
    </row>
    <row r="299" spans="1:52">
      <c r="A299" t="s">
        <v>65</v>
      </c>
      <c r="B299" t="s">
        <v>66</v>
      </c>
      <c r="C299" t="s">
        <v>67</v>
      </c>
      <c r="D299" t="s">
        <v>68</v>
      </c>
      <c r="E299" t="s">
        <v>69</v>
      </c>
      <c r="F299" t="s">
        <v>70</v>
      </c>
      <c r="G299" t="s">
        <v>71</v>
      </c>
      <c r="H299" t="s">
        <v>70</v>
      </c>
      <c r="I299" t="str">
        <f t="shared" si="66"/>
        <v>1010</v>
      </c>
      <c r="J299" t="str">
        <f t="shared" si="67"/>
        <v>05</v>
      </c>
      <c r="K299" t="s">
        <v>68</v>
      </c>
      <c r="L299" t="s">
        <v>72</v>
      </c>
      <c r="M299" t="s">
        <v>68</v>
      </c>
      <c r="N299" t="s">
        <v>181</v>
      </c>
      <c r="O299" t="s">
        <v>570</v>
      </c>
      <c r="P299" t="str">
        <f>"3020664352"</f>
        <v>3020664352</v>
      </c>
      <c r="R299" t="str">
        <f>"00030206643527"</f>
        <v>00030206643527</v>
      </c>
      <c r="S299" s="1">
        <v>37677</v>
      </c>
      <c r="T299" s="1">
        <v>37649</v>
      </c>
      <c r="U299" t="str">
        <f>"3020664352"</f>
        <v>3020664352</v>
      </c>
      <c r="V299" t="str">
        <f>"1510"</f>
        <v>1510</v>
      </c>
      <c r="W299" t="str">
        <f t="shared" si="68"/>
        <v>11</v>
      </c>
      <c r="X299" t="s">
        <v>75</v>
      </c>
      <c r="Y299" t="s">
        <v>76</v>
      </c>
      <c r="Z299" t="s">
        <v>180</v>
      </c>
      <c r="AA299" t="s">
        <v>181</v>
      </c>
      <c r="AB299" t="s">
        <v>79</v>
      </c>
      <c r="AD299" t="s">
        <v>80</v>
      </c>
      <c r="AE299" t="s">
        <v>81</v>
      </c>
      <c r="AF299" t="s">
        <v>82</v>
      </c>
      <c r="AG299" t="s">
        <v>83</v>
      </c>
      <c r="AH299" t="s">
        <v>84</v>
      </c>
      <c r="AI299" t="str">
        <f t="shared" si="79"/>
        <v>01</v>
      </c>
      <c r="AJ299" t="str">
        <f t="shared" si="82"/>
        <v>1</v>
      </c>
      <c r="AK299" t="s">
        <v>93</v>
      </c>
      <c r="AL299" t="s">
        <v>94</v>
      </c>
      <c r="AM299" t="s">
        <v>95</v>
      </c>
      <c r="AN299" t="str">
        <f t="shared" si="71"/>
        <v>.9700</v>
      </c>
      <c r="AO299" t="str">
        <f t="shared" si="80"/>
        <v>11.41</v>
      </c>
      <c r="AP299" t="s">
        <v>96</v>
      </c>
      <c r="AQ299" t="str">
        <f t="shared" si="81"/>
        <v>11.41</v>
      </c>
      <c r="AR299">
        <v>7</v>
      </c>
      <c r="AS299">
        <v>0</v>
      </c>
      <c r="AT299">
        <v>7</v>
      </c>
      <c r="AU299">
        <v>79.86</v>
      </c>
      <c r="AV299">
        <v>9.58</v>
      </c>
      <c r="AW299">
        <v>70.28</v>
      </c>
      <c r="AX299">
        <v>0</v>
      </c>
      <c r="AY299">
        <v>70.28</v>
      </c>
      <c r="AZ299">
        <v>0</v>
      </c>
    </row>
    <row r="300" spans="1:52">
      <c r="A300" t="s">
        <v>65</v>
      </c>
      <c r="B300" t="s">
        <v>66</v>
      </c>
      <c r="C300" t="s">
        <v>67</v>
      </c>
      <c r="D300" t="s">
        <v>68</v>
      </c>
      <c r="E300" t="s">
        <v>69</v>
      </c>
      <c r="F300" t="s">
        <v>70</v>
      </c>
      <c r="G300" t="s">
        <v>71</v>
      </c>
      <c r="H300" t="s">
        <v>70</v>
      </c>
      <c r="I300" t="str">
        <f t="shared" si="66"/>
        <v>1010</v>
      </c>
      <c r="J300" t="str">
        <f t="shared" si="67"/>
        <v>05</v>
      </c>
      <c r="K300" t="s">
        <v>68</v>
      </c>
      <c r="L300" t="s">
        <v>72</v>
      </c>
      <c r="M300" t="s">
        <v>68</v>
      </c>
      <c r="N300" t="s">
        <v>181</v>
      </c>
      <c r="O300" t="s">
        <v>571</v>
      </c>
      <c r="P300" t="str">
        <f>"3020672518"</f>
        <v>3020672518</v>
      </c>
      <c r="R300" t="str">
        <f>"00030206725186"</f>
        <v>00030206725186</v>
      </c>
      <c r="S300" s="1">
        <v>41701</v>
      </c>
      <c r="T300" s="1">
        <v>41695</v>
      </c>
      <c r="U300" t="str">
        <f>"3020672518"</f>
        <v>3020672518</v>
      </c>
      <c r="V300" t="str">
        <f>"1010"</f>
        <v>1010</v>
      </c>
      <c r="W300" t="str">
        <f t="shared" si="68"/>
        <v>11</v>
      </c>
      <c r="X300" t="s">
        <v>75</v>
      </c>
      <c r="Y300" t="s">
        <v>139</v>
      </c>
      <c r="Z300" t="s">
        <v>180</v>
      </c>
      <c r="AA300" t="s">
        <v>181</v>
      </c>
      <c r="AB300" t="s">
        <v>79</v>
      </c>
      <c r="AD300" t="s">
        <v>80</v>
      </c>
      <c r="AE300" t="s">
        <v>81</v>
      </c>
      <c r="AF300" t="s">
        <v>82</v>
      </c>
      <c r="AG300" t="s">
        <v>83</v>
      </c>
      <c r="AH300" t="s">
        <v>84</v>
      </c>
      <c r="AJ300" t="str">
        <f t="shared" si="82"/>
        <v>1</v>
      </c>
      <c r="AK300" t="s">
        <v>93</v>
      </c>
      <c r="AL300" t="s">
        <v>143</v>
      </c>
      <c r="AM300" t="s">
        <v>95</v>
      </c>
      <c r="AN300" t="str">
        <f t="shared" si="71"/>
        <v>.9700</v>
      </c>
      <c r="AO300" t="str">
        <f t="shared" si="80"/>
        <v>11.41</v>
      </c>
      <c r="AP300" t="s">
        <v>96</v>
      </c>
      <c r="AQ300" t="str">
        <f t="shared" si="81"/>
        <v>11.41</v>
      </c>
      <c r="AR300">
        <v>0</v>
      </c>
      <c r="AS300">
        <v>-13</v>
      </c>
      <c r="AT300">
        <v>-13</v>
      </c>
      <c r="AU300">
        <v>0</v>
      </c>
      <c r="AV300">
        <v>0</v>
      </c>
      <c r="AW300">
        <v>0</v>
      </c>
      <c r="AX300">
        <v>-129.41</v>
      </c>
      <c r="AY300">
        <v>-129.41</v>
      </c>
      <c r="AZ300">
        <v>0</v>
      </c>
    </row>
    <row r="301" spans="1:52">
      <c r="A301" t="s">
        <v>65</v>
      </c>
      <c r="B301" t="s">
        <v>66</v>
      </c>
      <c r="C301" t="s">
        <v>67</v>
      </c>
      <c r="D301" t="s">
        <v>68</v>
      </c>
      <c r="E301" t="s">
        <v>69</v>
      </c>
      <c r="F301" t="s">
        <v>70</v>
      </c>
      <c r="G301" t="s">
        <v>71</v>
      </c>
      <c r="H301" t="s">
        <v>70</v>
      </c>
      <c r="I301" t="str">
        <f t="shared" si="66"/>
        <v>1010</v>
      </c>
      <c r="J301" t="str">
        <f t="shared" si="67"/>
        <v>05</v>
      </c>
      <c r="K301" t="s">
        <v>68</v>
      </c>
      <c r="L301" t="s">
        <v>72</v>
      </c>
      <c r="M301" t="s">
        <v>68</v>
      </c>
      <c r="N301" t="s">
        <v>181</v>
      </c>
      <c r="O301" t="s">
        <v>572</v>
      </c>
      <c r="P301" t="str">
        <f>"3020672638"</f>
        <v>3020672638</v>
      </c>
      <c r="R301" t="str">
        <f>"00030206726381"</f>
        <v>00030206726381</v>
      </c>
      <c r="S301" s="1">
        <v>41751</v>
      </c>
      <c r="T301" s="1">
        <v>41744</v>
      </c>
      <c r="U301" t="str">
        <f>"3020672638"</f>
        <v>3020672638</v>
      </c>
      <c r="V301" t="str">
        <f>"1010"</f>
        <v>1010</v>
      </c>
      <c r="W301" t="str">
        <f t="shared" si="68"/>
        <v>11</v>
      </c>
      <c r="X301" t="s">
        <v>75</v>
      </c>
      <c r="Y301" t="s">
        <v>139</v>
      </c>
      <c r="Z301" t="s">
        <v>180</v>
      </c>
      <c r="AA301" t="s">
        <v>181</v>
      </c>
      <c r="AB301" t="s">
        <v>79</v>
      </c>
      <c r="AD301" t="s">
        <v>80</v>
      </c>
      <c r="AE301" t="s">
        <v>81</v>
      </c>
      <c r="AF301" t="s">
        <v>82</v>
      </c>
      <c r="AG301" t="s">
        <v>83</v>
      </c>
      <c r="AH301" t="s">
        <v>84</v>
      </c>
      <c r="AJ301" t="str">
        <f t="shared" si="82"/>
        <v>1</v>
      </c>
      <c r="AK301" t="s">
        <v>101</v>
      </c>
      <c r="AL301" t="s">
        <v>143</v>
      </c>
      <c r="AM301" t="s">
        <v>95</v>
      </c>
      <c r="AN301" t="str">
        <f t="shared" si="71"/>
        <v>.9700</v>
      </c>
      <c r="AO301" t="str">
        <f>"9.07"</f>
        <v>9.07</v>
      </c>
      <c r="AP301" t="s">
        <v>102</v>
      </c>
      <c r="AQ301" t="str">
        <f>"9.07"</f>
        <v>9.07</v>
      </c>
      <c r="AR301">
        <v>2</v>
      </c>
      <c r="AS301">
        <v>-1</v>
      </c>
      <c r="AT301">
        <v>1</v>
      </c>
      <c r="AU301">
        <v>18.14</v>
      </c>
      <c r="AV301">
        <v>0</v>
      </c>
      <c r="AW301">
        <v>18.14</v>
      </c>
      <c r="AX301">
        <v>-7.81</v>
      </c>
      <c r="AY301">
        <v>10.33</v>
      </c>
      <c r="AZ301">
        <v>0</v>
      </c>
    </row>
    <row r="302" spans="1:52">
      <c r="A302" t="s">
        <v>65</v>
      </c>
      <c r="B302" t="s">
        <v>66</v>
      </c>
      <c r="C302" t="s">
        <v>67</v>
      </c>
      <c r="D302" t="s">
        <v>68</v>
      </c>
      <c r="E302" t="s">
        <v>69</v>
      </c>
      <c r="F302" t="s">
        <v>70</v>
      </c>
      <c r="G302" t="s">
        <v>71</v>
      </c>
      <c r="H302" t="s">
        <v>70</v>
      </c>
      <c r="I302" t="str">
        <f t="shared" si="66"/>
        <v>1010</v>
      </c>
      <c r="J302" t="str">
        <f t="shared" si="67"/>
        <v>05</v>
      </c>
      <c r="K302" t="s">
        <v>68</v>
      </c>
      <c r="L302" t="s">
        <v>72</v>
      </c>
      <c r="M302" t="s">
        <v>68</v>
      </c>
      <c r="N302" t="s">
        <v>181</v>
      </c>
      <c r="O302" t="s">
        <v>573</v>
      </c>
      <c r="P302" t="str">
        <f>"3020672408"</f>
        <v>3020672408</v>
      </c>
      <c r="R302" t="str">
        <f>"00030206724080"</f>
        <v>00030206724080</v>
      </c>
      <c r="S302" s="1">
        <v>41653</v>
      </c>
      <c r="T302" s="1">
        <v>41618</v>
      </c>
      <c r="U302" t="str">
        <f>"3020672408"</f>
        <v>3020672408</v>
      </c>
      <c r="V302" t="str">
        <f>"1010"</f>
        <v>1010</v>
      </c>
      <c r="W302" t="str">
        <f t="shared" si="68"/>
        <v>11</v>
      </c>
      <c r="X302" t="s">
        <v>75</v>
      </c>
      <c r="Y302" t="s">
        <v>139</v>
      </c>
      <c r="Z302" t="s">
        <v>180</v>
      </c>
      <c r="AA302" t="s">
        <v>181</v>
      </c>
      <c r="AB302" t="s">
        <v>79</v>
      </c>
      <c r="AD302" t="s">
        <v>80</v>
      </c>
      <c r="AE302" t="s">
        <v>81</v>
      </c>
      <c r="AF302" t="s">
        <v>82</v>
      </c>
      <c r="AG302" t="s">
        <v>83</v>
      </c>
      <c r="AH302" t="s">
        <v>84</v>
      </c>
      <c r="AJ302" t="str">
        <f t="shared" si="82"/>
        <v>1</v>
      </c>
      <c r="AK302" t="s">
        <v>93</v>
      </c>
      <c r="AL302" t="s">
        <v>143</v>
      </c>
      <c r="AM302" t="s">
        <v>95</v>
      </c>
      <c r="AN302" t="str">
        <f t="shared" si="71"/>
        <v>.9700</v>
      </c>
      <c r="AO302" t="str">
        <f>"11.41"</f>
        <v>11.41</v>
      </c>
      <c r="AP302" t="s">
        <v>96</v>
      </c>
      <c r="AQ302" t="str">
        <f>"11.41"</f>
        <v>11.41</v>
      </c>
      <c r="AR302">
        <v>0</v>
      </c>
      <c r="AS302">
        <v>-55</v>
      </c>
      <c r="AT302">
        <v>-55</v>
      </c>
      <c r="AU302">
        <v>0</v>
      </c>
      <c r="AV302">
        <v>0</v>
      </c>
      <c r="AW302">
        <v>0</v>
      </c>
      <c r="AX302">
        <v>-543.29999999999995</v>
      </c>
      <c r="AY302">
        <v>-543.29999999999995</v>
      </c>
      <c r="AZ302">
        <v>0</v>
      </c>
    </row>
    <row r="303" spans="1:52">
      <c r="A303" t="s">
        <v>65</v>
      </c>
      <c r="B303" t="s">
        <v>66</v>
      </c>
      <c r="C303" t="s">
        <v>67</v>
      </c>
      <c r="D303" t="s">
        <v>68</v>
      </c>
      <c r="E303" t="s">
        <v>69</v>
      </c>
      <c r="F303" t="s">
        <v>70</v>
      </c>
      <c r="G303" t="s">
        <v>71</v>
      </c>
      <c r="H303" t="s">
        <v>70</v>
      </c>
      <c r="I303" t="str">
        <f t="shared" si="66"/>
        <v>1010</v>
      </c>
      <c r="J303" t="str">
        <f t="shared" si="67"/>
        <v>05</v>
      </c>
      <c r="K303" t="s">
        <v>68</v>
      </c>
      <c r="L303" t="s">
        <v>72</v>
      </c>
      <c r="M303" t="s">
        <v>68</v>
      </c>
      <c r="N303" t="s">
        <v>181</v>
      </c>
      <c r="O303" t="s">
        <v>574</v>
      </c>
      <c r="P303" t="str">
        <f>"3020672098"</f>
        <v>3020672098</v>
      </c>
      <c r="R303" t="str">
        <f>"00030206720983"</f>
        <v>00030206720983</v>
      </c>
      <c r="S303" s="1">
        <v>41506</v>
      </c>
      <c r="T303" s="1">
        <v>41506</v>
      </c>
      <c r="U303" t="str">
        <f>"3020672098"</f>
        <v>3020672098</v>
      </c>
      <c r="V303" t="str">
        <f>"1010"</f>
        <v>1010</v>
      </c>
      <c r="W303" t="str">
        <f t="shared" si="68"/>
        <v>11</v>
      </c>
      <c r="X303" t="s">
        <v>75</v>
      </c>
      <c r="Y303" t="s">
        <v>173</v>
      </c>
      <c r="Z303" t="s">
        <v>180</v>
      </c>
      <c r="AA303" t="s">
        <v>181</v>
      </c>
      <c r="AB303" t="s">
        <v>79</v>
      </c>
      <c r="AD303" t="s">
        <v>80</v>
      </c>
      <c r="AE303" t="s">
        <v>81</v>
      </c>
      <c r="AF303" t="s">
        <v>82</v>
      </c>
      <c r="AG303" t="s">
        <v>83</v>
      </c>
      <c r="AH303" t="s">
        <v>84</v>
      </c>
      <c r="AJ303" t="str">
        <f t="shared" si="82"/>
        <v>1</v>
      </c>
      <c r="AK303" t="s">
        <v>101</v>
      </c>
      <c r="AL303" t="s">
        <v>143</v>
      </c>
      <c r="AM303" t="s">
        <v>95</v>
      </c>
      <c r="AN303" t="str">
        <f t="shared" si="71"/>
        <v>.9700</v>
      </c>
      <c r="AO303" t="str">
        <f>"9.07"</f>
        <v>9.07</v>
      </c>
      <c r="AP303" t="s">
        <v>102</v>
      </c>
      <c r="AQ303" t="str">
        <f>"9.07"</f>
        <v>9.07</v>
      </c>
      <c r="AR303">
        <v>0</v>
      </c>
      <c r="AS303">
        <v>-61</v>
      </c>
      <c r="AT303">
        <v>-61</v>
      </c>
      <c r="AU303">
        <v>0</v>
      </c>
      <c r="AV303">
        <v>0</v>
      </c>
      <c r="AW303">
        <v>0</v>
      </c>
      <c r="AX303">
        <v>-474.73</v>
      </c>
      <c r="AY303">
        <v>-474.73</v>
      </c>
      <c r="AZ303">
        <v>0</v>
      </c>
    </row>
    <row r="304" spans="1:52">
      <c r="A304" t="s">
        <v>65</v>
      </c>
      <c r="B304" t="s">
        <v>66</v>
      </c>
      <c r="C304" t="s">
        <v>67</v>
      </c>
      <c r="D304" t="s">
        <v>68</v>
      </c>
      <c r="E304" t="s">
        <v>69</v>
      </c>
      <c r="F304" t="s">
        <v>70</v>
      </c>
      <c r="G304" t="s">
        <v>71</v>
      </c>
      <c r="H304" t="s">
        <v>70</v>
      </c>
      <c r="I304" t="str">
        <f t="shared" si="66"/>
        <v>1010</v>
      </c>
      <c r="J304" t="str">
        <f t="shared" si="67"/>
        <v>05</v>
      </c>
      <c r="K304" t="s">
        <v>68</v>
      </c>
      <c r="L304" t="s">
        <v>72</v>
      </c>
      <c r="M304" t="s">
        <v>68</v>
      </c>
      <c r="N304" t="s">
        <v>181</v>
      </c>
      <c r="O304" t="s">
        <v>575</v>
      </c>
      <c r="P304" t="s">
        <v>576</v>
      </c>
      <c r="R304" t="str">
        <f>"00030206581621"</f>
        <v>00030206581621</v>
      </c>
      <c r="S304" s="1">
        <v>35724</v>
      </c>
      <c r="T304" s="1">
        <v>35724</v>
      </c>
      <c r="U304" t="s">
        <v>576</v>
      </c>
      <c r="V304" t="str">
        <f>"1510"</f>
        <v>1510</v>
      </c>
      <c r="W304" t="str">
        <f t="shared" si="68"/>
        <v>11</v>
      </c>
      <c r="X304" t="s">
        <v>75</v>
      </c>
      <c r="Y304" t="s">
        <v>76</v>
      </c>
      <c r="Z304" t="s">
        <v>180</v>
      </c>
      <c r="AA304" t="s">
        <v>181</v>
      </c>
      <c r="AB304" t="s">
        <v>79</v>
      </c>
      <c r="AD304" t="s">
        <v>80</v>
      </c>
      <c r="AE304" t="s">
        <v>81</v>
      </c>
      <c r="AF304" t="s">
        <v>82</v>
      </c>
      <c r="AG304" t="s">
        <v>83</v>
      </c>
      <c r="AH304" t="s">
        <v>84</v>
      </c>
      <c r="AI304" t="str">
        <f>"01"</f>
        <v>01</v>
      </c>
      <c r="AJ304" t="str">
        <f t="shared" si="82"/>
        <v>1</v>
      </c>
      <c r="AK304" t="s">
        <v>107</v>
      </c>
      <c r="AL304" t="s">
        <v>94</v>
      </c>
      <c r="AM304" t="s">
        <v>95</v>
      </c>
      <c r="AN304" t="str">
        <f t="shared" si="71"/>
        <v>.9700</v>
      </c>
      <c r="AO304" t="str">
        <f>"10.78"</f>
        <v>10.78</v>
      </c>
      <c r="AP304" t="s">
        <v>108</v>
      </c>
      <c r="AQ304" t="str">
        <f>"10.78"</f>
        <v>10.78</v>
      </c>
      <c r="AR304">
        <v>32</v>
      </c>
      <c r="AS304">
        <v>0</v>
      </c>
      <c r="AT304">
        <v>32</v>
      </c>
      <c r="AU304">
        <v>341.44</v>
      </c>
      <c r="AV304">
        <v>41.4</v>
      </c>
      <c r="AW304">
        <v>300.04000000000002</v>
      </c>
      <c r="AX304">
        <v>0</v>
      </c>
      <c r="AY304">
        <v>300.04000000000002</v>
      </c>
      <c r="AZ304">
        <v>0</v>
      </c>
    </row>
    <row r="305" spans="1:52">
      <c r="A305" t="s">
        <v>65</v>
      </c>
      <c r="B305" t="s">
        <v>66</v>
      </c>
      <c r="C305" t="s">
        <v>67</v>
      </c>
      <c r="D305" t="s">
        <v>68</v>
      </c>
      <c r="E305" t="s">
        <v>69</v>
      </c>
      <c r="F305" t="s">
        <v>70</v>
      </c>
      <c r="G305" t="s">
        <v>71</v>
      </c>
      <c r="H305" t="s">
        <v>70</v>
      </c>
      <c r="I305" t="str">
        <f t="shared" si="66"/>
        <v>1010</v>
      </c>
      <c r="J305" t="str">
        <f t="shared" si="67"/>
        <v>05</v>
      </c>
      <c r="K305" t="s">
        <v>68</v>
      </c>
      <c r="L305" t="s">
        <v>72</v>
      </c>
      <c r="M305" t="s">
        <v>68</v>
      </c>
      <c r="N305" t="s">
        <v>181</v>
      </c>
      <c r="O305" t="s">
        <v>577</v>
      </c>
      <c r="P305" t="str">
        <f>"3020671932"</f>
        <v>3020671932</v>
      </c>
      <c r="R305" t="str">
        <f>"00030206719321"</f>
        <v>00030206719321</v>
      </c>
      <c r="S305" s="1">
        <v>41422</v>
      </c>
      <c r="T305" s="1">
        <v>41383</v>
      </c>
      <c r="U305" t="str">
        <f>"3020671932"</f>
        <v>3020671932</v>
      </c>
      <c r="V305" t="str">
        <f>"1010"</f>
        <v>1010</v>
      </c>
      <c r="W305" t="str">
        <f t="shared" si="68"/>
        <v>11</v>
      </c>
      <c r="X305" t="s">
        <v>75</v>
      </c>
      <c r="Y305" t="s">
        <v>173</v>
      </c>
      <c r="Z305" t="s">
        <v>180</v>
      </c>
      <c r="AA305" t="s">
        <v>181</v>
      </c>
      <c r="AB305" t="s">
        <v>79</v>
      </c>
      <c r="AD305" t="s">
        <v>80</v>
      </c>
      <c r="AE305" t="s">
        <v>81</v>
      </c>
      <c r="AF305" t="s">
        <v>82</v>
      </c>
      <c r="AG305" t="s">
        <v>83</v>
      </c>
      <c r="AH305" t="s">
        <v>84</v>
      </c>
      <c r="AJ305" t="str">
        <f t="shared" si="82"/>
        <v>1</v>
      </c>
      <c r="AK305" t="s">
        <v>93</v>
      </c>
      <c r="AL305" t="s">
        <v>143</v>
      </c>
      <c r="AM305" t="s">
        <v>95</v>
      </c>
      <c r="AN305" t="str">
        <f t="shared" si="71"/>
        <v>.9700</v>
      </c>
      <c r="AO305" t="str">
        <f>"11.41"</f>
        <v>11.41</v>
      </c>
      <c r="AP305" t="s">
        <v>96</v>
      </c>
      <c r="AQ305" t="str">
        <f>"11.41"</f>
        <v>11.41</v>
      </c>
      <c r="AR305">
        <v>7</v>
      </c>
      <c r="AS305">
        <v>-7</v>
      </c>
      <c r="AT305">
        <v>0</v>
      </c>
      <c r="AU305">
        <v>79.87</v>
      </c>
      <c r="AV305">
        <v>0</v>
      </c>
      <c r="AW305">
        <v>79.87</v>
      </c>
      <c r="AX305">
        <v>-71.040000000000006</v>
      </c>
      <c r="AY305">
        <v>8.8299999999999805</v>
      </c>
      <c r="AZ305">
        <v>0</v>
      </c>
    </row>
    <row r="306" spans="1:52">
      <c r="A306" t="s">
        <v>65</v>
      </c>
      <c r="B306" t="s">
        <v>66</v>
      </c>
      <c r="C306" t="s">
        <v>67</v>
      </c>
      <c r="D306" t="s">
        <v>68</v>
      </c>
      <c r="E306" t="s">
        <v>69</v>
      </c>
      <c r="F306" t="s">
        <v>70</v>
      </c>
      <c r="G306" t="s">
        <v>71</v>
      </c>
      <c r="H306" t="s">
        <v>70</v>
      </c>
      <c r="I306" t="str">
        <f t="shared" si="66"/>
        <v>1010</v>
      </c>
      <c r="J306" t="str">
        <f t="shared" si="67"/>
        <v>05</v>
      </c>
      <c r="K306" t="s">
        <v>68</v>
      </c>
      <c r="L306" t="s">
        <v>72</v>
      </c>
      <c r="M306" t="s">
        <v>68</v>
      </c>
      <c r="N306" t="s">
        <v>181</v>
      </c>
      <c r="O306" t="s">
        <v>578</v>
      </c>
      <c r="P306" t="str">
        <f>"3020671792"</f>
        <v>3020671792</v>
      </c>
      <c r="R306" t="str">
        <f>"00030206717921"</f>
        <v>00030206717921</v>
      </c>
      <c r="S306" s="1">
        <v>41310</v>
      </c>
      <c r="T306" s="1">
        <v>41296</v>
      </c>
      <c r="U306" t="str">
        <f>"3020671792"</f>
        <v>3020671792</v>
      </c>
      <c r="V306" t="str">
        <f>"1010"</f>
        <v>1010</v>
      </c>
      <c r="W306" t="str">
        <f t="shared" si="68"/>
        <v>11</v>
      </c>
      <c r="X306" t="s">
        <v>75</v>
      </c>
      <c r="Y306" t="s">
        <v>173</v>
      </c>
      <c r="Z306" t="s">
        <v>180</v>
      </c>
      <c r="AA306" t="s">
        <v>181</v>
      </c>
      <c r="AB306" t="s">
        <v>79</v>
      </c>
      <c r="AD306" t="s">
        <v>80</v>
      </c>
      <c r="AE306" t="s">
        <v>81</v>
      </c>
      <c r="AF306" t="s">
        <v>82</v>
      </c>
      <c r="AG306" t="s">
        <v>83</v>
      </c>
      <c r="AH306" t="s">
        <v>84</v>
      </c>
      <c r="AJ306" t="str">
        <f t="shared" si="82"/>
        <v>1</v>
      </c>
      <c r="AK306" t="s">
        <v>93</v>
      </c>
      <c r="AL306" t="s">
        <v>143</v>
      </c>
      <c r="AM306" t="s">
        <v>95</v>
      </c>
      <c r="AN306" t="str">
        <f t="shared" si="71"/>
        <v>.9700</v>
      </c>
      <c r="AO306" t="str">
        <f>"11.41"</f>
        <v>11.41</v>
      </c>
      <c r="AP306" t="s">
        <v>96</v>
      </c>
      <c r="AQ306" t="str">
        <f>"11.41"</f>
        <v>11.41</v>
      </c>
      <c r="AR306">
        <v>1</v>
      </c>
      <c r="AS306">
        <v>-12</v>
      </c>
      <c r="AT306">
        <v>-11</v>
      </c>
      <c r="AU306">
        <v>11.41</v>
      </c>
      <c r="AV306">
        <v>0</v>
      </c>
      <c r="AW306">
        <v>11.41</v>
      </c>
      <c r="AX306">
        <v>-116.73</v>
      </c>
      <c r="AY306">
        <v>-105.32</v>
      </c>
      <c r="AZ306">
        <v>0</v>
      </c>
    </row>
    <row r="307" spans="1:52">
      <c r="A307" t="s">
        <v>65</v>
      </c>
      <c r="B307" t="s">
        <v>66</v>
      </c>
      <c r="C307" t="s">
        <v>67</v>
      </c>
      <c r="D307" t="s">
        <v>68</v>
      </c>
      <c r="E307" t="s">
        <v>69</v>
      </c>
      <c r="F307" t="s">
        <v>70</v>
      </c>
      <c r="G307" t="s">
        <v>71</v>
      </c>
      <c r="H307" t="s">
        <v>70</v>
      </c>
      <c r="I307" t="str">
        <f t="shared" si="66"/>
        <v>1010</v>
      </c>
      <c r="J307" t="str">
        <f t="shared" si="67"/>
        <v>05</v>
      </c>
      <c r="K307" t="s">
        <v>68</v>
      </c>
      <c r="L307" t="s">
        <v>72</v>
      </c>
      <c r="M307" t="s">
        <v>68</v>
      </c>
      <c r="N307" t="s">
        <v>181</v>
      </c>
      <c r="O307" t="s">
        <v>579</v>
      </c>
      <c r="P307" t="str">
        <f>"3020661952"</f>
        <v>3020661952</v>
      </c>
      <c r="R307" t="str">
        <f>"00030206619522"</f>
        <v>00030206619522</v>
      </c>
      <c r="S307" s="1">
        <v>36837</v>
      </c>
      <c r="T307" s="1">
        <v>36830</v>
      </c>
      <c r="U307" t="str">
        <f>"3020661952"</f>
        <v>3020661952</v>
      </c>
      <c r="V307" t="str">
        <f>"1510"</f>
        <v>1510</v>
      </c>
      <c r="W307" t="str">
        <f t="shared" si="68"/>
        <v>11</v>
      </c>
      <c r="X307" t="s">
        <v>75</v>
      </c>
      <c r="Y307" t="s">
        <v>76</v>
      </c>
      <c r="Z307" t="s">
        <v>180</v>
      </c>
      <c r="AA307" t="s">
        <v>181</v>
      </c>
      <c r="AB307" t="s">
        <v>79</v>
      </c>
      <c r="AD307" t="s">
        <v>80</v>
      </c>
      <c r="AE307" t="s">
        <v>81</v>
      </c>
      <c r="AF307" t="s">
        <v>82</v>
      </c>
      <c r="AG307" t="s">
        <v>83</v>
      </c>
      <c r="AH307" t="s">
        <v>84</v>
      </c>
      <c r="AI307" t="str">
        <f>"01"</f>
        <v>01</v>
      </c>
      <c r="AJ307" t="str">
        <f t="shared" si="82"/>
        <v>1</v>
      </c>
      <c r="AK307" t="s">
        <v>93</v>
      </c>
      <c r="AL307" t="s">
        <v>94</v>
      </c>
      <c r="AM307" t="s">
        <v>95</v>
      </c>
      <c r="AN307" t="str">
        <f t="shared" si="71"/>
        <v>.9700</v>
      </c>
      <c r="AO307" t="str">
        <f>"11.41"</f>
        <v>11.41</v>
      </c>
      <c r="AP307" t="s">
        <v>96</v>
      </c>
      <c r="AQ307" t="str">
        <f>"11.41"</f>
        <v>11.41</v>
      </c>
      <c r="AR307">
        <v>5</v>
      </c>
      <c r="AS307">
        <v>0</v>
      </c>
      <c r="AT307">
        <v>5</v>
      </c>
      <c r="AU307">
        <v>57.05</v>
      </c>
      <c r="AV307">
        <v>6.85</v>
      </c>
      <c r="AW307">
        <v>50.2</v>
      </c>
      <c r="AX307">
        <v>0</v>
      </c>
      <c r="AY307">
        <v>50.2</v>
      </c>
      <c r="AZ307">
        <v>0</v>
      </c>
    </row>
    <row r="308" spans="1:52">
      <c r="A308" t="s">
        <v>65</v>
      </c>
      <c r="B308" t="s">
        <v>66</v>
      </c>
      <c r="C308" t="s">
        <v>67</v>
      </c>
      <c r="D308" t="s">
        <v>68</v>
      </c>
      <c r="E308" t="s">
        <v>69</v>
      </c>
      <c r="F308" t="s">
        <v>70</v>
      </c>
      <c r="G308" t="s">
        <v>71</v>
      </c>
      <c r="H308" t="s">
        <v>70</v>
      </c>
      <c r="I308" t="str">
        <f t="shared" si="66"/>
        <v>1010</v>
      </c>
      <c r="J308" t="str">
        <f t="shared" si="67"/>
        <v>05</v>
      </c>
      <c r="K308" t="s">
        <v>68</v>
      </c>
      <c r="L308" t="s">
        <v>72</v>
      </c>
      <c r="M308" t="s">
        <v>68</v>
      </c>
      <c r="N308" t="s">
        <v>181</v>
      </c>
      <c r="O308" t="s">
        <v>580</v>
      </c>
      <c r="P308" t="s">
        <v>581</v>
      </c>
      <c r="R308" t="str">
        <f>"00030206428124"</f>
        <v>00030206428124</v>
      </c>
      <c r="S308" s="1">
        <v>32447</v>
      </c>
      <c r="T308" s="1">
        <v>32447</v>
      </c>
      <c r="U308" t="s">
        <v>581</v>
      </c>
      <c r="V308" t="str">
        <f>"1510"</f>
        <v>1510</v>
      </c>
      <c r="W308" t="str">
        <f t="shared" si="68"/>
        <v>11</v>
      </c>
      <c r="X308" t="s">
        <v>75</v>
      </c>
      <c r="Y308" t="s">
        <v>76</v>
      </c>
      <c r="Z308" t="s">
        <v>180</v>
      </c>
      <c r="AA308" t="s">
        <v>181</v>
      </c>
      <c r="AB308" t="s">
        <v>79</v>
      </c>
      <c r="AD308" t="s">
        <v>80</v>
      </c>
      <c r="AE308" t="s">
        <v>81</v>
      </c>
      <c r="AF308" t="s">
        <v>82</v>
      </c>
      <c r="AG308" t="s">
        <v>83</v>
      </c>
      <c r="AH308" t="s">
        <v>84</v>
      </c>
      <c r="AI308" t="str">
        <f>"01"</f>
        <v>01</v>
      </c>
      <c r="AJ308" t="str">
        <f t="shared" si="82"/>
        <v>1</v>
      </c>
      <c r="AK308" t="s">
        <v>107</v>
      </c>
      <c r="AL308" t="s">
        <v>94</v>
      </c>
      <c r="AM308" t="s">
        <v>95</v>
      </c>
      <c r="AN308" t="str">
        <f t="shared" si="71"/>
        <v>.9700</v>
      </c>
      <c r="AO308" t="str">
        <f>"10.78"</f>
        <v>10.78</v>
      </c>
      <c r="AP308" t="s">
        <v>108</v>
      </c>
      <c r="AQ308" t="str">
        <f>"10.78"</f>
        <v>10.78</v>
      </c>
      <c r="AR308">
        <v>8</v>
      </c>
      <c r="AS308">
        <v>0</v>
      </c>
      <c r="AT308">
        <v>8</v>
      </c>
      <c r="AU308">
        <v>86.27</v>
      </c>
      <c r="AV308">
        <v>9.06</v>
      </c>
      <c r="AW308">
        <v>77.209999999999994</v>
      </c>
      <c r="AX308">
        <v>0</v>
      </c>
      <c r="AY308">
        <v>77.209999999999994</v>
      </c>
      <c r="AZ308">
        <v>0</v>
      </c>
    </row>
    <row r="309" spans="1:52">
      <c r="A309" t="s">
        <v>65</v>
      </c>
      <c r="B309" t="s">
        <v>66</v>
      </c>
      <c r="C309" t="s">
        <v>67</v>
      </c>
      <c r="D309" t="s">
        <v>68</v>
      </c>
      <c r="E309" t="s">
        <v>69</v>
      </c>
      <c r="F309" t="s">
        <v>70</v>
      </c>
      <c r="G309" t="s">
        <v>71</v>
      </c>
      <c r="H309" t="s">
        <v>70</v>
      </c>
      <c r="I309" t="str">
        <f t="shared" si="66"/>
        <v>1010</v>
      </c>
      <c r="J309" t="str">
        <f t="shared" si="67"/>
        <v>05</v>
      </c>
      <c r="K309" t="s">
        <v>68</v>
      </c>
      <c r="L309" t="s">
        <v>72</v>
      </c>
      <c r="M309" t="s">
        <v>68</v>
      </c>
      <c r="N309" t="s">
        <v>181</v>
      </c>
      <c r="O309" t="s">
        <v>582</v>
      </c>
      <c r="P309" t="str">
        <f>"3020671642"</f>
        <v>3020671642</v>
      </c>
      <c r="R309" t="str">
        <f>"00030206716429"</f>
        <v>00030206716429</v>
      </c>
      <c r="S309" s="1">
        <v>41226</v>
      </c>
      <c r="T309" s="1">
        <v>41184</v>
      </c>
      <c r="U309" t="str">
        <f>"3020671642"</f>
        <v>3020671642</v>
      </c>
      <c r="V309" t="str">
        <f>"1010"</f>
        <v>1010</v>
      </c>
      <c r="W309" t="str">
        <f t="shared" si="68"/>
        <v>11</v>
      </c>
      <c r="X309" t="s">
        <v>75</v>
      </c>
      <c r="Y309" t="s">
        <v>139</v>
      </c>
      <c r="Z309" t="s">
        <v>180</v>
      </c>
      <c r="AA309" t="s">
        <v>181</v>
      </c>
      <c r="AB309" t="s">
        <v>79</v>
      </c>
      <c r="AD309" t="s">
        <v>80</v>
      </c>
      <c r="AE309" t="s">
        <v>81</v>
      </c>
      <c r="AF309" t="s">
        <v>82</v>
      </c>
      <c r="AG309" t="s">
        <v>83</v>
      </c>
      <c r="AH309" t="s">
        <v>84</v>
      </c>
      <c r="AI309" t="str">
        <f>"01"</f>
        <v>01</v>
      </c>
      <c r="AJ309" t="str">
        <f t="shared" si="82"/>
        <v>1</v>
      </c>
      <c r="AK309" t="s">
        <v>93</v>
      </c>
      <c r="AL309" t="s">
        <v>94</v>
      </c>
      <c r="AM309" t="s">
        <v>95</v>
      </c>
      <c r="AN309" t="str">
        <f t="shared" si="71"/>
        <v>.9700</v>
      </c>
      <c r="AO309" t="str">
        <f>"11.41"</f>
        <v>11.41</v>
      </c>
      <c r="AP309" t="s">
        <v>96</v>
      </c>
      <c r="AQ309" t="str">
        <f>"11.41"</f>
        <v>11.41</v>
      </c>
      <c r="AR309">
        <v>48</v>
      </c>
      <c r="AS309">
        <v>-2</v>
      </c>
      <c r="AT309">
        <v>46</v>
      </c>
      <c r="AU309">
        <v>547.67999999999995</v>
      </c>
      <c r="AV309">
        <v>0</v>
      </c>
      <c r="AW309">
        <v>547.67999999999995</v>
      </c>
      <c r="AX309">
        <v>-20.39</v>
      </c>
      <c r="AY309">
        <v>527.29</v>
      </c>
      <c r="AZ309">
        <v>0</v>
      </c>
    </row>
    <row r="310" spans="1:52">
      <c r="A310" t="s">
        <v>65</v>
      </c>
      <c r="B310" t="s">
        <v>66</v>
      </c>
      <c r="C310" t="s">
        <v>67</v>
      </c>
      <c r="D310" t="s">
        <v>68</v>
      </c>
      <c r="E310" t="s">
        <v>69</v>
      </c>
      <c r="F310" t="s">
        <v>70</v>
      </c>
      <c r="G310" t="s">
        <v>71</v>
      </c>
      <c r="H310" t="s">
        <v>70</v>
      </c>
      <c r="I310" t="str">
        <f t="shared" si="66"/>
        <v>1010</v>
      </c>
      <c r="J310" t="str">
        <f t="shared" si="67"/>
        <v>05</v>
      </c>
      <c r="K310" t="s">
        <v>68</v>
      </c>
      <c r="L310" t="s">
        <v>72</v>
      </c>
      <c r="M310" t="s">
        <v>68</v>
      </c>
      <c r="N310" t="s">
        <v>181</v>
      </c>
      <c r="O310" t="s">
        <v>583</v>
      </c>
      <c r="P310" t="str">
        <f>"3020672298"</f>
        <v>3020672298</v>
      </c>
      <c r="R310" t="str">
        <f>"00030206722987"</f>
        <v>00030206722987</v>
      </c>
      <c r="S310" s="1">
        <v>41667</v>
      </c>
      <c r="T310" s="1">
        <v>41583</v>
      </c>
      <c r="U310" t="str">
        <f>"3020672298"</f>
        <v>3020672298</v>
      </c>
      <c r="V310" t="str">
        <f>"1010"</f>
        <v>1010</v>
      </c>
      <c r="W310" t="str">
        <f t="shared" si="68"/>
        <v>11</v>
      </c>
      <c r="X310" t="s">
        <v>75</v>
      </c>
      <c r="Y310" t="s">
        <v>139</v>
      </c>
      <c r="Z310" t="s">
        <v>180</v>
      </c>
      <c r="AA310" t="s">
        <v>181</v>
      </c>
      <c r="AB310" t="s">
        <v>79</v>
      </c>
      <c r="AD310" t="s">
        <v>80</v>
      </c>
      <c r="AE310" t="s">
        <v>81</v>
      </c>
      <c r="AF310" t="s">
        <v>82</v>
      </c>
      <c r="AG310" t="s">
        <v>83</v>
      </c>
      <c r="AH310" t="s">
        <v>84</v>
      </c>
      <c r="AJ310" t="str">
        <f t="shared" si="82"/>
        <v>1</v>
      </c>
      <c r="AK310" t="s">
        <v>93</v>
      </c>
      <c r="AL310" t="s">
        <v>143</v>
      </c>
      <c r="AM310" t="s">
        <v>95</v>
      </c>
      <c r="AN310" t="str">
        <f t="shared" si="71"/>
        <v>.9700</v>
      </c>
      <c r="AO310" t="str">
        <f>"11.41"</f>
        <v>11.41</v>
      </c>
      <c r="AP310" t="s">
        <v>96</v>
      </c>
      <c r="AQ310" t="str">
        <f>"11.41"</f>
        <v>11.41</v>
      </c>
      <c r="AR310">
        <v>8</v>
      </c>
      <c r="AS310">
        <v>-14</v>
      </c>
      <c r="AT310">
        <v>-6</v>
      </c>
      <c r="AU310">
        <v>91.28</v>
      </c>
      <c r="AV310">
        <v>0</v>
      </c>
      <c r="AW310">
        <v>91.28</v>
      </c>
      <c r="AX310">
        <v>-142.4</v>
      </c>
      <c r="AY310">
        <v>-51.12</v>
      </c>
      <c r="AZ310">
        <v>0</v>
      </c>
    </row>
    <row r="311" spans="1:52">
      <c r="A311" t="s">
        <v>65</v>
      </c>
      <c r="B311" t="s">
        <v>66</v>
      </c>
      <c r="C311" t="s">
        <v>67</v>
      </c>
      <c r="D311" t="s">
        <v>68</v>
      </c>
      <c r="E311" t="s">
        <v>69</v>
      </c>
      <c r="F311" t="s">
        <v>70</v>
      </c>
      <c r="G311" t="s">
        <v>71</v>
      </c>
      <c r="H311" t="s">
        <v>70</v>
      </c>
      <c r="I311" t="str">
        <f t="shared" si="66"/>
        <v>1010</v>
      </c>
      <c r="J311" t="str">
        <f t="shared" si="67"/>
        <v>05</v>
      </c>
      <c r="K311" t="s">
        <v>68</v>
      </c>
      <c r="L311" t="s">
        <v>72</v>
      </c>
      <c r="M311" t="s">
        <v>68</v>
      </c>
      <c r="N311" t="s">
        <v>181</v>
      </c>
      <c r="O311" t="s">
        <v>584</v>
      </c>
      <c r="P311" t="str">
        <f>"3020665342"</f>
        <v>3020665342</v>
      </c>
      <c r="R311" t="str">
        <f>"00030206653427"</f>
        <v>00030206653427</v>
      </c>
      <c r="S311" s="1">
        <v>37971</v>
      </c>
      <c r="T311" s="1">
        <v>37971</v>
      </c>
      <c r="U311" t="str">
        <f>"3020665342"</f>
        <v>3020665342</v>
      </c>
      <c r="V311" t="str">
        <f>"1510"</f>
        <v>1510</v>
      </c>
      <c r="W311" t="str">
        <f t="shared" si="68"/>
        <v>11</v>
      </c>
      <c r="X311" t="s">
        <v>75</v>
      </c>
      <c r="Y311" t="s">
        <v>76</v>
      </c>
      <c r="Z311" t="s">
        <v>180</v>
      </c>
      <c r="AA311" t="s">
        <v>181</v>
      </c>
      <c r="AB311" t="s">
        <v>79</v>
      </c>
      <c r="AD311" t="s">
        <v>80</v>
      </c>
      <c r="AE311" t="s">
        <v>81</v>
      </c>
      <c r="AF311" t="s">
        <v>82</v>
      </c>
      <c r="AG311" t="s">
        <v>83</v>
      </c>
      <c r="AH311" t="s">
        <v>84</v>
      </c>
      <c r="AI311" t="str">
        <f t="shared" ref="AI311:AI323" si="83">"01"</f>
        <v>01</v>
      </c>
      <c r="AJ311" t="str">
        <f t="shared" si="82"/>
        <v>1</v>
      </c>
      <c r="AK311" t="s">
        <v>93</v>
      </c>
      <c r="AL311" t="s">
        <v>94</v>
      </c>
      <c r="AM311" t="s">
        <v>95</v>
      </c>
      <c r="AN311" t="str">
        <f t="shared" si="71"/>
        <v>.9700</v>
      </c>
      <c r="AO311" t="str">
        <f>"11.41"</f>
        <v>11.41</v>
      </c>
      <c r="AP311" t="s">
        <v>96</v>
      </c>
      <c r="AQ311" t="str">
        <f>"11.41"</f>
        <v>11.41</v>
      </c>
      <c r="AR311">
        <v>43</v>
      </c>
      <c r="AS311">
        <v>-1</v>
      </c>
      <c r="AT311">
        <v>42</v>
      </c>
      <c r="AU311">
        <v>490.6</v>
      </c>
      <c r="AV311">
        <v>49.29</v>
      </c>
      <c r="AW311">
        <v>441.31</v>
      </c>
      <c r="AX311">
        <v>-10.75</v>
      </c>
      <c r="AY311">
        <v>430.56</v>
      </c>
      <c r="AZ311">
        <v>0</v>
      </c>
    </row>
    <row r="312" spans="1:52">
      <c r="A312" t="s">
        <v>65</v>
      </c>
      <c r="B312" t="s">
        <v>66</v>
      </c>
      <c r="C312" t="s">
        <v>67</v>
      </c>
      <c r="D312" t="s">
        <v>68</v>
      </c>
      <c r="E312" t="s">
        <v>69</v>
      </c>
      <c r="F312" t="s">
        <v>70</v>
      </c>
      <c r="G312" t="s">
        <v>71</v>
      </c>
      <c r="H312" t="s">
        <v>70</v>
      </c>
      <c r="I312" t="str">
        <f t="shared" si="66"/>
        <v>1010</v>
      </c>
      <c r="J312" t="str">
        <f t="shared" si="67"/>
        <v>05</v>
      </c>
      <c r="K312" t="s">
        <v>68</v>
      </c>
      <c r="L312" t="s">
        <v>72</v>
      </c>
      <c r="M312" t="s">
        <v>68</v>
      </c>
      <c r="N312" t="s">
        <v>181</v>
      </c>
      <c r="O312" t="s">
        <v>585</v>
      </c>
      <c r="P312" t="str">
        <f>"3020670472"</f>
        <v>3020670472</v>
      </c>
      <c r="R312" t="str">
        <f>"00030206704723"</f>
        <v>00030206704723</v>
      </c>
      <c r="S312" s="1">
        <v>40442</v>
      </c>
      <c r="T312" s="1">
        <v>40442</v>
      </c>
      <c r="U312" t="str">
        <f>"3020670472"</f>
        <v>3020670472</v>
      </c>
      <c r="V312" t="str">
        <f>"1510"</f>
        <v>1510</v>
      </c>
      <c r="W312" t="str">
        <f t="shared" si="68"/>
        <v>11</v>
      </c>
      <c r="X312" t="s">
        <v>75</v>
      </c>
      <c r="Y312" t="s">
        <v>76</v>
      </c>
      <c r="Z312" t="s">
        <v>180</v>
      </c>
      <c r="AA312" t="s">
        <v>181</v>
      </c>
      <c r="AB312" t="s">
        <v>79</v>
      </c>
      <c r="AD312" t="s">
        <v>80</v>
      </c>
      <c r="AE312" t="s">
        <v>81</v>
      </c>
      <c r="AF312" t="s">
        <v>82</v>
      </c>
      <c r="AG312" t="s">
        <v>83</v>
      </c>
      <c r="AH312" t="s">
        <v>84</v>
      </c>
      <c r="AI312" t="str">
        <f t="shared" si="83"/>
        <v>01</v>
      </c>
      <c r="AJ312" t="str">
        <f t="shared" si="82"/>
        <v>1</v>
      </c>
      <c r="AK312" t="s">
        <v>93</v>
      </c>
      <c r="AL312" t="s">
        <v>94</v>
      </c>
      <c r="AM312" t="s">
        <v>95</v>
      </c>
      <c r="AN312" t="str">
        <f t="shared" si="71"/>
        <v>.9700</v>
      </c>
      <c r="AO312" t="str">
        <f>"11.41"</f>
        <v>11.41</v>
      </c>
      <c r="AP312" t="s">
        <v>96</v>
      </c>
      <c r="AQ312" t="str">
        <f>"11.41"</f>
        <v>11.41</v>
      </c>
      <c r="AR312">
        <v>8</v>
      </c>
      <c r="AS312">
        <v>0</v>
      </c>
      <c r="AT312">
        <v>8</v>
      </c>
      <c r="AU312">
        <v>91.27</v>
      </c>
      <c r="AV312">
        <v>9.58</v>
      </c>
      <c r="AW312">
        <v>81.69</v>
      </c>
      <c r="AX312">
        <v>0</v>
      </c>
      <c r="AY312">
        <v>81.69</v>
      </c>
      <c r="AZ312">
        <v>0</v>
      </c>
    </row>
    <row r="313" spans="1:52">
      <c r="A313" t="s">
        <v>65</v>
      </c>
      <c r="B313" t="s">
        <v>66</v>
      </c>
      <c r="C313" t="s">
        <v>67</v>
      </c>
      <c r="D313" t="s">
        <v>68</v>
      </c>
      <c r="E313" t="s">
        <v>69</v>
      </c>
      <c r="F313" t="s">
        <v>70</v>
      </c>
      <c r="G313" t="s">
        <v>71</v>
      </c>
      <c r="H313" t="s">
        <v>70</v>
      </c>
      <c r="I313" t="str">
        <f t="shared" si="66"/>
        <v>1010</v>
      </c>
      <c r="J313" t="str">
        <f t="shared" si="67"/>
        <v>05</v>
      </c>
      <c r="K313" t="s">
        <v>68</v>
      </c>
      <c r="L313" t="s">
        <v>72</v>
      </c>
      <c r="M313" t="s">
        <v>68</v>
      </c>
      <c r="N313" t="s">
        <v>181</v>
      </c>
      <c r="O313" t="s">
        <v>586</v>
      </c>
      <c r="P313" t="s">
        <v>587</v>
      </c>
      <c r="R313" t="str">
        <f>"00030206584820"</f>
        <v>00030206584820</v>
      </c>
      <c r="S313" s="1">
        <v>35668</v>
      </c>
      <c r="T313" s="1">
        <v>35668</v>
      </c>
      <c r="U313" t="s">
        <v>587</v>
      </c>
      <c r="V313" t="str">
        <f>"1510"</f>
        <v>1510</v>
      </c>
      <c r="W313" t="str">
        <f t="shared" si="68"/>
        <v>11</v>
      </c>
      <c r="X313" t="s">
        <v>75</v>
      </c>
      <c r="Y313" t="s">
        <v>76</v>
      </c>
      <c r="Z313" t="s">
        <v>180</v>
      </c>
      <c r="AA313" t="s">
        <v>181</v>
      </c>
      <c r="AB313" t="s">
        <v>79</v>
      </c>
      <c r="AD313" t="s">
        <v>80</v>
      </c>
      <c r="AE313" t="s">
        <v>81</v>
      </c>
      <c r="AF313" t="s">
        <v>82</v>
      </c>
      <c r="AG313" t="s">
        <v>83</v>
      </c>
      <c r="AH313" t="s">
        <v>84</v>
      </c>
      <c r="AI313" t="str">
        <f t="shared" si="83"/>
        <v>01</v>
      </c>
      <c r="AJ313" t="str">
        <f t="shared" si="82"/>
        <v>1</v>
      </c>
      <c r="AK313" t="s">
        <v>107</v>
      </c>
      <c r="AL313" t="s">
        <v>94</v>
      </c>
      <c r="AM313" t="s">
        <v>95</v>
      </c>
      <c r="AN313" t="str">
        <f t="shared" si="71"/>
        <v>.9700</v>
      </c>
      <c r="AO313" t="str">
        <f>"10.78"</f>
        <v>10.78</v>
      </c>
      <c r="AP313" t="s">
        <v>108</v>
      </c>
      <c r="AQ313" t="str">
        <f>"10.78"</f>
        <v>10.78</v>
      </c>
      <c r="AR313">
        <v>28</v>
      </c>
      <c r="AS313">
        <v>0</v>
      </c>
      <c r="AT313">
        <v>28</v>
      </c>
      <c r="AU313">
        <v>301.94</v>
      </c>
      <c r="AV313">
        <v>34.93</v>
      </c>
      <c r="AW313">
        <v>267.01</v>
      </c>
      <c r="AX313">
        <v>0</v>
      </c>
      <c r="AY313">
        <v>267.01</v>
      </c>
      <c r="AZ313">
        <v>0</v>
      </c>
    </row>
    <row r="314" spans="1:52">
      <c r="A314" t="s">
        <v>65</v>
      </c>
      <c r="B314" t="s">
        <v>66</v>
      </c>
      <c r="C314" t="s">
        <v>67</v>
      </c>
      <c r="D314" t="s">
        <v>68</v>
      </c>
      <c r="E314" t="s">
        <v>69</v>
      </c>
      <c r="F314" t="s">
        <v>70</v>
      </c>
      <c r="G314" t="s">
        <v>71</v>
      </c>
      <c r="H314" t="s">
        <v>70</v>
      </c>
      <c r="I314" t="str">
        <f t="shared" si="66"/>
        <v>1010</v>
      </c>
      <c r="J314" t="str">
        <f t="shared" si="67"/>
        <v>05</v>
      </c>
      <c r="K314" t="s">
        <v>68</v>
      </c>
      <c r="L314" t="s">
        <v>72</v>
      </c>
      <c r="M314" t="s">
        <v>68</v>
      </c>
      <c r="N314" t="s">
        <v>181</v>
      </c>
      <c r="O314" t="s">
        <v>588</v>
      </c>
      <c r="P314" t="str">
        <f>"3020672588"</f>
        <v>3020672588</v>
      </c>
      <c r="R314" t="str">
        <f>"00030206725889"</f>
        <v>00030206725889</v>
      </c>
      <c r="S314" s="1">
        <v>41751</v>
      </c>
      <c r="T314" s="1">
        <v>41751</v>
      </c>
      <c r="U314" t="str">
        <f>"3020672588"</f>
        <v>3020672588</v>
      </c>
      <c r="V314" t="str">
        <f>"1010"</f>
        <v>1010</v>
      </c>
      <c r="W314" t="str">
        <f t="shared" si="68"/>
        <v>11</v>
      </c>
      <c r="X314" t="s">
        <v>75</v>
      </c>
      <c r="Y314" t="s">
        <v>139</v>
      </c>
      <c r="Z314" t="s">
        <v>180</v>
      </c>
      <c r="AA314" t="s">
        <v>181</v>
      </c>
      <c r="AB314" t="s">
        <v>79</v>
      </c>
      <c r="AD314" t="s">
        <v>80</v>
      </c>
      <c r="AE314" t="s">
        <v>81</v>
      </c>
      <c r="AF314" t="s">
        <v>82</v>
      </c>
      <c r="AG314" t="s">
        <v>83</v>
      </c>
      <c r="AH314" t="s">
        <v>84</v>
      </c>
      <c r="AI314" t="str">
        <f t="shared" si="83"/>
        <v>01</v>
      </c>
      <c r="AJ314" t="str">
        <f t="shared" si="82"/>
        <v>1</v>
      </c>
      <c r="AK314" t="s">
        <v>101</v>
      </c>
      <c r="AL314" t="s">
        <v>143</v>
      </c>
      <c r="AM314" t="s">
        <v>95</v>
      </c>
      <c r="AN314" t="str">
        <f t="shared" si="71"/>
        <v>.9700</v>
      </c>
      <c r="AO314" t="str">
        <f>"9.07"</f>
        <v>9.07</v>
      </c>
      <c r="AP314" t="s">
        <v>102</v>
      </c>
      <c r="AQ314" t="str">
        <f>"9.07"</f>
        <v>9.07</v>
      </c>
      <c r="AR314">
        <v>4</v>
      </c>
      <c r="AS314">
        <v>0</v>
      </c>
      <c r="AT314">
        <v>4</v>
      </c>
      <c r="AU314">
        <v>36.28</v>
      </c>
      <c r="AV314">
        <v>0</v>
      </c>
      <c r="AW314">
        <v>36.28</v>
      </c>
      <c r="AX314">
        <v>0</v>
      </c>
      <c r="AY314">
        <v>36.28</v>
      </c>
      <c r="AZ314">
        <v>0</v>
      </c>
    </row>
    <row r="315" spans="1:52">
      <c r="A315" t="s">
        <v>65</v>
      </c>
      <c r="B315" t="s">
        <v>66</v>
      </c>
      <c r="C315" t="s">
        <v>67</v>
      </c>
      <c r="D315" t="s">
        <v>68</v>
      </c>
      <c r="E315" t="s">
        <v>69</v>
      </c>
      <c r="F315" t="s">
        <v>70</v>
      </c>
      <c r="G315" t="s">
        <v>71</v>
      </c>
      <c r="H315" t="s">
        <v>70</v>
      </c>
      <c r="I315" t="str">
        <f t="shared" si="66"/>
        <v>1010</v>
      </c>
      <c r="J315" t="str">
        <f t="shared" si="67"/>
        <v>05</v>
      </c>
      <c r="K315" t="s">
        <v>68</v>
      </c>
      <c r="L315" t="s">
        <v>72</v>
      </c>
      <c r="M315" t="s">
        <v>68</v>
      </c>
      <c r="N315" t="s">
        <v>181</v>
      </c>
      <c r="O315" t="s">
        <v>589</v>
      </c>
      <c r="P315" t="s">
        <v>590</v>
      </c>
      <c r="R315" t="str">
        <f>"00030206530223"</f>
        <v>00030206530223</v>
      </c>
      <c r="S315" s="1">
        <v>33211</v>
      </c>
      <c r="T315" s="1">
        <v>33211</v>
      </c>
      <c r="U315" t="s">
        <v>590</v>
      </c>
      <c r="V315" t="str">
        <f t="shared" ref="V315:V320" si="84">"1510"</f>
        <v>1510</v>
      </c>
      <c r="W315" t="str">
        <f t="shared" si="68"/>
        <v>11</v>
      </c>
      <c r="X315" t="s">
        <v>75</v>
      </c>
      <c r="Y315" t="s">
        <v>76</v>
      </c>
      <c r="Z315" t="s">
        <v>180</v>
      </c>
      <c r="AA315" t="s">
        <v>181</v>
      </c>
      <c r="AB315" t="s">
        <v>79</v>
      </c>
      <c r="AD315" t="s">
        <v>80</v>
      </c>
      <c r="AE315" t="s">
        <v>81</v>
      </c>
      <c r="AF315" t="s">
        <v>82</v>
      </c>
      <c r="AG315" t="s">
        <v>83</v>
      </c>
      <c r="AH315" t="s">
        <v>84</v>
      </c>
      <c r="AI315" t="str">
        <f t="shared" si="83"/>
        <v>01</v>
      </c>
      <c r="AJ315" t="str">
        <f t="shared" si="82"/>
        <v>1</v>
      </c>
      <c r="AK315" t="s">
        <v>107</v>
      </c>
      <c r="AL315" t="s">
        <v>94</v>
      </c>
      <c r="AM315" t="s">
        <v>95</v>
      </c>
      <c r="AN315" t="str">
        <f t="shared" si="71"/>
        <v>.9700</v>
      </c>
      <c r="AO315" t="str">
        <f>"10.78"</f>
        <v>10.78</v>
      </c>
      <c r="AP315" t="s">
        <v>108</v>
      </c>
      <c r="AQ315" t="str">
        <f>"10.78"</f>
        <v>10.78</v>
      </c>
      <c r="AR315">
        <v>32</v>
      </c>
      <c r="AS315">
        <v>0</v>
      </c>
      <c r="AT315">
        <v>32</v>
      </c>
      <c r="AU315">
        <v>345.08</v>
      </c>
      <c r="AV315">
        <v>40.11</v>
      </c>
      <c r="AW315">
        <v>304.97000000000003</v>
      </c>
      <c r="AX315">
        <v>0</v>
      </c>
      <c r="AY315">
        <v>304.97000000000003</v>
      </c>
      <c r="AZ315">
        <v>0</v>
      </c>
    </row>
    <row r="316" spans="1:52">
      <c r="A316" t="s">
        <v>65</v>
      </c>
      <c r="B316" t="s">
        <v>66</v>
      </c>
      <c r="C316" t="s">
        <v>67</v>
      </c>
      <c r="D316" t="s">
        <v>68</v>
      </c>
      <c r="E316" t="s">
        <v>69</v>
      </c>
      <c r="F316" t="s">
        <v>70</v>
      </c>
      <c r="G316" t="s">
        <v>71</v>
      </c>
      <c r="H316" t="s">
        <v>70</v>
      </c>
      <c r="I316" t="str">
        <f t="shared" si="66"/>
        <v>1010</v>
      </c>
      <c r="J316" t="str">
        <f t="shared" si="67"/>
        <v>05</v>
      </c>
      <c r="K316" t="s">
        <v>68</v>
      </c>
      <c r="L316" t="s">
        <v>72</v>
      </c>
      <c r="M316" t="s">
        <v>68</v>
      </c>
      <c r="N316" t="s">
        <v>181</v>
      </c>
      <c r="O316" t="s">
        <v>591</v>
      </c>
      <c r="P316" t="str">
        <f>"3020666942"</f>
        <v>3020666942</v>
      </c>
      <c r="R316" t="str">
        <f>"00030206669428"</f>
        <v>00030206669428</v>
      </c>
      <c r="S316" s="1">
        <v>38650</v>
      </c>
      <c r="T316" s="1">
        <v>38650</v>
      </c>
      <c r="U316" t="str">
        <f>"3020666942"</f>
        <v>3020666942</v>
      </c>
      <c r="V316" t="str">
        <f t="shared" si="84"/>
        <v>1510</v>
      </c>
      <c r="W316" t="str">
        <f t="shared" si="68"/>
        <v>11</v>
      </c>
      <c r="X316" t="s">
        <v>75</v>
      </c>
      <c r="Y316" t="s">
        <v>76</v>
      </c>
      <c r="Z316" t="s">
        <v>180</v>
      </c>
      <c r="AA316" t="s">
        <v>181</v>
      </c>
      <c r="AB316" t="s">
        <v>79</v>
      </c>
      <c r="AD316" t="s">
        <v>80</v>
      </c>
      <c r="AE316" t="s">
        <v>81</v>
      </c>
      <c r="AF316" t="s">
        <v>82</v>
      </c>
      <c r="AG316" t="s">
        <v>83</v>
      </c>
      <c r="AH316" t="s">
        <v>84</v>
      </c>
      <c r="AI316" t="str">
        <f t="shared" si="83"/>
        <v>01</v>
      </c>
      <c r="AJ316" t="str">
        <f t="shared" si="82"/>
        <v>1</v>
      </c>
      <c r="AK316" t="s">
        <v>93</v>
      </c>
      <c r="AL316" t="s">
        <v>94</v>
      </c>
      <c r="AM316" t="s">
        <v>95</v>
      </c>
      <c r="AN316" t="str">
        <f t="shared" si="71"/>
        <v>.9700</v>
      </c>
      <c r="AO316" t="str">
        <f t="shared" ref="AO316:AO322" si="85">"11.41"</f>
        <v>11.41</v>
      </c>
      <c r="AP316" t="s">
        <v>96</v>
      </c>
      <c r="AQ316" t="str">
        <f t="shared" ref="AQ316:AQ322" si="86">"11.41"</f>
        <v>11.41</v>
      </c>
      <c r="AR316">
        <v>2</v>
      </c>
      <c r="AS316">
        <v>0</v>
      </c>
      <c r="AT316">
        <v>2</v>
      </c>
      <c r="AU316">
        <v>22.82</v>
      </c>
      <c r="AV316">
        <v>1.37</v>
      </c>
      <c r="AW316">
        <v>21.45</v>
      </c>
      <c r="AX316">
        <v>0</v>
      </c>
      <c r="AY316">
        <v>21.45</v>
      </c>
      <c r="AZ316">
        <v>0</v>
      </c>
    </row>
    <row r="317" spans="1:52">
      <c r="A317" t="s">
        <v>65</v>
      </c>
      <c r="B317" t="s">
        <v>66</v>
      </c>
      <c r="C317" t="s">
        <v>67</v>
      </c>
      <c r="D317" t="s">
        <v>68</v>
      </c>
      <c r="E317" t="s">
        <v>69</v>
      </c>
      <c r="F317" t="s">
        <v>70</v>
      </c>
      <c r="G317" t="s">
        <v>71</v>
      </c>
      <c r="H317" t="s">
        <v>70</v>
      </c>
      <c r="I317" t="str">
        <f t="shared" si="66"/>
        <v>1010</v>
      </c>
      <c r="J317" t="str">
        <f t="shared" si="67"/>
        <v>05</v>
      </c>
      <c r="K317" t="s">
        <v>68</v>
      </c>
      <c r="L317" t="s">
        <v>72</v>
      </c>
      <c r="M317" t="s">
        <v>68</v>
      </c>
      <c r="N317" t="s">
        <v>181</v>
      </c>
      <c r="O317" t="s">
        <v>592</v>
      </c>
      <c r="P317" t="str">
        <f>"3020670792"</f>
        <v>3020670792</v>
      </c>
      <c r="R317" t="str">
        <f>"00030206707922"</f>
        <v>00030206707922</v>
      </c>
      <c r="S317" s="1">
        <v>40638</v>
      </c>
      <c r="T317" s="1">
        <v>40638</v>
      </c>
      <c r="U317" t="str">
        <f>"3020670792"</f>
        <v>3020670792</v>
      </c>
      <c r="V317" t="str">
        <f t="shared" si="84"/>
        <v>1510</v>
      </c>
      <c r="W317" t="str">
        <f t="shared" si="68"/>
        <v>11</v>
      </c>
      <c r="X317" t="s">
        <v>75</v>
      </c>
      <c r="Y317" t="s">
        <v>76</v>
      </c>
      <c r="Z317" t="s">
        <v>180</v>
      </c>
      <c r="AA317" t="s">
        <v>181</v>
      </c>
      <c r="AB317" t="s">
        <v>79</v>
      </c>
      <c r="AD317" t="s">
        <v>80</v>
      </c>
      <c r="AE317" t="s">
        <v>81</v>
      </c>
      <c r="AF317" t="s">
        <v>82</v>
      </c>
      <c r="AG317" t="s">
        <v>83</v>
      </c>
      <c r="AH317" t="s">
        <v>84</v>
      </c>
      <c r="AI317" t="str">
        <f t="shared" si="83"/>
        <v>01</v>
      </c>
      <c r="AJ317" t="str">
        <f t="shared" si="82"/>
        <v>1</v>
      </c>
      <c r="AK317" t="s">
        <v>93</v>
      </c>
      <c r="AL317" t="s">
        <v>94</v>
      </c>
      <c r="AM317" t="s">
        <v>95</v>
      </c>
      <c r="AN317" t="str">
        <f t="shared" si="71"/>
        <v>.9700</v>
      </c>
      <c r="AO317" t="str">
        <f t="shared" si="85"/>
        <v>11.41</v>
      </c>
      <c r="AP317" t="s">
        <v>96</v>
      </c>
      <c r="AQ317" t="str">
        <f t="shared" si="86"/>
        <v>11.41</v>
      </c>
      <c r="AR317">
        <v>1</v>
      </c>
      <c r="AS317">
        <v>0</v>
      </c>
      <c r="AT317">
        <v>1</v>
      </c>
      <c r="AU317">
        <v>11.41</v>
      </c>
      <c r="AV317">
        <v>0</v>
      </c>
      <c r="AW317">
        <v>11.41</v>
      </c>
      <c r="AX317">
        <v>0</v>
      </c>
      <c r="AY317">
        <v>11.41</v>
      </c>
      <c r="AZ317">
        <v>0</v>
      </c>
    </row>
    <row r="318" spans="1:52">
      <c r="A318" t="s">
        <v>65</v>
      </c>
      <c r="B318" t="s">
        <v>66</v>
      </c>
      <c r="C318" t="s">
        <v>67</v>
      </c>
      <c r="D318" t="s">
        <v>68</v>
      </c>
      <c r="E318" t="s">
        <v>69</v>
      </c>
      <c r="F318" t="s">
        <v>70</v>
      </c>
      <c r="G318" t="s">
        <v>71</v>
      </c>
      <c r="H318" t="s">
        <v>70</v>
      </c>
      <c r="I318" t="str">
        <f t="shared" si="66"/>
        <v>1010</v>
      </c>
      <c r="J318" t="str">
        <f t="shared" si="67"/>
        <v>05</v>
      </c>
      <c r="K318" t="s">
        <v>68</v>
      </c>
      <c r="L318" t="s">
        <v>72</v>
      </c>
      <c r="M318" t="s">
        <v>68</v>
      </c>
      <c r="N318" t="s">
        <v>181</v>
      </c>
      <c r="O318" t="s">
        <v>593</v>
      </c>
      <c r="P318" t="str">
        <f>"3020669732"</f>
        <v>3020669732</v>
      </c>
      <c r="R318" t="str">
        <f>"00030206697322"</f>
        <v>00030206697322</v>
      </c>
      <c r="S318" s="1">
        <v>39966</v>
      </c>
      <c r="T318" s="1">
        <v>39966</v>
      </c>
      <c r="U318" t="str">
        <f>"3020669732"</f>
        <v>3020669732</v>
      </c>
      <c r="V318" t="str">
        <f t="shared" si="84"/>
        <v>1510</v>
      </c>
      <c r="W318" t="str">
        <f t="shared" si="68"/>
        <v>11</v>
      </c>
      <c r="X318" t="s">
        <v>75</v>
      </c>
      <c r="Y318" t="s">
        <v>76</v>
      </c>
      <c r="Z318" t="s">
        <v>180</v>
      </c>
      <c r="AA318" t="s">
        <v>181</v>
      </c>
      <c r="AB318" t="s">
        <v>79</v>
      </c>
      <c r="AD318" t="s">
        <v>80</v>
      </c>
      <c r="AE318" t="s">
        <v>81</v>
      </c>
      <c r="AF318" t="s">
        <v>82</v>
      </c>
      <c r="AG318" t="s">
        <v>83</v>
      </c>
      <c r="AH318" t="s">
        <v>84</v>
      </c>
      <c r="AI318" t="str">
        <f t="shared" si="83"/>
        <v>01</v>
      </c>
      <c r="AJ318" t="str">
        <f t="shared" si="82"/>
        <v>1</v>
      </c>
      <c r="AK318" t="s">
        <v>93</v>
      </c>
      <c r="AL318" t="s">
        <v>94</v>
      </c>
      <c r="AM318" t="s">
        <v>95</v>
      </c>
      <c r="AN318" t="str">
        <f t="shared" si="71"/>
        <v>.9700</v>
      </c>
      <c r="AO318" t="str">
        <f t="shared" si="85"/>
        <v>11.41</v>
      </c>
      <c r="AP318" t="s">
        <v>96</v>
      </c>
      <c r="AQ318" t="str">
        <f t="shared" si="86"/>
        <v>11.41</v>
      </c>
      <c r="AR318">
        <v>11</v>
      </c>
      <c r="AS318">
        <v>0</v>
      </c>
      <c r="AT318">
        <v>11</v>
      </c>
      <c r="AU318">
        <v>125.5</v>
      </c>
      <c r="AV318">
        <v>15.06</v>
      </c>
      <c r="AW318">
        <v>110.44</v>
      </c>
      <c r="AX318">
        <v>0</v>
      </c>
      <c r="AY318">
        <v>110.44</v>
      </c>
      <c r="AZ318">
        <v>0</v>
      </c>
    </row>
    <row r="319" spans="1:52">
      <c r="A319" t="s">
        <v>65</v>
      </c>
      <c r="B319" t="s">
        <v>66</v>
      </c>
      <c r="C319" t="s">
        <v>67</v>
      </c>
      <c r="D319" t="s">
        <v>68</v>
      </c>
      <c r="E319" t="s">
        <v>69</v>
      </c>
      <c r="F319" t="s">
        <v>70</v>
      </c>
      <c r="G319" t="s">
        <v>71</v>
      </c>
      <c r="H319" t="s">
        <v>70</v>
      </c>
      <c r="I319" t="str">
        <f t="shared" si="66"/>
        <v>1010</v>
      </c>
      <c r="J319" t="str">
        <f t="shared" si="67"/>
        <v>05</v>
      </c>
      <c r="K319" t="s">
        <v>68</v>
      </c>
      <c r="L319" t="s">
        <v>72</v>
      </c>
      <c r="M319" t="s">
        <v>68</v>
      </c>
      <c r="N319" t="s">
        <v>181</v>
      </c>
      <c r="O319" t="s">
        <v>594</v>
      </c>
      <c r="P319" t="str">
        <f>"3020669322"</f>
        <v>3020669322</v>
      </c>
      <c r="R319" t="str">
        <f>"00030206693225"</f>
        <v>00030206693225</v>
      </c>
      <c r="S319" s="1">
        <v>39803</v>
      </c>
      <c r="T319" s="1">
        <v>39742</v>
      </c>
      <c r="U319" t="str">
        <f>"3020669322"</f>
        <v>3020669322</v>
      </c>
      <c r="V319" t="str">
        <f t="shared" si="84"/>
        <v>1510</v>
      </c>
      <c r="W319" t="str">
        <f t="shared" si="68"/>
        <v>11</v>
      </c>
      <c r="X319" t="s">
        <v>75</v>
      </c>
      <c r="Y319" t="s">
        <v>76</v>
      </c>
      <c r="Z319" t="s">
        <v>180</v>
      </c>
      <c r="AA319" t="s">
        <v>181</v>
      </c>
      <c r="AB319" t="s">
        <v>79</v>
      </c>
      <c r="AD319" t="s">
        <v>80</v>
      </c>
      <c r="AE319" t="s">
        <v>81</v>
      </c>
      <c r="AF319" t="s">
        <v>82</v>
      </c>
      <c r="AG319" t="s">
        <v>83</v>
      </c>
      <c r="AH319" t="s">
        <v>84</v>
      </c>
      <c r="AI319" t="str">
        <f t="shared" si="83"/>
        <v>01</v>
      </c>
      <c r="AJ319" t="str">
        <f t="shared" si="82"/>
        <v>1</v>
      </c>
      <c r="AK319" t="s">
        <v>93</v>
      </c>
      <c r="AL319" t="s">
        <v>94</v>
      </c>
      <c r="AM319" t="s">
        <v>95</v>
      </c>
      <c r="AN319" t="str">
        <f t="shared" si="71"/>
        <v>.9700</v>
      </c>
      <c r="AO319" t="str">
        <f t="shared" si="85"/>
        <v>11.41</v>
      </c>
      <c r="AP319" t="s">
        <v>96</v>
      </c>
      <c r="AQ319" t="str">
        <f t="shared" si="86"/>
        <v>11.41</v>
      </c>
      <c r="AR319">
        <v>3</v>
      </c>
      <c r="AS319">
        <v>0</v>
      </c>
      <c r="AT319">
        <v>3</v>
      </c>
      <c r="AU319">
        <v>34.229999999999997</v>
      </c>
      <c r="AV319">
        <v>4.1100000000000003</v>
      </c>
      <c r="AW319">
        <v>30.12</v>
      </c>
      <c r="AX319">
        <v>0</v>
      </c>
      <c r="AY319">
        <v>30.12</v>
      </c>
      <c r="AZ319">
        <v>0</v>
      </c>
    </row>
    <row r="320" spans="1:52">
      <c r="A320" t="s">
        <v>65</v>
      </c>
      <c r="B320" t="s">
        <v>66</v>
      </c>
      <c r="C320" t="s">
        <v>67</v>
      </c>
      <c r="D320" t="s">
        <v>68</v>
      </c>
      <c r="E320" t="s">
        <v>69</v>
      </c>
      <c r="F320" t="s">
        <v>70</v>
      </c>
      <c r="G320" t="s">
        <v>71</v>
      </c>
      <c r="H320" t="s">
        <v>70</v>
      </c>
      <c r="I320" t="str">
        <f t="shared" si="66"/>
        <v>1010</v>
      </c>
      <c r="J320" t="str">
        <f t="shared" si="67"/>
        <v>05</v>
      </c>
      <c r="K320" t="s">
        <v>68</v>
      </c>
      <c r="L320" t="s">
        <v>72</v>
      </c>
      <c r="M320" t="s">
        <v>68</v>
      </c>
      <c r="N320" t="s">
        <v>181</v>
      </c>
      <c r="O320" t="s">
        <v>595</v>
      </c>
      <c r="P320" t="str">
        <f>"3020670602"</f>
        <v>3020670602</v>
      </c>
      <c r="R320" t="str">
        <f>"00030206706024"</f>
        <v>00030206706024</v>
      </c>
      <c r="S320" s="1">
        <v>40638</v>
      </c>
      <c r="T320" s="1">
        <v>40638</v>
      </c>
      <c r="U320" t="str">
        <f>"3020670602"</f>
        <v>3020670602</v>
      </c>
      <c r="V320" t="str">
        <f t="shared" si="84"/>
        <v>1510</v>
      </c>
      <c r="W320" t="str">
        <f t="shared" si="68"/>
        <v>11</v>
      </c>
      <c r="X320" t="s">
        <v>75</v>
      </c>
      <c r="Y320" t="s">
        <v>76</v>
      </c>
      <c r="Z320" t="s">
        <v>180</v>
      </c>
      <c r="AA320" t="s">
        <v>181</v>
      </c>
      <c r="AB320" t="s">
        <v>79</v>
      </c>
      <c r="AD320" t="s">
        <v>80</v>
      </c>
      <c r="AE320" t="s">
        <v>81</v>
      </c>
      <c r="AF320" t="s">
        <v>82</v>
      </c>
      <c r="AG320" t="s">
        <v>83</v>
      </c>
      <c r="AH320" t="s">
        <v>84</v>
      </c>
      <c r="AI320" t="str">
        <f t="shared" si="83"/>
        <v>01</v>
      </c>
      <c r="AJ320" t="str">
        <f t="shared" si="82"/>
        <v>1</v>
      </c>
      <c r="AK320" t="s">
        <v>93</v>
      </c>
      <c r="AL320" t="s">
        <v>94</v>
      </c>
      <c r="AM320" t="s">
        <v>95</v>
      </c>
      <c r="AN320" t="str">
        <f t="shared" si="71"/>
        <v>.9700</v>
      </c>
      <c r="AO320" t="str">
        <f t="shared" si="85"/>
        <v>11.41</v>
      </c>
      <c r="AP320" t="s">
        <v>96</v>
      </c>
      <c r="AQ320" t="str">
        <f t="shared" si="86"/>
        <v>11.41</v>
      </c>
      <c r="AR320">
        <v>8</v>
      </c>
      <c r="AS320">
        <v>0</v>
      </c>
      <c r="AT320">
        <v>8</v>
      </c>
      <c r="AU320">
        <v>91.27</v>
      </c>
      <c r="AV320">
        <v>10.95</v>
      </c>
      <c r="AW320">
        <v>80.319999999999993</v>
      </c>
      <c r="AX320">
        <v>0</v>
      </c>
      <c r="AY320">
        <v>80.319999999999993</v>
      </c>
      <c r="AZ320">
        <v>0</v>
      </c>
    </row>
    <row r="321" spans="1:52">
      <c r="A321" t="s">
        <v>65</v>
      </c>
      <c r="B321" t="s">
        <v>66</v>
      </c>
      <c r="C321" t="s">
        <v>67</v>
      </c>
      <c r="D321" t="s">
        <v>68</v>
      </c>
      <c r="E321" t="s">
        <v>69</v>
      </c>
      <c r="F321" t="s">
        <v>70</v>
      </c>
      <c r="G321" t="s">
        <v>71</v>
      </c>
      <c r="H321" t="s">
        <v>70</v>
      </c>
      <c r="I321" t="str">
        <f t="shared" si="66"/>
        <v>1010</v>
      </c>
      <c r="J321" t="str">
        <f t="shared" si="67"/>
        <v>05</v>
      </c>
      <c r="K321" t="s">
        <v>68</v>
      </c>
      <c r="L321" t="s">
        <v>72</v>
      </c>
      <c r="M321" t="s">
        <v>68</v>
      </c>
      <c r="N321" t="s">
        <v>181</v>
      </c>
      <c r="O321" t="s">
        <v>596</v>
      </c>
      <c r="P321" t="str">
        <f>"3020672528"</f>
        <v>3020672528</v>
      </c>
      <c r="R321" t="str">
        <f>"00030206725285"</f>
        <v>00030206725285</v>
      </c>
      <c r="S321" s="1">
        <v>41786</v>
      </c>
      <c r="T321" s="1">
        <v>41772</v>
      </c>
      <c r="U321" t="str">
        <f>"3020672528"</f>
        <v>3020672528</v>
      </c>
      <c r="V321" t="str">
        <f>"1010"</f>
        <v>1010</v>
      </c>
      <c r="W321" t="str">
        <f t="shared" si="68"/>
        <v>11</v>
      </c>
      <c r="X321" t="s">
        <v>75</v>
      </c>
      <c r="Y321" t="s">
        <v>139</v>
      </c>
      <c r="Z321" t="s">
        <v>180</v>
      </c>
      <c r="AA321" t="s">
        <v>181</v>
      </c>
      <c r="AB321" t="s">
        <v>79</v>
      </c>
      <c r="AD321" t="s">
        <v>80</v>
      </c>
      <c r="AE321" t="s">
        <v>81</v>
      </c>
      <c r="AF321" t="s">
        <v>82</v>
      </c>
      <c r="AG321" t="s">
        <v>83</v>
      </c>
      <c r="AH321" t="s">
        <v>84</v>
      </c>
      <c r="AI321" t="str">
        <f t="shared" si="83"/>
        <v>01</v>
      </c>
      <c r="AJ321" t="str">
        <f t="shared" si="82"/>
        <v>1</v>
      </c>
      <c r="AK321" t="s">
        <v>93</v>
      </c>
      <c r="AL321" t="s">
        <v>143</v>
      </c>
      <c r="AM321" t="s">
        <v>95</v>
      </c>
      <c r="AN321" t="str">
        <f t="shared" si="71"/>
        <v>.9700</v>
      </c>
      <c r="AO321" t="str">
        <f t="shared" si="85"/>
        <v>11.41</v>
      </c>
      <c r="AP321" t="s">
        <v>96</v>
      </c>
      <c r="AQ321" t="str">
        <f t="shared" si="86"/>
        <v>11.41</v>
      </c>
      <c r="AR321">
        <v>23</v>
      </c>
      <c r="AS321">
        <v>0</v>
      </c>
      <c r="AT321">
        <v>23</v>
      </c>
      <c r="AU321">
        <v>262.43</v>
      </c>
      <c r="AV321">
        <v>4</v>
      </c>
      <c r="AW321">
        <v>258.43</v>
      </c>
      <c r="AX321">
        <v>0</v>
      </c>
      <c r="AY321">
        <v>258.43</v>
      </c>
      <c r="AZ321">
        <v>0</v>
      </c>
    </row>
    <row r="322" spans="1:52">
      <c r="A322" t="s">
        <v>65</v>
      </c>
      <c r="B322" t="s">
        <v>66</v>
      </c>
      <c r="C322" t="s">
        <v>67</v>
      </c>
      <c r="D322" t="s">
        <v>68</v>
      </c>
      <c r="E322" t="s">
        <v>69</v>
      </c>
      <c r="F322" t="s">
        <v>70</v>
      </c>
      <c r="G322" t="s">
        <v>71</v>
      </c>
      <c r="H322" t="s">
        <v>70</v>
      </c>
      <c r="I322" t="str">
        <f t="shared" si="66"/>
        <v>1010</v>
      </c>
      <c r="J322" t="str">
        <f t="shared" si="67"/>
        <v>05</v>
      </c>
      <c r="K322" t="s">
        <v>68</v>
      </c>
      <c r="L322" t="s">
        <v>72</v>
      </c>
      <c r="M322" t="s">
        <v>68</v>
      </c>
      <c r="N322" t="s">
        <v>181</v>
      </c>
      <c r="O322" t="s">
        <v>597</v>
      </c>
      <c r="P322" t="str">
        <f>"3020671222"</f>
        <v>3020671222</v>
      </c>
      <c r="R322" t="str">
        <f>"00030206712223"</f>
        <v>00030206712223</v>
      </c>
      <c r="S322" s="1">
        <v>40848</v>
      </c>
      <c r="T322" s="1">
        <v>40848</v>
      </c>
      <c r="U322" t="str">
        <f>"3020671222"</f>
        <v>3020671222</v>
      </c>
      <c r="V322" t="str">
        <f>"1510"</f>
        <v>1510</v>
      </c>
      <c r="W322" t="str">
        <f t="shared" si="68"/>
        <v>11</v>
      </c>
      <c r="X322" t="s">
        <v>75</v>
      </c>
      <c r="Y322" t="s">
        <v>76</v>
      </c>
      <c r="Z322" t="s">
        <v>180</v>
      </c>
      <c r="AA322" t="s">
        <v>181</v>
      </c>
      <c r="AB322" t="s">
        <v>79</v>
      </c>
      <c r="AD322" t="s">
        <v>80</v>
      </c>
      <c r="AE322" t="s">
        <v>81</v>
      </c>
      <c r="AF322" t="s">
        <v>82</v>
      </c>
      <c r="AG322" t="s">
        <v>83</v>
      </c>
      <c r="AH322" t="s">
        <v>84</v>
      </c>
      <c r="AI322" t="str">
        <f t="shared" si="83"/>
        <v>01</v>
      </c>
      <c r="AJ322" t="str">
        <f t="shared" ref="AJ322:AJ346" si="87">"1"</f>
        <v>1</v>
      </c>
      <c r="AK322" t="s">
        <v>93</v>
      </c>
      <c r="AL322" t="s">
        <v>94</v>
      </c>
      <c r="AM322" t="s">
        <v>95</v>
      </c>
      <c r="AN322" t="str">
        <f t="shared" si="71"/>
        <v>.9700</v>
      </c>
      <c r="AO322" t="str">
        <f t="shared" si="85"/>
        <v>11.41</v>
      </c>
      <c r="AP322" t="s">
        <v>96</v>
      </c>
      <c r="AQ322" t="str">
        <f t="shared" si="86"/>
        <v>11.41</v>
      </c>
      <c r="AR322">
        <v>1</v>
      </c>
      <c r="AS322">
        <v>-14</v>
      </c>
      <c r="AT322">
        <v>-13</v>
      </c>
      <c r="AU322">
        <v>11.41</v>
      </c>
      <c r="AV322">
        <v>1.37</v>
      </c>
      <c r="AW322">
        <v>10.039999999999999</v>
      </c>
      <c r="AX322">
        <v>-143.6</v>
      </c>
      <c r="AY322">
        <v>-133.56</v>
      </c>
      <c r="AZ322">
        <v>0</v>
      </c>
    </row>
    <row r="323" spans="1:52">
      <c r="A323" t="s">
        <v>65</v>
      </c>
      <c r="B323" t="s">
        <v>66</v>
      </c>
      <c r="C323" t="s">
        <v>67</v>
      </c>
      <c r="D323" t="s">
        <v>68</v>
      </c>
      <c r="E323" t="s">
        <v>69</v>
      </c>
      <c r="F323" t="s">
        <v>70</v>
      </c>
      <c r="G323" t="s">
        <v>71</v>
      </c>
      <c r="H323" t="s">
        <v>70</v>
      </c>
      <c r="I323" t="str">
        <f t="shared" si="66"/>
        <v>1010</v>
      </c>
      <c r="J323" t="str">
        <f t="shared" si="67"/>
        <v>05</v>
      </c>
      <c r="K323" t="s">
        <v>68</v>
      </c>
      <c r="L323" t="s">
        <v>72</v>
      </c>
      <c r="M323" t="s">
        <v>68</v>
      </c>
      <c r="N323" t="s">
        <v>181</v>
      </c>
      <c r="O323" t="s">
        <v>598</v>
      </c>
      <c r="P323" t="s">
        <v>599</v>
      </c>
      <c r="R323" t="str">
        <f>"00030206745122"</f>
        <v>00030206745122</v>
      </c>
      <c r="S323" s="1">
        <v>32447</v>
      </c>
      <c r="T323" s="1">
        <v>32447</v>
      </c>
      <c r="U323" t="s">
        <v>599</v>
      </c>
      <c r="V323" t="str">
        <f>"1510"</f>
        <v>1510</v>
      </c>
      <c r="W323" t="str">
        <f t="shared" si="68"/>
        <v>11</v>
      </c>
      <c r="X323" t="s">
        <v>75</v>
      </c>
      <c r="Y323" t="s">
        <v>76</v>
      </c>
      <c r="Z323" t="s">
        <v>180</v>
      </c>
      <c r="AA323" t="s">
        <v>181</v>
      </c>
      <c r="AB323" t="s">
        <v>79</v>
      </c>
      <c r="AD323" t="s">
        <v>80</v>
      </c>
      <c r="AE323" t="s">
        <v>81</v>
      </c>
      <c r="AF323" t="s">
        <v>82</v>
      </c>
      <c r="AG323" t="s">
        <v>83</v>
      </c>
      <c r="AH323" t="s">
        <v>84</v>
      </c>
      <c r="AI323" t="str">
        <f t="shared" si="83"/>
        <v>01</v>
      </c>
      <c r="AJ323" t="str">
        <f t="shared" si="87"/>
        <v>1</v>
      </c>
      <c r="AK323" t="s">
        <v>107</v>
      </c>
      <c r="AL323" t="s">
        <v>94</v>
      </c>
      <c r="AM323" t="s">
        <v>95</v>
      </c>
      <c r="AN323" t="str">
        <f t="shared" si="71"/>
        <v>.9700</v>
      </c>
      <c r="AO323" t="str">
        <f>"10.78"</f>
        <v>10.78</v>
      </c>
      <c r="AP323" t="s">
        <v>108</v>
      </c>
      <c r="AQ323" t="str">
        <f>"10.78"</f>
        <v>10.78</v>
      </c>
      <c r="AR323">
        <v>24</v>
      </c>
      <c r="AS323">
        <v>0</v>
      </c>
      <c r="AT323">
        <v>24</v>
      </c>
      <c r="AU323">
        <v>258.8</v>
      </c>
      <c r="AV323">
        <v>28.46</v>
      </c>
      <c r="AW323">
        <v>230.34</v>
      </c>
      <c r="AX323">
        <v>0</v>
      </c>
      <c r="AY323">
        <v>230.34</v>
      </c>
      <c r="AZ323">
        <v>0</v>
      </c>
    </row>
    <row r="324" spans="1:52">
      <c r="A324" t="s">
        <v>65</v>
      </c>
      <c r="B324" t="s">
        <v>66</v>
      </c>
      <c r="C324" t="s">
        <v>67</v>
      </c>
      <c r="D324" t="s">
        <v>68</v>
      </c>
      <c r="E324" t="s">
        <v>69</v>
      </c>
      <c r="F324" t="s">
        <v>70</v>
      </c>
      <c r="G324" t="s">
        <v>71</v>
      </c>
      <c r="H324" t="s">
        <v>70</v>
      </c>
      <c r="I324" t="str">
        <f t="shared" si="66"/>
        <v>1010</v>
      </c>
      <c r="J324" t="str">
        <f t="shared" si="67"/>
        <v>05</v>
      </c>
      <c r="K324" t="s">
        <v>68</v>
      </c>
      <c r="L324" t="s">
        <v>72</v>
      </c>
      <c r="M324" t="s">
        <v>68</v>
      </c>
      <c r="N324" t="s">
        <v>181</v>
      </c>
      <c r="O324" t="s">
        <v>600</v>
      </c>
      <c r="P324" t="str">
        <f>"3020672458"</f>
        <v>3020672458</v>
      </c>
      <c r="R324" t="str">
        <f>"00030206724585"</f>
        <v>00030206724585</v>
      </c>
      <c r="S324" s="1">
        <v>41667</v>
      </c>
      <c r="T324" s="1">
        <v>41653</v>
      </c>
      <c r="U324" t="str">
        <f>"3020672458"</f>
        <v>3020672458</v>
      </c>
      <c r="V324" t="str">
        <f>"1010"</f>
        <v>1010</v>
      </c>
      <c r="W324" t="str">
        <f t="shared" si="68"/>
        <v>11</v>
      </c>
      <c r="X324" t="s">
        <v>75</v>
      </c>
      <c r="Y324" t="s">
        <v>139</v>
      </c>
      <c r="Z324" t="s">
        <v>180</v>
      </c>
      <c r="AA324" t="s">
        <v>181</v>
      </c>
      <c r="AB324" t="s">
        <v>79</v>
      </c>
      <c r="AD324" t="s">
        <v>80</v>
      </c>
      <c r="AE324" t="s">
        <v>81</v>
      </c>
      <c r="AF324" t="s">
        <v>82</v>
      </c>
      <c r="AG324" t="s">
        <v>83</v>
      </c>
      <c r="AH324" t="s">
        <v>84</v>
      </c>
      <c r="AJ324" t="str">
        <f t="shared" si="87"/>
        <v>1</v>
      </c>
      <c r="AK324" t="s">
        <v>93</v>
      </c>
      <c r="AL324" t="s">
        <v>143</v>
      </c>
      <c r="AM324" t="s">
        <v>95</v>
      </c>
      <c r="AN324" t="str">
        <f t="shared" si="71"/>
        <v>.9700</v>
      </c>
      <c r="AO324" t="str">
        <f>"11.41"</f>
        <v>11.41</v>
      </c>
      <c r="AP324" t="s">
        <v>96</v>
      </c>
      <c r="AQ324" t="str">
        <f>"11.41"</f>
        <v>11.41</v>
      </c>
      <c r="AR324">
        <v>3</v>
      </c>
      <c r="AS324">
        <v>-21</v>
      </c>
      <c r="AT324">
        <v>-18</v>
      </c>
      <c r="AU324">
        <v>34.229999999999997</v>
      </c>
      <c r="AV324">
        <v>0</v>
      </c>
      <c r="AW324">
        <v>34.229999999999997</v>
      </c>
      <c r="AX324">
        <v>-208.51</v>
      </c>
      <c r="AY324">
        <v>-174.28</v>
      </c>
      <c r="AZ324">
        <v>0</v>
      </c>
    </row>
    <row r="325" spans="1:52">
      <c r="A325" t="s">
        <v>65</v>
      </c>
      <c r="B325" t="s">
        <v>66</v>
      </c>
      <c r="C325" t="s">
        <v>67</v>
      </c>
      <c r="D325" t="s">
        <v>68</v>
      </c>
      <c r="E325" t="s">
        <v>69</v>
      </c>
      <c r="F325" t="s">
        <v>70</v>
      </c>
      <c r="G325" t="s">
        <v>71</v>
      </c>
      <c r="H325" t="s">
        <v>70</v>
      </c>
      <c r="I325" t="str">
        <f t="shared" si="66"/>
        <v>1010</v>
      </c>
      <c r="J325" t="str">
        <f t="shared" si="67"/>
        <v>05</v>
      </c>
      <c r="K325" t="s">
        <v>68</v>
      </c>
      <c r="L325" t="s">
        <v>72</v>
      </c>
      <c r="M325" t="s">
        <v>68</v>
      </c>
      <c r="N325" t="s">
        <v>181</v>
      </c>
      <c r="O325" t="s">
        <v>601</v>
      </c>
      <c r="P325" t="str">
        <f>"3020672578"</f>
        <v>3020672578</v>
      </c>
      <c r="R325" t="str">
        <f>"00030206725780"</f>
        <v>00030206725780</v>
      </c>
      <c r="S325" s="1">
        <v>41723</v>
      </c>
      <c r="T325" s="1">
        <v>41709</v>
      </c>
      <c r="U325" t="str">
        <f>"3020672578"</f>
        <v>3020672578</v>
      </c>
      <c r="V325" t="str">
        <f>"1010"</f>
        <v>1010</v>
      </c>
      <c r="W325" t="str">
        <f t="shared" si="68"/>
        <v>11</v>
      </c>
      <c r="X325" t="s">
        <v>75</v>
      </c>
      <c r="Y325" t="s">
        <v>139</v>
      </c>
      <c r="Z325" t="s">
        <v>180</v>
      </c>
      <c r="AA325" t="s">
        <v>181</v>
      </c>
      <c r="AB325" t="s">
        <v>79</v>
      </c>
      <c r="AD325" t="s">
        <v>80</v>
      </c>
      <c r="AE325" t="s">
        <v>81</v>
      </c>
      <c r="AF325" t="s">
        <v>82</v>
      </c>
      <c r="AG325" t="s">
        <v>83</v>
      </c>
      <c r="AH325" t="s">
        <v>84</v>
      </c>
      <c r="AJ325" t="str">
        <f t="shared" si="87"/>
        <v>1</v>
      </c>
      <c r="AK325" t="s">
        <v>93</v>
      </c>
      <c r="AL325" t="s">
        <v>143</v>
      </c>
      <c r="AM325" t="s">
        <v>95</v>
      </c>
      <c r="AN325" t="str">
        <f t="shared" si="71"/>
        <v>.9700</v>
      </c>
      <c r="AO325" t="str">
        <f>"11.41"</f>
        <v>11.41</v>
      </c>
      <c r="AP325" t="s">
        <v>96</v>
      </c>
      <c r="AQ325" t="str">
        <f>"11.41"</f>
        <v>11.41</v>
      </c>
      <c r="AR325">
        <v>2</v>
      </c>
      <c r="AS325">
        <v>-65</v>
      </c>
      <c r="AT325">
        <v>-63</v>
      </c>
      <c r="AU325">
        <v>22.82</v>
      </c>
      <c r="AV325">
        <v>0</v>
      </c>
      <c r="AW325">
        <v>22.82</v>
      </c>
      <c r="AX325">
        <v>-644.84</v>
      </c>
      <c r="AY325">
        <v>-622.02</v>
      </c>
      <c r="AZ325">
        <v>0</v>
      </c>
    </row>
    <row r="326" spans="1:52">
      <c r="A326" t="s">
        <v>65</v>
      </c>
      <c r="B326" t="s">
        <v>66</v>
      </c>
      <c r="C326" t="s">
        <v>67</v>
      </c>
      <c r="D326" t="s">
        <v>68</v>
      </c>
      <c r="E326" t="s">
        <v>69</v>
      </c>
      <c r="F326" t="s">
        <v>70</v>
      </c>
      <c r="G326" t="s">
        <v>71</v>
      </c>
      <c r="H326" t="s">
        <v>70</v>
      </c>
      <c r="I326" t="str">
        <f t="shared" si="66"/>
        <v>1010</v>
      </c>
      <c r="J326" t="str">
        <f t="shared" si="67"/>
        <v>05</v>
      </c>
      <c r="K326" t="s">
        <v>68</v>
      </c>
      <c r="L326" t="s">
        <v>72</v>
      </c>
      <c r="M326" t="s">
        <v>68</v>
      </c>
      <c r="N326" t="s">
        <v>181</v>
      </c>
      <c r="O326" t="s">
        <v>602</v>
      </c>
      <c r="P326" t="s">
        <v>603</v>
      </c>
      <c r="R326" t="str">
        <f>"00030206743128"</f>
        <v>00030206743128</v>
      </c>
      <c r="S326" s="1">
        <v>32461</v>
      </c>
      <c r="T326" s="1">
        <v>32461</v>
      </c>
      <c r="U326" t="s">
        <v>603</v>
      </c>
      <c r="V326" t="str">
        <f>"1510"</f>
        <v>1510</v>
      </c>
      <c r="W326" t="str">
        <f t="shared" si="68"/>
        <v>11</v>
      </c>
      <c r="X326" t="s">
        <v>75</v>
      </c>
      <c r="Y326" t="s">
        <v>76</v>
      </c>
      <c r="Z326" t="s">
        <v>180</v>
      </c>
      <c r="AA326" t="s">
        <v>181</v>
      </c>
      <c r="AB326" t="s">
        <v>79</v>
      </c>
      <c r="AD326" t="s">
        <v>80</v>
      </c>
      <c r="AE326" t="s">
        <v>81</v>
      </c>
      <c r="AF326" t="s">
        <v>82</v>
      </c>
      <c r="AG326" t="s">
        <v>83</v>
      </c>
      <c r="AH326" t="s">
        <v>84</v>
      </c>
      <c r="AI326" t="str">
        <f t="shared" ref="AI326:AI338" si="88">"01"</f>
        <v>01</v>
      </c>
      <c r="AJ326" t="str">
        <f t="shared" si="87"/>
        <v>1</v>
      </c>
      <c r="AK326" t="s">
        <v>107</v>
      </c>
      <c r="AL326" t="s">
        <v>94</v>
      </c>
      <c r="AM326" t="s">
        <v>95</v>
      </c>
      <c r="AN326" t="str">
        <f t="shared" si="71"/>
        <v>.9700</v>
      </c>
      <c r="AO326" t="str">
        <f>"10.78"</f>
        <v>10.78</v>
      </c>
      <c r="AP326" t="s">
        <v>108</v>
      </c>
      <c r="AQ326" t="str">
        <f>"10.78"</f>
        <v>10.78</v>
      </c>
      <c r="AR326">
        <v>48</v>
      </c>
      <c r="AS326">
        <v>-1</v>
      </c>
      <c r="AT326">
        <v>47</v>
      </c>
      <c r="AU326">
        <v>517.61</v>
      </c>
      <c r="AV326">
        <v>54.35</v>
      </c>
      <c r="AW326">
        <v>463.26</v>
      </c>
      <c r="AX326">
        <v>-9.77</v>
      </c>
      <c r="AY326">
        <v>453.49</v>
      </c>
      <c r="AZ326">
        <v>0</v>
      </c>
    </row>
    <row r="327" spans="1:52">
      <c r="A327" t="s">
        <v>65</v>
      </c>
      <c r="B327" t="s">
        <v>66</v>
      </c>
      <c r="C327" t="s">
        <v>67</v>
      </c>
      <c r="D327" t="s">
        <v>68</v>
      </c>
      <c r="E327" t="s">
        <v>69</v>
      </c>
      <c r="F327" t="s">
        <v>70</v>
      </c>
      <c r="G327" t="s">
        <v>71</v>
      </c>
      <c r="H327" t="s">
        <v>70</v>
      </c>
      <c r="I327" t="str">
        <f t="shared" si="66"/>
        <v>1010</v>
      </c>
      <c r="J327" t="str">
        <f t="shared" si="67"/>
        <v>05</v>
      </c>
      <c r="K327" t="s">
        <v>68</v>
      </c>
      <c r="L327" t="s">
        <v>72</v>
      </c>
      <c r="M327" t="s">
        <v>68</v>
      </c>
      <c r="N327" t="s">
        <v>181</v>
      </c>
      <c r="O327" t="s">
        <v>604</v>
      </c>
      <c r="P327" t="str">
        <f>"3020670842"</f>
        <v>3020670842</v>
      </c>
      <c r="R327" t="str">
        <f>"00030206708424"</f>
        <v>00030206708424</v>
      </c>
      <c r="S327" s="1">
        <v>40652</v>
      </c>
      <c r="T327" s="1">
        <v>40652</v>
      </c>
      <c r="U327" t="str">
        <f>"3020670842"</f>
        <v>3020670842</v>
      </c>
      <c r="V327" t="str">
        <f>"1510"</f>
        <v>1510</v>
      </c>
      <c r="W327" t="str">
        <f t="shared" si="68"/>
        <v>11</v>
      </c>
      <c r="X327" t="s">
        <v>75</v>
      </c>
      <c r="Y327" t="s">
        <v>76</v>
      </c>
      <c r="Z327" t="s">
        <v>180</v>
      </c>
      <c r="AA327" t="s">
        <v>181</v>
      </c>
      <c r="AB327" t="s">
        <v>79</v>
      </c>
      <c r="AD327" t="s">
        <v>80</v>
      </c>
      <c r="AE327" t="s">
        <v>81</v>
      </c>
      <c r="AF327" t="s">
        <v>82</v>
      </c>
      <c r="AG327" t="s">
        <v>83</v>
      </c>
      <c r="AH327" t="s">
        <v>84</v>
      </c>
      <c r="AI327" t="str">
        <f t="shared" si="88"/>
        <v>01</v>
      </c>
      <c r="AJ327" t="str">
        <f t="shared" si="87"/>
        <v>1</v>
      </c>
      <c r="AK327" t="s">
        <v>93</v>
      </c>
      <c r="AL327" t="s">
        <v>94</v>
      </c>
      <c r="AM327" t="s">
        <v>95</v>
      </c>
      <c r="AN327" t="str">
        <f t="shared" si="71"/>
        <v>.9700</v>
      </c>
      <c r="AO327" t="str">
        <f>"11.41"</f>
        <v>11.41</v>
      </c>
      <c r="AP327" t="s">
        <v>96</v>
      </c>
      <c r="AQ327" t="str">
        <f>"11.41"</f>
        <v>11.41</v>
      </c>
      <c r="AR327">
        <v>21</v>
      </c>
      <c r="AS327">
        <v>-7</v>
      </c>
      <c r="AT327">
        <v>14</v>
      </c>
      <c r="AU327">
        <v>235.04</v>
      </c>
      <c r="AV327">
        <v>23.28</v>
      </c>
      <c r="AW327">
        <v>211.76</v>
      </c>
      <c r="AX327">
        <v>-69.16</v>
      </c>
      <c r="AY327">
        <v>142.6</v>
      </c>
      <c r="AZ327">
        <v>0</v>
      </c>
    </row>
    <row r="328" spans="1:52">
      <c r="A328" t="s">
        <v>65</v>
      </c>
      <c r="B328" t="s">
        <v>66</v>
      </c>
      <c r="C328" t="s">
        <v>67</v>
      </c>
      <c r="D328" t="s">
        <v>68</v>
      </c>
      <c r="E328" t="s">
        <v>69</v>
      </c>
      <c r="F328" t="s">
        <v>70</v>
      </c>
      <c r="G328" t="s">
        <v>71</v>
      </c>
      <c r="H328" t="s">
        <v>70</v>
      </c>
      <c r="I328" t="str">
        <f t="shared" si="66"/>
        <v>1010</v>
      </c>
      <c r="J328" t="str">
        <f t="shared" si="67"/>
        <v>05</v>
      </c>
      <c r="K328" t="s">
        <v>68</v>
      </c>
      <c r="L328" t="s">
        <v>72</v>
      </c>
      <c r="M328" t="s">
        <v>68</v>
      </c>
      <c r="N328" t="s">
        <v>181</v>
      </c>
      <c r="O328" t="s">
        <v>605</v>
      </c>
      <c r="P328" t="str">
        <f>"3020671752"</f>
        <v>3020671752</v>
      </c>
      <c r="R328" t="str">
        <f>"00030206717525"</f>
        <v>00030206717525</v>
      </c>
      <c r="S328" s="1">
        <v>41226</v>
      </c>
      <c r="T328" s="1">
        <v>41226</v>
      </c>
      <c r="U328" t="str">
        <f>"3020671752"</f>
        <v>3020671752</v>
      </c>
      <c r="V328" t="str">
        <f>"1010"</f>
        <v>1010</v>
      </c>
      <c r="W328" t="str">
        <f t="shared" si="68"/>
        <v>11</v>
      </c>
      <c r="X328" t="s">
        <v>75</v>
      </c>
      <c r="Y328" t="s">
        <v>173</v>
      </c>
      <c r="Z328" t="s">
        <v>180</v>
      </c>
      <c r="AA328" t="s">
        <v>181</v>
      </c>
      <c r="AB328" t="s">
        <v>79</v>
      </c>
      <c r="AD328" t="s">
        <v>80</v>
      </c>
      <c r="AE328" t="s">
        <v>81</v>
      </c>
      <c r="AF328" t="s">
        <v>82</v>
      </c>
      <c r="AG328" t="s">
        <v>83</v>
      </c>
      <c r="AH328" t="s">
        <v>84</v>
      </c>
      <c r="AI328" t="str">
        <f t="shared" si="88"/>
        <v>01</v>
      </c>
      <c r="AJ328" t="str">
        <f t="shared" si="87"/>
        <v>1</v>
      </c>
      <c r="AK328" t="s">
        <v>93</v>
      </c>
      <c r="AL328" t="s">
        <v>94</v>
      </c>
      <c r="AM328" t="s">
        <v>95</v>
      </c>
      <c r="AN328" t="str">
        <f t="shared" si="71"/>
        <v>.9700</v>
      </c>
      <c r="AO328" t="str">
        <f>"11.41"</f>
        <v>11.41</v>
      </c>
      <c r="AP328" t="s">
        <v>96</v>
      </c>
      <c r="AQ328" t="str">
        <f>"11.41"</f>
        <v>11.41</v>
      </c>
      <c r="AR328">
        <v>34</v>
      </c>
      <c r="AS328">
        <v>-11</v>
      </c>
      <c r="AT328">
        <v>23</v>
      </c>
      <c r="AU328">
        <v>379.21</v>
      </c>
      <c r="AV328">
        <v>0</v>
      </c>
      <c r="AW328">
        <v>379.21</v>
      </c>
      <c r="AX328">
        <v>-110.67</v>
      </c>
      <c r="AY328">
        <v>268.54000000000002</v>
      </c>
      <c r="AZ328">
        <v>0</v>
      </c>
    </row>
    <row r="329" spans="1:52">
      <c r="A329" t="s">
        <v>65</v>
      </c>
      <c r="B329" t="s">
        <v>66</v>
      </c>
      <c r="C329" t="s">
        <v>67</v>
      </c>
      <c r="D329" t="s">
        <v>68</v>
      </c>
      <c r="E329" t="s">
        <v>69</v>
      </c>
      <c r="F329" t="s">
        <v>70</v>
      </c>
      <c r="G329" t="s">
        <v>71</v>
      </c>
      <c r="H329" t="s">
        <v>70</v>
      </c>
      <c r="I329" t="str">
        <f t="shared" si="66"/>
        <v>1010</v>
      </c>
      <c r="J329" t="str">
        <f t="shared" si="67"/>
        <v>05</v>
      </c>
      <c r="K329" t="s">
        <v>68</v>
      </c>
      <c r="L329" t="s">
        <v>72</v>
      </c>
      <c r="M329" t="s">
        <v>68</v>
      </c>
      <c r="N329" t="s">
        <v>181</v>
      </c>
      <c r="O329" t="s">
        <v>606</v>
      </c>
      <c r="P329" t="str">
        <f>"3020671062"</f>
        <v>3020671062</v>
      </c>
      <c r="R329" t="str">
        <f>"00030206710625"</f>
        <v>00030206710625</v>
      </c>
      <c r="S329" s="1">
        <v>40771</v>
      </c>
      <c r="T329" s="1">
        <v>40750</v>
      </c>
      <c r="U329" t="str">
        <f>"3020671062"</f>
        <v>3020671062</v>
      </c>
      <c r="V329" t="str">
        <f t="shared" ref="V329:V338" si="89">"1510"</f>
        <v>1510</v>
      </c>
      <c r="W329" t="str">
        <f t="shared" si="68"/>
        <v>11</v>
      </c>
      <c r="X329" t="s">
        <v>75</v>
      </c>
      <c r="Y329" t="s">
        <v>76</v>
      </c>
      <c r="Z329" t="s">
        <v>180</v>
      </c>
      <c r="AA329" t="s">
        <v>181</v>
      </c>
      <c r="AB329" t="s">
        <v>79</v>
      </c>
      <c r="AD329" t="s">
        <v>80</v>
      </c>
      <c r="AE329" t="s">
        <v>81</v>
      </c>
      <c r="AF329" t="s">
        <v>82</v>
      </c>
      <c r="AG329" t="s">
        <v>83</v>
      </c>
      <c r="AH329" t="s">
        <v>84</v>
      </c>
      <c r="AI329" t="str">
        <f t="shared" si="88"/>
        <v>01</v>
      </c>
      <c r="AJ329" t="str">
        <f t="shared" si="87"/>
        <v>1</v>
      </c>
      <c r="AK329" t="s">
        <v>93</v>
      </c>
      <c r="AL329" t="s">
        <v>94</v>
      </c>
      <c r="AM329" t="s">
        <v>95</v>
      </c>
      <c r="AN329" t="str">
        <f t="shared" si="71"/>
        <v>.9700</v>
      </c>
      <c r="AO329" t="str">
        <f>"11.41"</f>
        <v>11.41</v>
      </c>
      <c r="AP329" t="s">
        <v>96</v>
      </c>
      <c r="AQ329" t="str">
        <f>"11.41"</f>
        <v>11.41</v>
      </c>
      <c r="AR329">
        <v>25</v>
      </c>
      <c r="AS329">
        <v>-2</v>
      </c>
      <c r="AT329">
        <v>23</v>
      </c>
      <c r="AU329">
        <v>285.24</v>
      </c>
      <c r="AV329">
        <v>21.91</v>
      </c>
      <c r="AW329">
        <v>263.33</v>
      </c>
      <c r="AX329">
        <v>-20.079999999999998</v>
      </c>
      <c r="AY329">
        <v>243.25</v>
      </c>
      <c r="AZ329">
        <v>0</v>
      </c>
    </row>
    <row r="330" spans="1:52">
      <c r="A330" t="s">
        <v>65</v>
      </c>
      <c r="B330" t="s">
        <v>66</v>
      </c>
      <c r="C330" t="s">
        <v>67</v>
      </c>
      <c r="D330" t="s">
        <v>68</v>
      </c>
      <c r="E330" t="s">
        <v>69</v>
      </c>
      <c r="F330" t="s">
        <v>70</v>
      </c>
      <c r="G330" t="s">
        <v>71</v>
      </c>
      <c r="H330" t="s">
        <v>70</v>
      </c>
      <c r="I330" t="str">
        <f t="shared" ref="I330:I393" si="90">"1010"</f>
        <v>1010</v>
      </c>
      <c r="J330" t="str">
        <f t="shared" ref="J330:J393" si="91">"05"</f>
        <v>05</v>
      </c>
      <c r="K330" t="s">
        <v>68</v>
      </c>
      <c r="L330" t="s">
        <v>72</v>
      </c>
      <c r="M330" t="s">
        <v>68</v>
      </c>
      <c r="N330" t="s">
        <v>181</v>
      </c>
      <c r="O330" t="s">
        <v>607</v>
      </c>
      <c r="P330" t="str">
        <f>"3020670202"</f>
        <v>3020670202</v>
      </c>
      <c r="R330" t="str">
        <f>"00030206702026"</f>
        <v>00030206702026</v>
      </c>
      <c r="S330" s="1">
        <v>40309</v>
      </c>
      <c r="T330" s="1">
        <v>40309</v>
      </c>
      <c r="U330" t="str">
        <f>"3020670202"</f>
        <v>3020670202</v>
      </c>
      <c r="V330" t="str">
        <f t="shared" si="89"/>
        <v>1510</v>
      </c>
      <c r="W330" t="str">
        <f t="shared" ref="W330:W353" si="92">"11"</f>
        <v>11</v>
      </c>
      <c r="X330" t="s">
        <v>75</v>
      </c>
      <c r="Y330" t="s">
        <v>76</v>
      </c>
      <c r="Z330" t="s">
        <v>180</v>
      </c>
      <c r="AA330" t="s">
        <v>181</v>
      </c>
      <c r="AB330" t="s">
        <v>79</v>
      </c>
      <c r="AD330" t="s">
        <v>80</v>
      </c>
      <c r="AE330" t="s">
        <v>81</v>
      </c>
      <c r="AF330" t="s">
        <v>82</v>
      </c>
      <c r="AG330" t="s">
        <v>83</v>
      </c>
      <c r="AH330" t="s">
        <v>84</v>
      </c>
      <c r="AI330" t="str">
        <f t="shared" si="88"/>
        <v>01</v>
      </c>
      <c r="AJ330" t="str">
        <f t="shared" si="87"/>
        <v>1</v>
      </c>
      <c r="AK330" t="s">
        <v>93</v>
      </c>
      <c r="AL330" t="s">
        <v>94</v>
      </c>
      <c r="AM330" t="s">
        <v>95</v>
      </c>
      <c r="AN330" t="str">
        <f t="shared" si="71"/>
        <v>.9700</v>
      </c>
      <c r="AO330" t="str">
        <f>"11.41"</f>
        <v>11.41</v>
      </c>
      <c r="AP330" t="s">
        <v>96</v>
      </c>
      <c r="AQ330" t="str">
        <f>"11.41"</f>
        <v>11.41</v>
      </c>
      <c r="AR330">
        <v>38</v>
      </c>
      <c r="AS330">
        <v>0</v>
      </c>
      <c r="AT330">
        <v>38</v>
      </c>
      <c r="AU330">
        <v>433.55</v>
      </c>
      <c r="AV330">
        <v>42.44</v>
      </c>
      <c r="AW330">
        <v>391.11</v>
      </c>
      <c r="AX330">
        <v>0</v>
      </c>
      <c r="AY330">
        <v>391.11</v>
      </c>
      <c r="AZ330">
        <v>0</v>
      </c>
    </row>
    <row r="331" spans="1:52">
      <c r="A331" t="s">
        <v>65</v>
      </c>
      <c r="B331" t="s">
        <v>66</v>
      </c>
      <c r="C331" t="s">
        <v>67</v>
      </c>
      <c r="D331" t="s">
        <v>68</v>
      </c>
      <c r="E331" t="s">
        <v>69</v>
      </c>
      <c r="F331" t="s">
        <v>70</v>
      </c>
      <c r="G331" t="s">
        <v>71</v>
      </c>
      <c r="H331" t="s">
        <v>70</v>
      </c>
      <c r="I331" t="str">
        <f t="shared" si="90"/>
        <v>1010</v>
      </c>
      <c r="J331" t="str">
        <f t="shared" si="91"/>
        <v>05</v>
      </c>
      <c r="K331" t="s">
        <v>68</v>
      </c>
      <c r="L331" t="s">
        <v>72</v>
      </c>
      <c r="M331" t="s">
        <v>68</v>
      </c>
      <c r="N331" t="s">
        <v>181</v>
      </c>
      <c r="O331" t="s">
        <v>608</v>
      </c>
      <c r="P331" t="str">
        <f>"3020671372"</f>
        <v>3020671372</v>
      </c>
      <c r="R331" t="str">
        <f>"00030206713725"</f>
        <v>00030206713725</v>
      </c>
      <c r="S331" s="1">
        <v>40960</v>
      </c>
      <c r="T331" s="1">
        <v>40946</v>
      </c>
      <c r="U331" t="str">
        <f>"3020671372"</f>
        <v>3020671372</v>
      </c>
      <c r="V331" t="str">
        <f t="shared" si="89"/>
        <v>1510</v>
      </c>
      <c r="W331" t="str">
        <f t="shared" si="92"/>
        <v>11</v>
      </c>
      <c r="X331" t="s">
        <v>75</v>
      </c>
      <c r="Y331" t="s">
        <v>76</v>
      </c>
      <c r="Z331" t="s">
        <v>180</v>
      </c>
      <c r="AA331" t="s">
        <v>181</v>
      </c>
      <c r="AB331" t="s">
        <v>79</v>
      </c>
      <c r="AD331" t="s">
        <v>80</v>
      </c>
      <c r="AE331" t="s">
        <v>81</v>
      </c>
      <c r="AF331" t="s">
        <v>82</v>
      </c>
      <c r="AG331" t="s">
        <v>83</v>
      </c>
      <c r="AH331" t="s">
        <v>84</v>
      </c>
      <c r="AI331" t="str">
        <f t="shared" si="88"/>
        <v>01</v>
      </c>
      <c r="AJ331" t="str">
        <f t="shared" si="87"/>
        <v>1</v>
      </c>
      <c r="AK331" t="s">
        <v>93</v>
      </c>
      <c r="AL331" t="s">
        <v>94</v>
      </c>
      <c r="AM331" t="s">
        <v>95</v>
      </c>
      <c r="AN331" t="str">
        <f t="shared" ref="AN331:AN394" si="93">".9700"</f>
        <v>.9700</v>
      </c>
      <c r="AO331" t="str">
        <f>"11.41"</f>
        <v>11.41</v>
      </c>
      <c r="AP331" t="s">
        <v>96</v>
      </c>
      <c r="AQ331" t="str">
        <f>"11.41"</f>
        <v>11.41</v>
      </c>
      <c r="AR331">
        <v>0</v>
      </c>
      <c r="AS331">
        <v>-10</v>
      </c>
      <c r="AT331">
        <v>-10</v>
      </c>
      <c r="AU331">
        <v>0</v>
      </c>
      <c r="AV331">
        <v>0</v>
      </c>
      <c r="AW331">
        <v>0</v>
      </c>
      <c r="AX331">
        <v>-98.28</v>
      </c>
      <c r="AY331">
        <v>-98.28</v>
      </c>
      <c r="AZ331">
        <v>0</v>
      </c>
    </row>
    <row r="332" spans="1:52">
      <c r="A332" t="s">
        <v>65</v>
      </c>
      <c r="B332" t="s">
        <v>66</v>
      </c>
      <c r="C332" t="s">
        <v>67</v>
      </c>
      <c r="D332" t="s">
        <v>68</v>
      </c>
      <c r="E332" t="s">
        <v>69</v>
      </c>
      <c r="F332" t="s">
        <v>70</v>
      </c>
      <c r="G332" t="s">
        <v>71</v>
      </c>
      <c r="H332" t="s">
        <v>70</v>
      </c>
      <c r="I332" t="str">
        <f t="shared" si="90"/>
        <v>1010</v>
      </c>
      <c r="J332" t="str">
        <f t="shared" si="91"/>
        <v>05</v>
      </c>
      <c r="K332" t="s">
        <v>68</v>
      </c>
      <c r="L332" t="s">
        <v>72</v>
      </c>
      <c r="M332" t="s">
        <v>68</v>
      </c>
      <c r="N332" t="s">
        <v>181</v>
      </c>
      <c r="O332" t="s">
        <v>609</v>
      </c>
      <c r="P332" t="str">
        <f>"3020671592"</f>
        <v>3020671592</v>
      </c>
      <c r="R332" t="str">
        <f>"00030206715927"</f>
        <v>00030206715927</v>
      </c>
      <c r="S332" s="1">
        <v>41142</v>
      </c>
      <c r="T332" s="1">
        <v>41142</v>
      </c>
      <c r="U332" t="str">
        <f>"3020671592"</f>
        <v>3020671592</v>
      </c>
      <c r="V332" t="str">
        <f t="shared" si="89"/>
        <v>1510</v>
      </c>
      <c r="W332" t="str">
        <f t="shared" si="92"/>
        <v>11</v>
      </c>
      <c r="X332" t="s">
        <v>75</v>
      </c>
      <c r="Y332" t="s">
        <v>173</v>
      </c>
      <c r="Z332" t="s">
        <v>180</v>
      </c>
      <c r="AA332" t="s">
        <v>181</v>
      </c>
      <c r="AB332" t="s">
        <v>79</v>
      </c>
      <c r="AD332" t="s">
        <v>80</v>
      </c>
      <c r="AE332" t="s">
        <v>81</v>
      </c>
      <c r="AF332" t="s">
        <v>82</v>
      </c>
      <c r="AG332" t="s">
        <v>83</v>
      </c>
      <c r="AH332" t="s">
        <v>84</v>
      </c>
      <c r="AI332" t="str">
        <f t="shared" si="88"/>
        <v>01</v>
      </c>
      <c r="AJ332" t="str">
        <f t="shared" si="87"/>
        <v>1</v>
      </c>
      <c r="AK332" t="s">
        <v>101</v>
      </c>
      <c r="AL332" t="s">
        <v>94</v>
      </c>
      <c r="AM332" t="s">
        <v>95</v>
      </c>
      <c r="AN332" t="str">
        <f t="shared" si="93"/>
        <v>.9700</v>
      </c>
      <c r="AO332" t="str">
        <f>"9.07"</f>
        <v>9.07</v>
      </c>
      <c r="AP332" t="s">
        <v>102</v>
      </c>
      <c r="AQ332" t="str">
        <f>"9.07"</f>
        <v>9.07</v>
      </c>
      <c r="AR332">
        <v>10</v>
      </c>
      <c r="AS332">
        <v>-4</v>
      </c>
      <c r="AT332">
        <v>6</v>
      </c>
      <c r="AU332">
        <v>90.7</v>
      </c>
      <c r="AV332">
        <v>0</v>
      </c>
      <c r="AW332">
        <v>90.7</v>
      </c>
      <c r="AX332">
        <v>-32.54</v>
      </c>
      <c r="AY332">
        <v>58.16</v>
      </c>
      <c r="AZ332">
        <v>0</v>
      </c>
    </row>
    <row r="333" spans="1:52">
      <c r="A333" t="s">
        <v>65</v>
      </c>
      <c r="B333" t="s">
        <v>66</v>
      </c>
      <c r="C333" t="s">
        <v>67</v>
      </c>
      <c r="D333" t="s">
        <v>68</v>
      </c>
      <c r="E333" t="s">
        <v>69</v>
      </c>
      <c r="F333" t="s">
        <v>70</v>
      </c>
      <c r="G333" t="s">
        <v>71</v>
      </c>
      <c r="H333" t="s">
        <v>70</v>
      </c>
      <c r="I333" t="str">
        <f t="shared" si="90"/>
        <v>1010</v>
      </c>
      <c r="J333" t="str">
        <f t="shared" si="91"/>
        <v>05</v>
      </c>
      <c r="K333" t="s">
        <v>68</v>
      </c>
      <c r="L333" t="s">
        <v>72</v>
      </c>
      <c r="M333" t="s">
        <v>68</v>
      </c>
      <c r="N333" t="s">
        <v>181</v>
      </c>
      <c r="O333" t="s">
        <v>610</v>
      </c>
      <c r="P333" t="str">
        <f>"3020670632"</f>
        <v>3020670632</v>
      </c>
      <c r="R333" t="str">
        <f>"00030206706321"</f>
        <v>00030206706321</v>
      </c>
      <c r="S333" s="1">
        <v>40575</v>
      </c>
      <c r="T333" s="1">
        <v>40575</v>
      </c>
      <c r="U333" t="str">
        <f>"3020670632"</f>
        <v>3020670632</v>
      </c>
      <c r="V333" t="str">
        <f t="shared" si="89"/>
        <v>1510</v>
      </c>
      <c r="W333" t="str">
        <f t="shared" si="92"/>
        <v>11</v>
      </c>
      <c r="X333" t="s">
        <v>75</v>
      </c>
      <c r="Y333" t="s">
        <v>76</v>
      </c>
      <c r="Z333" t="s">
        <v>180</v>
      </c>
      <c r="AA333" t="s">
        <v>181</v>
      </c>
      <c r="AB333" t="s">
        <v>79</v>
      </c>
      <c r="AD333" t="s">
        <v>80</v>
      </c>
      <c r="AE333" t="s">
        <v>81</v>
      </c>
      <c r="AF333" t="s">
        <v>82</v>
      </c>
      <c r="AG333" t="s">
        <v>83</v>
      </c>
      <c r="AH333" t="s">
        <v>84</v>
      </c>
      <c r="AI333" t="str">
        <f t="shared" si="88"/>
        <v>01</v>
      </c>
      <c r="AJ333" t="str">
        <f t="shared" si="87"/>
        <v>1</v>
      </c>
      <c r="AK333" t="s">
        <v>93</v>
      </c>
      <c r="AL333" t="s">
        <v>94</v>
      </c>
      <c r="AM333" t="s">
        <v>95</v>
      </c>
      <c r="AN333" t="str">
        <f t="shared" si="93"/>
        <v>.9700</v>
      </c>
      <c r="AO333" t="str">
        <f>"11.41"</f>
        <v>11.41</v>
      </c>
      <c r="AP333" t="s">
        <v>96</v>
      </c>
      <c r="AQ333" t="str">
        <f>"11.41"</f>
        <v>11.41</v>
      </c>
      <c r="AR333">
        <v>1</v>
      </c>
      <c r="AS333">
        <v>-2</v>
      </c>
      <c r="AT333">
        <v>-1</v>
      </c>
      <c r="AU333">
        <v>11.41</v>
      </c>
      <c r="AV333">
        <v>0</v>
      </c>
      <c r="AW333">
        <v>11.41</v>
      </c>
      <c r="AX333">
        <v>-19.86</v>
      </c>
      <c r="AY333">
        <v>-8.4499999999999993</v>
      </c>
      <c r="AZ333">
        <v>0</v>
      </c>
    </row>
    <row r="334" spans="1:52">
      <c r="A334" t="s">
        <v>65</v>
      </c>
      <c r="B334" t="s">
        <v>66</v>
      </c>
      <c r="C334" t="s">
        <v>67</v>
      </c>
      <c r="D334" t="s">
        <v>68</v>
      </c>
      <c r="E334" t="s">
        <v>69</v>
      </c>
      <c r="F334" t="s">
        <v>70</v>
      </c>
      <c r="G334" t="s">
        <v>71</v>
      </c>
      <c r="H334" t="s">
        <v>70</v>
      </c>
      <c r="I334" t="str">
        <f t="shared" si="90"/>
        <v>1010</v>
      </c>
      <c r="J334" t="str">
        <f t="shared" si="91"/>
        <v>05</v>
      </c>
      <c r="K334" t="s">
        <v>68</v>
      </c>
      <c r="L334" t="s">
        <v>72</v>
      </c>
      <c r="M334" t="s">
        <v>68</v>
      </c>
      <c r="N334" t="s">
        <v>181</v>
      </c>
      <c r="O334" t="s">
        <v>611</v>
      </c>
      <c r="P334" t="str">
        <f>"3020671542"</f>
        <v>3020671542</v>
      </c>
      <c r="R334" t="str">
        <f>"00030206715422"</f>
        <v>00030206715422</v>
      </c>
      <c r="S334" s="1">
        <v>41093</v>
      </c>
      <c r="T334" s="1">
        <v>41093</v>
      </c>
      <c r="U334" t="str">
        <f>"3020671542"</f>
        <v>3020671542</v>
      </c>
      <c r="V334" t="str">
        <f t="shared" si="89"/>
        <v>1510</v>
      </c>
      <c r="W334" t="str">
        <f t="shared" si="92"/>
        <v>11</v>
      </c>
      <c r="X334" t="s">
        <v>75</v>
      </c>
      <c r="Y334" t="s">
        <v>76</v>
      </c>
      <c r="Z334" t="s">
        <v>180</v>
      </c>
      <c r="AA334" t="s">
        <v>181</v>
      </c>
      <c r="AB334" t="s">
        <v>79</v>
      </c>
      <c r="AD334" t="s">
        <v>80</v>
      </c>
      <c r="AE334" t="s">
        <v>81</v>
      </c>
      <c r="AF334" t="s">
        <v>82</v>
      </c>
      <c r="AG334" t="s">
        <v>83</v>
      </c>
      <c r="AH334" t="s">
        <v>84</v>
      </c>
      <c r="AI334" t="str">
        <f t="shared" si="88"/>
        <v>01</v>
      </c>
      <c r="AJ334" t="str">
        <f t="shared" si="87"/>
        <v>1</v>
      </c>
      <c r="AK334" t="s">
        <v>93</v>
      </c>
      <c r="AL334" t="s">
        <v>94</v>
      </c>
      <c r="AM334" t="s">
        <v>95</v>
      </c>
      <c r="AN334" t="str">
        <f t="shared" si="93"/>
        <v>.9700</v>
      </c>
      <c r="AO334" t="str">
        <f>"11.41"</f>
        <v>11.41</v>
      </c>
      <c r="AP334" t="s">
        <v>96</v>
      </c>
      <c r="AQ334" t="str">
        <f>"11.41"</f>
        <v>11.41</v>
      </c>
      <c r="AR334">
        <v>18</v>
      </c>
      <c r="AS334">
        <v>-3</v>
      </c>
      <c r="AT334">
        <v>15</v>
      </c>
      <c r="AU334">
        <v>205.38</v>
      </c>
      <c r="AV334">
        <v>0</v>
      </c>
      <c r="AW334">
        <v>205.38</v>
      </c>
      <c r="AX334">
        <v>-30.46</v>
      </c>
      <c r="AY334">
        <v>174.92</v>
      </c>
      <c r="AZ334">
        <v>0</v>
      </c>
    </row>
    <row r="335" spans="1:52">
      <c r="A335" t="s">
        <v>65</v>
      </c>
      <c r="B335" t="s">
        <v>66</v>
      </c>
      <c r="C335" t="s">
        <v>67</v>
      </c>
      <c r="D335" t="s">
        <v>68</v>
      </c>
      <c r="E335" t="s">
        <v>69</v>
      </c>
      <c r="F335" t="s">
        <v>70</v>
      </c>
      <c r="G335" t="s">
        <v>71</v>
      </c>
      <c r="H335" t="s">
        <v>70</v>
      </c>
      <c r="I335" t="str">
        <f t="shared" si="90"/>
        <v>1010</v>
      </c>
      <c r="J335" t="str">
        <f t="shared" si="91"/>
        <v>05</v>
      </c>
      <c r="K335" t="s">
        <v>68</v>
      </c>
      <c r="L335" t="s">
        <v>72</v>
      </c>
      <c r="M335" t="s">
        <v>68</v>
      </c>
      <c r="N335" t="s">
        <v>181</v>
      </c>
      <c r="O335" t="s">
        <v>612</v>
      </c>
      <c r="P335" t="str">
        <f>"3020670832"</f>
        <v>3020670832</v>
      </c>
      <c r="R335" t="str">
        <f>"00030206708325"</f>
        <v>00030206708325</v>
      </c>
      <c r="S335" s="1">
        <v>40652</v>
      </c>
      <c r="T335" s="1">
        <v>40652</v>
      </c>
      <c r="U335" t="str">
        <f>"3020670832"</f>
        <v>3020670832</v>
      </c>
      <c r="V335" t="str">
        <f t="shared" si="89"/>
        <v>1510</v>
      </c>
      <c r="W335" t="str">
        <f t="shared" si="92"/>
        <v>11</v>
      </c>
      <c r="X335" t="s">
        <v>75</v>
      </c>
      <c r="Y335" t="s">
        <v>76</v>
      </c>
      <c r="Z335" t="s">
        <v>180</v>
      </c>
      <c r="AA335" t="s">
        <v>181</v>
      </c>
      <c r="AB335" t="s">
        <v>79</v>
      </c>
      <c r="AD335" t="s">
        <v>80</v>
      </c>
      <c r="AE335" t="s">
        <v>81</v>
      </c>
      <c r="AF335" t="s">
        <v>82</v>
      </c>
      <c r="AG335" t="s">
        <v>83</v>
      </c>
      <c r="AH335" t="s">
        <v>84</v>
      </c>
      <c r="AI335" t="str">
        <f t="shared" si="88"/>
        <v>01</v>
      </c>
      <c r="AJ335" t="str">
        <f t="shared" si="87"/>
        <v>1</v>
      </c>
      <c r="AK335" t="s">
        <v>93</v>
      </c>
      <c r="AL335" t="s">
        <v>94</v>
      </c>
      <c r="AM335" t="s">
        <v>95</v>
      </c>
      <c r="AN335" t="str">
        <f t="shared" si="93"/>
        <v>.9700</v>
      </c>
      <c r="AO335" t="str">
        <f>"11.41"</f>
        <v>11.41</v>
      </c>
      <c r="AP335" t="s">
        <v>96</v>
      </c>
      <c r="AQ335" t="str">
        <f>"11.41"</f>
        <v>11.41</v>
      </c>
      <c r="AR335">
        <v>5</v>
      </c>
      <c r="AS335">
        <v>0</v>
      </c>
      <c r="AT335">
        <v>5</v>
      </c>
      <c r="AU335">
        <v>57.05</v>
      </c>
      <c r="AV335">
        <v>0</v>
      </c>
      <c r="AW335">
        <v>57.05</v>
      </c>
      <c r="AX335">
        <v>0</v>
      </c>
      <c r="AY335">
        <v>57.05</v>
      </c>
      <c r="AZ335">
        <v>0</v>
      </c>
    </row>
    <row r="336" spans="1:52">
      <c r="A336" t="s">
        <v>65</v>
      </c>
      <c r="B336" t="s">
        <v>66</v>
      </c>
      <c r="C336" t="s">
        <v>67</v>
      </c>
      <c r="D336" t="s">
        <v>68</v>
      </c>
      <c r="E336" t="s">
        <v>69</v>
      </c>
      <c r="F336" t="s">
        <v>70</v>
      </c>
      <c r="G336" t="s">
        <v>71</v>
      </c>
      <c r="H336" t="s">
        <v>70</v>
      </c>
      <c r="I336" t="str">
        <f t="shared" si="90"/>
        <v>1010</v>
      </c>
      <c r="J336" t="str">
        <f t="shared" si="91"/>
        <v>05</v>
      </c>
      <c r="K336" t="s">
        <v>68</v>
      </c>
      <c r="L336" t="s">
        <v>72</v>
      </c>
      <c r="M336" t="s">
        <v>68</v>
      </c>
      <c r="N336" t="s">
        <v>181</v>
      </c>
      <c r="O336" t="s">
        <v>613</v>
      </c>
      <c r="P336" t="s">
        <v>614</v>
      </c>
      <c r="R336" t="str">
        <f>"00030206544329"</f>
        <v>00030206544329</v>
      </c>
      <c r="S336" s="1">
        <v>34212</v>
      </c>
      <c r="T336" s="1">
        <v>34212</v>
      </c>
      <c r="U336" t="s">
        <v>614</v>
      </c>
      <c r="V336" t="str">
        <f t="shared" si="89"/>
        <v>1510</v>
      </c>
      <c r="W336" t="str">
        <f t="shared" si="92"/>
        <v>11</v>
      </c>
      <c r="X336" t="s">
        <v>75</v>
      </c>
      <c r="Y336" t="s">
        <v>76</v>
      </c>
      <c r="Z336" t="s">
        <v>180</v>
      </c>
      <c r="AA336" t="s">
        <v>181</v>
      </c>
      <c r="AB336" t="s">
        <v>79</v>
      </c>
      <c r="AD336" t="s">
        <v>80</v>
      </c>
      <c r="AE336" t="s">
        <v>81</v>
      </c>
      <c r="AF336" t="s">
        <v>82</v>
      </c>
      <c r="AG336" t="s">
        <v>83</v>
      </c>
      <c r="AH336" t="s">
        <v>84</v>
      </c>
      <c r="AI336" t="str">
        <f t="shared" si="88"/>
        <v>01</v>
      </c>
      <c r="AJ336" t="str">
        <f t="shared" si="87"/>
        <v>1</v>
      </c>
      <c r="AK336" t="s">
        <v>107</v>
      </c>
      <c r="AL336" t="s">
        <v>94</v>
      </c>
      <c r="AM336" t="s">
        <v>95</v>
      </c>
      <c r="AN336" t="str">
        <f t="shared" si="93"/>
        <v>.9700</v>
      </c>
      <c r="AO336" t="str">
        <f>"10.78"</f>
        <v>10.78</v>
      </c>
      <c r="AP336" t="s">
        <v>108</v>
      </c>
      <c r="AQ336" t="str">
        <f>"10.78"</f>
        <v>10.78</v>
      </c>
      <c r="AR336">
        <v>44</v>
      </c>
      <c r="AS336">
        <v>0</v>
      </c>
      <c r="AT336">
        <v>44</v>
      </c>
      <c r="AU336">
        <v>474.44</v>
      </c>
      <c r="AV336">
        <v>41.4</v>
      </c>
      <c r="AW336">
        <v>433.04</v>
      </c>
      <c r="AX336">
        <v>0</v>
      </c>
      <c r="AY336">
        <v>433.04</v>
      </c>
      <c r="AZ336">
        <v>0</v>
      </c>
    </row>
    <row r="337" spans="1:52">
      <c r="A337" t="s">
        <v>65</v>
      </c>
      <c r="B337" t="s">
        <v>66</v>
      </c>
      <c r="C337" t="s">
        <v>67</v>
      </c>
      <c r="D337" t="s">
        <v>68</v>
      </c>
      <c r="E337" t="s">
        <v>69</v>
      </c>
      <c r="F337" t="s">
        <v>70</v>
      </c>
      <c r="G337" t="s">
        <v>71</v>
      </c>
      <c r="H337" t="s">
        <v>70</v>
      </c>
      <c r="I337" t="str">
        <f t="shared" si="90"/>
        <v>1010</v>
      </c>
      <c r="J337" t="str">
        <f t="shared" si="91"/>
        <v>05</v>
      </c>
      <c r="K337" t="s">
        <v>68</v>
      </c>
      <c r="L337" t="s">
        <v>72</v>
      </c>
      <c r="M337" t="s">
        <v>68</v>
      </c>
      <c r="N337" t="s">
        <v>181</v>
      </c>
      <c r="O337" t="s">
        <v>615</v>
      </c>
      <c r="P337" t="str">
        <f>"3020666822"</f>
        <v>3020666822</v>
      </c>
      <c r="R337" t="str">
        <f>"00030206668223"</f>
        <v>00030206668223</v>
      </c>
      <c r="S337" s="1">
        <v>38622</v>
      </c>
      <c r="T337" s="1">
        <v>38622</v>
      </c>
      <c r="U337" t="str">
        <f>"3020666822"</f>
        <v>3020666822</v>
      </c>
      <c r="V337" t="str">
        <f t="shared" si="89"/>
        <v>1510</v>
      </c>
      <c r="W337" t="str">
        <f t="shared" si="92"/>
        <v>11</v>
      </c>
      <c r="X337" t="s">
        <v>75</v>
      </c>
      <c r="Y337" t="s">
        <v>76</v>
      </c>
      <c r="Z337" t="s">
        <v>180</v>
      </c>
      <c r="AA337" t="s">
        <v>181</v>
      </c>
      <c r="AB337" t="s">
        <v>79</v>
      </c>
      <c r="AD337" t="s">
        <v>80</v>
      </c>
      <c r="AE337" t="s">
        <v>81</v>
      </c>
      <c r="AF337" t="s">
        <v>82</v>
      </c>
      <c r="AG337" t="s">
        <v>83</v>
      </c>
      <c r="AH337" t="s">
        <v>84</v>
      </c>
      <c r="AI337" t="str">
        <f t="shared" si="88"/>
        <v>01</v>
      </c>
      <c r="AJ337" t="str">
        <f t="shared" si="87"/>
        <v>1</v>
      </c>
      <c r="AK337" t="s">
        <v>93</v>
      </c>
      <c r="AL337" t="s">
        <v>94</v>
      </c>
      <c r="AM337" t="s">
        <v>95</v>
      </c>
      <c r="AN337" t="str">
        <f t="shared" si="93"/>
        <v>.9700</v>
      </c>
      <c r="AO337" t="str">
        <f>"11.41"</f>
        <v>11.41</v>
      </c>
      <c r="AP337" t="s">
        <v>96</v>
      </c>
      <c r="AQ337" t="str">
        <f>"11.41"</f>
        <v>11.41</v>
      </c>
      <c r="AR337">
        <v>23</v>
      </c>
      <c r="AS337">
        <v>-3</v>
      </c>
      <c r="AT337">
        <v>20</v>
      </c>
      <c r="AU337">
        <v>262.41000000000003</v>
      </c>
      <c r="AV337">
        <v>27.38</v>
      </c>
      <c r="AW337">
        <v>235.03</v>
      </c>
      <c r="AX337">
        <v>-31.92</v>
      </c>
      <c r="AY337">
        <v>203.11</v>
      </c>
      <c r="AZ337">
        <v>0</v>
      </c>
    </row>
    <row r="338" spans="1:52">
      <c r="A338" t="s">
        <v>65</v>
      </c>
      <c r="B338" t="s">
        <v>66</v>
      </c>
      <c r="C338" t="s">
        <v>67</v>
      </c>
      <c r="D338" t="s">
        <v>68</v>
      </c>
      <c r="E338" t="s">
        <v>69</v>
      </c>
      <c r="F338" t="s">
        <v>70</v>
      </c>
      <c r="G338" t="s">
        <v>71</v>
      </c>
      <c r="H338" t="s">
        <v>70</v>
      </c>
      <c r="I338" t="str">
        <f t="shared" si="90"/>
        <v>1010</v>
      </c>
      <c r="J338" t="str">
        <f t="shared" si="91"/>
        <v>05</v>
      </c>
      <c r="K338" t="s">
        <v>68</v>
      </c>
      <c r="L338" t="s">
        <v>72</v>
      </c>
      <c r="M338" t="s">
        <v>68</v>
      </c>
      <c r="N338" t="s">
        <v>181</v>
      </c>
      <c r="O338" t="s">
        <v>616</v>
      </c>
      <c r="P338" t="str">
        <f>"3020669412"</f>
        <v>3020669412</v>
      </c>
      <c r="R338" t="str">
        <f>"00030206694123"</f>
        <v>00030206694123</v>
      </c>
      <c r="S338" s="1">
        <v>39798</v>
      </c>
      <c r="T338" s="1">
        <v>39798</v>
      </c>
      <c r="U338" t="str">
        <f>"3020669412"</f>
        <v>3020669412</v>
      </c>
      <c r="V338" t="str">
        <f t="shared" si="89"/>
        <v>1510</v>
      </c>
      <c r="W338" t="str">
        <f t="shared" si="92"/>
        <v>11</v>
      </c>
      <c r="X338" t="s">
        <v>75</v>
      </c>
      <c r="Y338" t="s">
        <v>76</v>
      </c>
      <c r="Z338" t="s">
        <v>180</v>
      </c>
      <c r="AA338" t="s">
        <v>181</v>
      </c>
      <c r="AB338" t="s">
        <v>79</v>
      </c>
      <c r="AD338" t="s">
        <v>80</v>
      </c>
      <c r="AE338" t="s">
        <v>81</v>
      </c>
      <c r="AF338" t="s">
        <v>82</v>
      </c>
      <c r="AG338" t="s">
        <v>83</v>
      </c>
      <c r="AH338" t="s">
        <v>84</v>
      </c>
      <c r="AI338" t="str">
        <f t="shared" si="88"/>
        <v>01</v>
      </c>
      <c r="AJ338" t="str">
        <f t="shared" si="87"/>
        <v>1</v>
      </c>
      <c r="AK338" t="s">
        <v>93</v>
      </c>
      <c r="AL338" t="s">
        <v>94</v>
      </c>
      <c r="AM338" t="s">
        <v>95</v>
      </c>
      <c r="AN338" t="str">
        <f t="shared" si="93"/>
        <v>.9700</v>
      </c>
      <c r="AO338" t="str">
        <f>"11.41"</f>
        <v>11.41</v>
      </c>
      <c r="AP338" t="s">
        <v>96</v>
      </c>
      <c r="AQ338" t="str">
        <f>"11.41"</f>
        <v>11.41</v>
      </c>
      <c r="AR338">
        <v>11</v>
      </c>
      <c r="AS338">
        <v>0</v>
      </c>
      <c r="AT338">
        <v>11</v>
      </c>
      <c r="AU338">
        <v>125.5</v>
      </c>
      <c r="AV338">
        <v>15.06</v>
      </c>
      <c r="AW338">
        <v>110.44</v>
      </c>
      <c r="AX338">
        <v>0</v>
      </c>
      <c r="AY338">
        <v>110.44</v>
      </c>
      <c r="AZ338">
        <v>0</v>
      </c>
    </row>
    <row r="339" spans="1:52">
      <c r="A339" t="s">
        <v>65</v>
      </c>
      <c r="B339" t="s">
        <v>66</v>
      </c>
      <c r="C339" t="s">
        <v>67</v>
      </c>
      <c r="D339" t="s">
        <v>68</v>
      </c>
      <c r="E339" t="s">
        <v>69</v>
      </c>
      <c r="F339" t="s">
        <v>70</v>
      </c>
      <c r="G339" t="s">
        <v>71</v>
      </c>
      <c r="H339" t="s">
        <v>70</v>
      </c>
      <c r="I339" t="str">
        <f t="shared" si="90"/>
        <v>1010</v>
      </c>
      <c r="J339" t="str">
        <f t="shared" si="91"/>
        <v>05</v>
      </c>
      <c r="K339" t="s">
        <v>68</v>
      </c>
      <c r="L339" t="s">
        <v>72</v>
      </c>
      <c r="M339" t="s">
        <v>68</v>
      </c>
      <c r="N339" t="s">
        <v>181</v>
      </c>
      <c r="O339" t="s">
        <v>617</v>
      </c>
      <c r="P339" t="str">
        <f>"3020672598"</f>
        <v>3020672598</v>
      </c>
      <c r="R339" t="str">
        <f>"00030206725988"</f>
        <v>00030206725988</v>
      </c>
      <c r="S339" s="1">
        <v>41744</v>
      </c>
      <c r="T339" s="1">
        <v>41744</v>
      </c>
      <c r="U339" t="str">
        <f>"3020672598"</f>
        <v>3020672598</v>
      </c>
      <c r="V339" t="str">
        <f>"1010"</f>
        <v>1010</v>
      </c>
      <c r="W339" t="str">
        <f t="shared" si="92"/>
        <v>11</v>
      </c>
      <c r="X339" t="s">
        <v>75</v>
      </c>
      <c r="Y339" t="s">
        <v>139</v>
      </c>
      <c r="Z339" t="s">
        <v>180</v>
      </c>
      <c r="AA339" t="s">
        <v>181</v>
      </c>
      <c r="AB339" t="s">
        <v>79</v>
      </c>
      <c r="AD339" t="s">
        <v>80</v>
      </c>
      <c r="AE339" t="s">
        <v>81</v>
      </c>
      <c r="AF339" t="s">
        <v>82</v>
      </c>
      <c r="AG339" t="s">
        <v>83</v>
      </c>
      <c r="AH339" t="s">
        <v>84</v>
      </c>
      <c r="AJ339" t="str">
        <f t="shared" si="87"/>
        <v>1</v>
      </c>
      <c r="AK339" t="s">
        <v>118</v>
      </c>
      <c r="AL339" t="s">
        <v>143</v>
      </c>
      <c r="AM339" t="s">
        <v>95</v>
      </c>
      <c r="AN339" t="str">
        <f t="shared" si="93"/>
        <v>.9700</v>
      </c>
      <c r="AO339" t="str">
        <f>"10.32"</f>
        <v>10.32</v>
      </c>
      <c r="AP339" t="s">
        <v>119</v>
      </c>
      <c r="AQ339" t="str">
        <f>"10.32"</f>
        <v>10.32</v>
      </c>
      <c r="AR339">
        <v>6</v>
      </c>
      <c r="AS339">
        <v>-65</v>
      </c>
      <c r="AT339">
        <v>-59</v>
      </c>
      <c r="AU339">
        <v>52.82</v>
      </c>
      <c r="AV339">
        <v>0</v>
      </c>
      <c r="AW339">
        <v>52.82</v>
      </c>
      <c r="AX339">
        <v>-572.58000000000004</v>
      </c>
      <c r="AY339">
        <v>-519.76</v>
      </c>
      <c r="AZ339">
        <v>0</v>
      </c>
    </row>
    <row r="340" spans="1:52">
      <c r="A340" t="s">
        <v>65</v>
      </c>
      <c r="B340" t="s">
        <v>66</v>
      </c>
      <c r="C340" t="s">
        <v>67</v>
      </c>
      <c r="D340" t="s">
        <v>68</v>
      </c>
      <c r="E340" t="s">
        <v>69</v>
      </c>
      <c r="F340" t="s">
        <v>70</v>
      </c>
      <c r="G340" t="s">
        <v>71</v>
      </c>
      <c r="H340" t="s">
        <v>70</v>
      </c>
      <c r="I340" t="str">
        <f t="shared" si="90"/>
        <v>1010</v>
      </c>
      <c r="J340" t="str">
        <f t="shared" si="91"/>
        <v>05</v>
      </c>
      <c r="K340" t="s">
        <v>68</v>
      </c>
      <c r="L340" t="s">
        <v>72</v>
      </c>
      <c r="M340" t="s">
        <v>68</v>
      </c>
      <c r="N340" t="s">
        <v>181</v>
      </c>
      <c r="O340" t="s">
        <v>618</v>
      </c>
      <c r="P340" t="str">
        <f>"3020672388"</f>
        <v>3020672388</v>
      </c>
      <c r="R340" t="str">
        <f>"00030206723885"</f>
        <v>00030206723885</v>
      </c>
      <c r="S340" s="1">
        <v>41688</v>
      </c>
      <c r="T340" s="1">
        <v>41688</v>
      </c>
      <c r="U340" t="str">
        <f>"3020672388"</f>
        <v>3020672388</v>
      </c>
      <c r="V340" t="str">
        <f>"1010"</f>
        <v>1010</v>
      </c>
      <c r="W340" t="str">
        <f t="shared" si="92"/>
        <v>11</v>
      </c>
      <c r="X340" t="s">
        <v>75</v>
      </c>
      <c r="Y340" t="s">
        <v>139</v>
      </c>
      <c r="Z340" t="s">
        <v>180</v>
      </c>
      <c r="AA340" t="s">
        <v>181</v>
      </c>
      <c r="AB340" t="s">
        <v>79</v>
      </c>
      <c r="AD340" t="s">
        <v>80</v>
      </c>
      <c r="AE340" t="s">
        <v>81</v>
      </c>
      <c r="AF340" t="s">
        <v>82</v>
      </c>
      <c r="AG340" t="s">
        <v>83</v>
      </c>
      <c r="AH340" t="s">
        <v>84</v>
      </c>
      <c r="AJ340" t="str">
        <f t="shared" si="87"/>
        <v>1</v>
      </c>
      <c r="AK340" t="s">
        <v>101</v>
      </c>
      <c r="AL340" t="s">
        <v>143</v>
      </c>
      <c r="AM340" t="s">
        <v>95</v>
      </c>
      <c r="AN340" t="str">
        <f t="shared" si="93"/>
        <v>.9700</v>
      </c>
      <c r="AO340" t="str">
        <f>"9.07"</f>
        <v>9.07</v>
      </c>
      <c r="AP340" t="s">
        <v>102</v>
      </c>
      <c r="AQ340" t="str">
        <f>"9.07"</f>
        <v>9.07</v>
      </c>
      <c r="AR340">
        <v>39</v>
      </c>
      <c r="AS340">
        <v>-9</v>
      </c>
      <c r="AT340">
        <v>30</v>
      </c>
      <c r="AU340">
        <v>353.73</v>
      </c>
      <c r="AV340">
        <v>0</v>
      </c>
      <c r="AW340">
        <v>353.73</v>
      </c>
      <c r="AX340">
        <v>-72.87</v>
      </c>
      <c r="AY340">
        <v>280.86</v>
      </c>
      <c r="AZ340">
        <v>0</v>
      </c>
    </row>
    <row r="341" spans="1:52">
      <c r="A341" t="s">
        <v>65</v>
      </c>
      <c r="B341" t="s">
        <v>66</v>
      </c>
      <c r="C341" t="s">
        <v>67</v>
      </c>
      <c r="D341" t="s">
        <v>68</v>
      </c>
      <c r="E341" t="s">
        <v>69</v>
      </c>
      <c r="F341" t="s">
        <v>70</v>
      </c>
      <c r="G341" t="s">
        <v>71</v>
      </c>
      <c r="H341" t="s">
        <v>70</v>
      </c>
      <c r="I341" t="str">
        <f t="shared" si="90"/>
        <v>1010</v>
      </c>
      <c r="J341" t="str">
        <f t="shared" si="91"/>
        <v>05</v>
      </c>
      <c r="K341" t="s">
        <v>68</v>
      </c>
      <c r="L341" t="s">
        <v>72</v>
      </c>
      <c r="M341" t="s">
        <v>68</v>
      </c>
      <c r="N341" t="s">
        <v>181</v>
      </c>
      <c r="O341" t="s">
        <v>619</v>
      </c>
      <c r="P341" t="str">
        <f>"3020670242"</f>
        <v>3020670242</v>
      </c>
      <c r="R341" t="str">
        <f>"00030206702422"</f>
        <v>00030206702422</v>
      </c>
      <c r="S341" s="1">
        <v>40323</v>
      </c>
      <c r="T341" s="1">
        <v>40316</v>
      </c>
      <c r="U341" t="str">
        <f>"3020670242"</f>
        <v>3020670242</v>
      </c>
      <c r="V341" t="str">
        <f>"1510"</f>
        <v>1510</v>
      </c>
      <c r="W341" t="str">
        <f t="shared" si="92"/>
        <v>11</v>
      </c>
      <c r="X341" t="s">
        <v>75</v>
      </c>
      <c r="Y341" t="s">
        <v>76</v>
      </c>
      <c r="Z341" t="s">
        <v>180</v>
      </c>
      <c r="AA341" t="s">
        <v>181</v>
      </c>
      <c r="AB341" t="s">
        <v>79</v>
      </c>
      <c r="AD341" t="s">
        <v>80</v>
      </c>
      <c r="AE341" t="s">
        <v>81</v>
      </c>
      <c r="AF341" t="s">
        <v>82</v>
      </c>
      <c r="AG341" t="s">
        <v>83</v>
      </c>
      <c r="AH341" t="s">
        <v>84</v>
      </c>
      <c r="AI341" t="str">
        <f>"01"</f>
        <v>01</v>
      </c>
      <c r="AJ341" t="str">
        <f t="shared" si="87"/>
        <v>1</v>
      </c>
      <c r="AK341" t="s">
        <v>93</v>
      </c>
      <c r="AL341" t="s">
        <v>94</v>
      </c>
      <c r="AM341" t="s">
        <v>95</v>
      </c>
      <c r="AN341" t="str">
        <f t="shared" si="93"/>
        <v>.9700</v>
      </c>
      <c r="AO341" t="str">
        <f t="shared" ref="AO341:AO346" si="94">"11.41"</f>
        <v>11.41</v>
      </c>
      <c r="AP341" t="s">
        <v>96</v>
      </c>
      <c r="AQ341" t="str">
        <f t="shared" ref="AQ341:AQ346" si="95">"11.41"</f>
        <v>11.41</v>
      </c>
      <c r="AR341">
        <v>2</v>
      </c>
      <c r="AS341">
        <v>0</v>
      </c>
      <c r="AT341">
        <v>2</v>
      </c>
      <c r="AU341">
        <v>22.82</v>
      </c>
      <c r="AV341">
        <v>1.37</v>
      </c>
      <c r="AW341">
        <v>21.45</v>
      </c>
      <c r="AX341">
        <v>0</v>
      </c>
      <c r="AY341">
        <v>21.45</v>
      </c>
      <c r="AZ341">
        <v>0</v>
      </c>
    </row>
    <row r="342" spans="1:52">
      <c r="A342" t="s">
        <v>65</v>
      </c>
      <c r="B342" t="s">
        <v>66</v>
      </c>
      <c r="C342" t="s">
        <v>67</v>
      </c>
      <c r="D342" t="s">
        <v>68</v>
      </c>
      <c r="E342" t="s">
        <v>69</v>
      </c>
      <c r="F342" t="s">
        <v>70</v>
      </c>
      <c r="G342" t="s">
        <v>71</v>
      </c>
      <c r="H342" t="s">
        <v>70</v>
      </c>
      <c r="I342" t="str">
        <f t="shared" si="90"/>
        <v>1010</v>
      </c>
      <c r="J342" t="str">
        <f t="shared" si="91"/>
        <v>05</v>
      </c>
      <c r="K342" t="s">
        <v>68</v>
      </c>
      <c r="L342" t="s">
        <v>72</v>
      </c>
      <c r="M342" t="s">
        <v>68</v>
      </c>
      <c r="N342" t="s">
        <v>181</v>
      </c>
      <c r="O342" t="s">
        <v>620</v>
      </c>
      <c r="P342" t="str">
        <f>"3020671822"</f>
        <v>3020671822</v>
      </c>
      <c r="R342" t="str">
        <f>"00030206718225"</f>
        <v>00030206718225</v>
      </c>
      <c r="S342" s="1">
        <v>41338</v>
      </c>
      <c r="T342" s="1">
        <v>41324</v>
      </c>
      <c r="U342" t="str">
        <f>"3020671822"</f>
        <v>3020671822</v>
      </c>
      <c r="V342" t="str">
        <f>"1010"</f>
        <v>1010</v>
      </c>
      <c r="W342" t="str">
        <f t="shared" si="92"/>
        <v>11</v>
      </c>
      <c r="X342" t="s">
        <v>75</v>
      </c>
      <c r="Y342" t="s">
        <v>173</v>
      </c>
      <c r="Z342" t="s">
        <v>180</v>
      </c>
      <c r="AA342" t="s">
        <v>181</v>
      </c>
      <c r="AB342" t="s">
        <v>79</v>
      </c>
      <c r="AD342" t="s">
        <v>80</v>
      </c>
      <c r="AE342" t="s">
        <v>81</v>
      </c>
      <c r="AF342" t="s">
        <v>82</v>
      </c>
      <c r="AG342" t="s">
        <v>83</v>
      </c>
      <c r="AH342" t="s">
        <v>84</v>
      </c>
      <c r="AJ342" t="str">
        <f t="shared" si="87"/>
        <v>1</v>
      </c>
      <c r="AK342" t="s">
        <v>93</v>
      </c>
      <c r="AL342" t="s">
        <v>143</v>
      </c>
      <c r="AM342" t="s">
        <v>95</v>
      </c>
      <c r="AN342" t="str">
        <f t="shared" si="93"/>
        <v>.9700</v>
      </c>
      <c r="AO342" t="str">
        <f t="shared" si="94"/>
        <v>11.41</v>
      </c>
      <c r="AP342" t="s">
        <v>96</v>
      </c>
      <c r="AQ342" t="str">
        <f t="shared" si="95"/>
        <v>11.41</v>
      </c>
      <c r="AR342">
        <v>0</v>
      </c>
      <c r="AS342">
        <v>-21</v>
      </c>
      <c r="AT342">
        <v>-21</v>
      </c>
      <c r="AU342">
        <v>0</v>
      </c>
      <c r="AV342">
        <v>0</v>
      </c>
      <c r="AW342">
        <v>0</v>
      </c>
      <c r="AX342">
        <v>-215.38</v>
      </c>
      <c r="AY342">
        <v>-215.38</v>
      </c>
      <c r="AZ342">
        <v>0</v>
      </c>
    </row>
    <row r="343" spans="1:52">
      <c r="A343" t="s">
        <v>65</v>
      </c>
      <c r="B343" t="s">
        <v>66</v>
      </c>
      <c r="C343" t="s">
        <v>67</v>
      </c>
      <c r="D343" t="s">
        <v>68</v>
      </c>
      <c r="E343" t="s">
        <v>69</v>
      </c>
      <c r="F343" t="s">
        <v>70</v>
      </c>
      <c r="G343" t="s">
        <v>71</v>
      </c>
      <c r="H343" t="s">
        <v>70</v>
      </c>
      <c r="I343" t="str">
        <f t="shared" si="90"/>
        <v>1010</v>
      </c>
      <c r="J343" t="str">
        <f t="shared" si="91"/>
        <v>05</v>
      </c>
      <c r="K343" t="s">
        <v>68</v>
      </c>
      <c r="L343" t="s">
        <v>72</v>
      </c>
      <c r="M343" t="s">
        <v>68</v>
      </c>
      <c r="N343" t="s">
        <v>181</v>
      </c>
      <c r="O343" t="s">
        <v>621</v>
      </c>
      <c r="P343" t="str">
        <f>"3020672848"</f>
        <v>3020672848</v>
      </c>
      <c r="R343" t="str">
        <f>"00030206728484"</f>
        <v>00030206728484</v>
      </c>
      <c r="S343" s="1">
        <v>41807</v>
      </c>
      <c r="T343" s="1">
        <v>41800</v>
      </c>
      <c r="U343" t="str">
        <f>"3020672848"</f>
        <v>3020672848</v>
      </c>
      <c r="V343" t="str">
        <f>"1010"</f>
        <v>1010</v>
      </c>
      <c r="W343" t="str">
        <f t="shared" si="92"/>
        <v>11</v>
      </c>
      <c r="X343" t="s">
        <v>75</v>
      </c>
      <c r="Y343" t="s">
        <v>139</v>
      </c>
      <c r="Z343" t="s">
        <v>180</v>
      </c>
      <c r="AA343" t="s">
        <v>181</v>
      </c>
      <c r="AB343" t="s">
        <v>79</v>
      </c>
      <c r="AD343" t="s">
        <v>80</v>
      </c>
      <c r="AE343" t="s">
        <v>81</v>
      </c>
      <c r="AF343" t="s">
        <v>82</v>
      </c>
      <c r="AG343" t="s">
        <v>83</v>
      </c>
      <c r="AH343" t="s">
        <v>84</v>
      </c>
      <c r="AI343" t="str">
        <f>"01"</f>
        <v>01</v>
      </c>
      <c r="AJ343" t="str">
        <f t="shared" si="87"/>
        <v>1</v>
      </c>
      <c r="AK343" t="s">
        <v>93</v>
      </c>
      <c r="AL343" t="s">
        <v>143</v>
      </c>
      <c r="AM343" t="s">
        <v>95</v>
      </c>
      <c r="AN343" t="str">
        <f t="shared" si="93"/>
        <v>.9700</v>
      </c>
      <c r="AO343" t="str">
        <f t="shared" si="94"/>
        <v>11.41</v>
      </c>
      <c r="AP343" t="s">
        <v>96</v>
      </c>
      <c r="AQ343" t="str">
        <f t="shared" si="95"/>
        <v>11.41</v>
      </c>
      <c r="AR343">
        <v>35</v>
      </c>
      <c r="AS343">
        <v>0</v>
      </c>
      <c r="AT343">
        <v>35</v>
      </c>
      <c r="AU343">
        <v>399.35</v>
      </c>
      <c r="AV343">
        <v>4</v>
      </c>
      <c r="AW343">
        <v>395.35</v>
      </c>
      <c r="AX343">
        <v>0</v>
      </c>
      <c r="AY343">
        <v>395.35</v>
      </c>
      <c r="AZ343">
        <v>0</v>
      </c>
    </row>
    <row r="344" spans="1:52">
      <c r="A344" t="s">
        <v>65</v>
      </c>
      <c r="B344" t="s">
        <v>66</v>
      </c>
      <c r="C344" t="s">
        <v>67</v>
      </c>
      <c r="D344" t="s">
        <v>68</v>
      </c>
      <c r="E344" t="s">
        <v>69</v>
      </c>
      <c r="F344" t="s">
        <v>70</v>
      </c>
      <c r="G344" t="s">
        <v>71</v>
      </c>
      <c r="H344" t="s">
        <v>70</v>
      </c>
      <c r="I344" t="str">
        <f t="shared" si="90"/>
        <v>1010</v>
      </c>
      <c r="J344" t="str">
        <f t="shared" si="91"/>
        <v>05</v>
      </c>
      <c r="K344" t="s">
        <v>68</v>
      </c>
      <c r="L344" t="s">
        <v>72</v>
      </c>
      <c r="M344" t="s">
        <v>68</v>
      </c>
      <c r="N344" t="s">
        <v>181</v>
      </c>
      <c r="O344" t="s">
        <v>621</v>
      </c>
      <c r="P344" t="str">
        <f>"3020672848"</f>
        <v>3020672848</v>
      </c>
      <c r="R344" t="str">
        <f>"00030206728484"</f>
        <v>00030206728484</v>
      </c>
      <c r="S344" s="1">
        <v>41807</v>
      </c>
      <c r="T344" s="1">
        <v>41800</v>
      </c>
      <c r="U344" t="str">
        <f>"3020672848"</f>
        <v>3020672848</v>
      </c>
      <c r="V344" t="str">
        <f>"1010"</f>
        <v>1010</v>
      </c>
      <c r="W344" t="str">
        <f t="shared" si="92"/>
        <v>11</v>
      </c>
      <c r="X344" t="s">
        <v>80</v>
      </c>
      <c r="Y344" t="s">
        <v>139</v>
      </c>
      <c r="Z344" t="s">
        <v>180</v>
      </c>
      <c r="AA344" t="s">
        <v>181</v>
      </c>
      <c r="AB344" t="s">
        <v>79</v>
      </c>
      <c r="AD344" t="s">
        <v>80</v>
      </c>
      <c r="AE344" t="s">
        <v>81</v>
      </c>
      <c r="AF344" t="s">
        <v>82</v>
      </c>
      <c r="AG344" t="s">
        <v>83</v>
      </c>
      <c r="AH344" t="s">
        <v>84</v>
      </c>
      <c r="AI344" t="str">
        <f>"01"</f>
        <v>01</v>
      </c>
      <c r="AJ344" t="str">
        <f t="shared" si="87"/>
        <v>1</v>
      </c>
      <c r="AK344" t="s">
        <v>93</v>
      </c>
      <c r="AL344" t="s">
        <v>143</v>
      </c>
      <c r="AM344" t="s">
        <v>95</v>
      </c>
      <c r="AN344" t="str">
        <f t="shared" si="93"/>
        <v>.9700</v>
      </c>
      <c r="AO344" t="str">
        <f t="shared" si="94"/>
        <v>11.41</v>
      </c>
      <c r="AP344" t="s">
        <v>96</v>
      </c>
      <c r="AQ344" t="str">
        <f t="shared" si="95"/>
        <v>11.41</v>
      </c>
      <c r="AR344">
        <v>81</v>
      </c>
      <c r="AS344">
        <v>0</v>
      </c>
      <c r="AT344">
        <v>81</v>
      </c>
      <c r="AU344">
        <v>924.14</v>
      </c>
      <c r="AV344">
        <v>64.73</v>
      </c>
      <c r="AW344">
        <v>859.41</v>
      </c>
      <c r="AX344">
        <v>0</v>
      </c>
      <c r="AY344">
        <v>859.41</v>
      </c>
      <c r="AZ344">
        <v>0</v>
      </c>
    </row>
    <row r="345" spans="1:52">
      <c r="A345" t="s">
        <v>65</v>
      </c>
      <c r="B345" t="s">
        <v>66</v>
      </c>
      <c r="C345" t="s">
        <v>67</v>
      </c>
      <c r="D345" t="s">
        <v>68</v>
      </c>
      <c r="E345" t="s">
        <v>69</v>
      </c>
      <c r="F345" t="s">
        <v>70</v>
      </c>
      <c r="G345" t="s">
        <v>71</v>
      </c>
      <c r="H345" t="s">
        <v>70</v>
      </c>
      <c r="I345" t="str">
        <f t="shared" si="90"/>
        <v>1010</v>
      </c>
      <c r="J345" t="str">
        <f t="shared" si="91"/>
        <v>05</v>
      </c>
      <c r="K345" t="s">
        <v>68</v>
      </c>
      <c r="L345" t="s">
        <v>72</v>
      </c>
      <c r="M345" t="s">
        <v>68</v>
      </c>
      <c r="N345" t="s">
        <v>181</v>
      </c>
      <c r="O345" t="s">
        <v>622</v>
      </c>
      <c r="P345" t="str">
        <f>"3020671732"</f>
        <v>3020671732</v>
      </c>
      <c r="R345" t="str">
        <f>"00030206717327"</f>
        <v>00030206717327</v>
      </c>
      <c r="S345" s="1">
        <v>41212</v>
      </c>
      <c r="T345" s="1">
        <v>41198</v>
      </c>
      <c r="U345" t="str">
        <f>"3020671732"</f>
        <v>3020671732</v>
      </c>
      <c r="V345" t="str">
        <f>"1010"</f>
        <v>1010</v>
      </c>
      <c r="W345" t="str">
        <f t="shared" si="92"/>
        <v>11</v>
      </c>
      <c r="X345" t="s">
        <v>75</v>
      </c>
      <c r="Y345" t="s">
        <v>173</v>
      </c>
      <c r="Z345" t="s">
        <v>180</v>
      </c>
      <c r="AA345" t="s">
        <v>181</v>
      </c>
      <c r="AB345" t="s">
        <v>79</v>
      </c>
      <c r="AD345" t="s">
        <v>80</v>
      </c>
      <c r="AE345" t="s">
        <v>81</v>
      </c>
      <c r="AF345" t="s">
        <v>82</v>
      </c>
      <c r="AG345" t="s">
        <v>83</v>
      </c>
      <c r="AH345" t="s">
        <v>84</v>
      </c>
      <c r="AI345" t="str">
        <f>"01"</f>
        <v>01</v>
      </c>
      <c r="AJ345" t="str">
        <f t="shared" si="87"/>
        <v>1</v>
      </c>
      <c r="AK345" t="s">
        <v>93</v>
      </c>
      <c r="AL345" t="s">
        <v>94</v>
      </c>
      <c r="AM345" t="s">
        <v>95</v>
      </c>
      <c r="AN345" t="str">
        <f t="shared" si="93"/>
        <v>.9700</v>
      </c>
      <c r="AO345" t="str">
        <f t="shared" si="94"/>
        <v>11.41</v>
      </c>
      <c r="AP345" t="s">
        <v>96</v>
      </c>
      <c r="AQ345" t="str">
        <f t="shared" si="95"/>
        <v>11.41</v>
      </c>
      <c r="AR345">
        <v>9</v>
      </c>
      <c r="AS345">
        <v>-2</v>
      </c>
      <c r="AT345">
        <v>7</v>
      </c>
      <c r="AU345">
        <v>99.78</v>
      </c>
      <c r="AV345">
        <v>0</v>
      </c>
      <c r="AW345">
        <v>99.78</v>
      </c>
      <c r="AX345">
        <v>-20.43</v>
      </c>
      <c r="AY345">
        <v>79.349999999999994</v>
      </c>
      <c r="AZ345">
        <v>0</v>
      </c>
    </row>
    <row r="346" spans="1:52">
      <c r="A346" t="s">
        <v>65</v>
      </c>
      <c r="B346" t="s">
        <v>66</v>
      </c>
      <c r="C346" t="s">
        <v>67</v>
      </c>
      <c r="D346" t="s">
        <v>68</v>
      </c>
      <c r="E346" t="s">
        <v>69</v>
      </c>
      <c r="F346" t="s">
        <v>70</v>
      </c>
      <c r="G346" t="s">
        <v>71</v>
      </c>
      <c r="H346" t="s">
        <v>70</v>
      </c>
      <c r="I346" t="str">
        <f t="shared" si="90"/>
        <v>1010</v>
      </c>
      <c r="J346" t="str">
        <f t="shared" si="91"/>
        <v>05</v>
      </c>
      <c r="K346" t="s">
        <v>68</v>
      </c>
      <c r="L346" t="s">
        <v>72</v>
      </c>
      <c r="M346" t="s">
        <v>68</v>
      </c>
      <c r="N346" t="s">
        <v>181</v>
      </c>
      <c r="O346" t="s">
        <v>623</v>
      </c>
      <c r="P346" t="str">
        <f>"3020670572"</f>
        <v>3020670572</v>
      </c>
      <c r="R346" t="str">
        <f>"00030206705720"</f>
        <v>00030206705720</v>
      </c>
      <c r="S346" s="1">
        <v>40498</v>
      </c>
      <c r="T346" s="1">
        <v>40498</v>
      </c>
      <c r="U346" t="str">
        <f>"3020670572"</f>
        <v>3020670572</v>
      </c>
      <c r="V346" t="str">
        <f>"1510"</f>
        <v>1510</v>
      </c>
      <c r="W346" t="str">
        <f t="shared" si="92"/>
        <v>11</v>
      </c>
      <c r="X346" t="s">
        <v>75</v>
      </c>
      <c r="Y346" t="s">
        <v>76</v>
      </c>
      <c r="Z346" t="s">
        <v>180</v>
      </c>
      <c r="AA346" t="s">
        <v>181</v>
      </c>
      <c r="AB346" t="s">
        <v>79</v>
      </c>
      <c r="AD346" t="s">
        <v>80</v>
      </c>
      <c r="AE346" t="s">
        <v>81</v>
      </c>
      <c r="AF346" t="s">
        <v>82</v>
      </c>
      <c r="AG346" t="s">
        <v>83</v>
      </c>
      <c r="AH346" t="s">
        <v>84</v>
      </c>
      <c r="AI346" t="str">
        <f>"01"</f>
        <v>01</v>
      </c>
      <c r="AJ346" t="str">
        <f t="shared" si="87"/>
        <v>1</v>
      </c>
      <c r="AK346" t="s">
        <v>93</v>
      </c>
      <c r="AL346" t="s">
        <v>94</v>
      </c>
      <c r="AM346" t="s">
        <v>95</v>
      </c>
      <c r="AN346" t="str">
        <f t="shared" si="93"/>
        <v>.9700</v>
      </c>
      <c r="AO346" t="str">
        <f t="shared" si="94"/>
        <v>11.41</v>
      </c>
      <c r="AP346" t="s">
        <v>96</v>
      </c>
      <c r="AQ346" t="str">
        <f t="shared" si="95"/>
        <v>11.41</v>
      </c>
      <c r="AR346">
        <v>0</v>
      </c>
      <c r="AS346">
        <v>-2</v>
      </c>
      <c r="AT346">
        <v>-2</v>
      </c>
      <c r="AU346">
        <v>0</v>
      </c>
      <c r="AV346">
        <v>0</v>
      </c>
      <c r="AW346">
        <v>0</v>
      </c>
      <c r="AX346">
        <v>-20.16</v>
      </c>
      <c r="AY346">
        <v>-20.16</v>
      </c>
      <c r="AZ346">
        <v>0</v>
      </c>
    </row>
    <row r="347" spans="1:52">
      <c r="A347" t="s">
        <v>65</v>
      </c>
      <c r="B347" t="s">
        <v>66</v>
      </c>
      <c r="C347" t="s">
        <v>67</v>
      </c>
      <c r="D347" t="s">
        <v>68</v>
      </c>
      <c r="E347" t="s">
        <v>69</v>
      </c>
      <c r="F347" t="s">
        <v>70</v>
      </c>
      <c r="G347" t="s">
        <v>71</v>
      </c>
      <c r="H347" t="s">
        <v>70</v>
      </c>
      <c r="I347" t="str">
        <f t="shared" si="90"/>
        <v>1010</v>
      </c>
      <c r="J347" t="str">
        <f t="shared" si="91"/>
        <v>05</v>
      </c>
      <c r="K347" t="s">
        <v>68</v>
      </c>
      <c r="L347" t="s">
        <v>72</v>
      </c>
      <c r="M347" t="s">
        <v>68</v>
      </c>
      <c r="N347" t="s">
        <v>181</v>
      </c>
      <c r="O347" t="s">
        <v>624</v>
      </c>
      <c r="P347" t="str">
        <f>"3020671392"</f>
        <v>3020671392</v>
      </c>
      <c r="R347" t="str">
        <f>"00030206713923"</f>
        <v>00030206713923</v>
      </c>
      <c r="S347" s="1">
        <v>41009</v>
      </c>
      <c r="T347" s="1">
        <v>40988</v>
      </c>
      <c r="U347" t="str">
        <f>"3020671392"</f>
        <v>3020671392</v>
      </c>
      <c r="V347" t="str">
        <f>"1510"</f>
        <v>1510</v>
      </c>
      <c r="W347" t="str">
        <f t="shared" si="92"/>
        <v>11</v>
      </c>
      <c r="X347" t="s">
        <v>75</v>
      </c>
      <c r="Y347" t="s">
        <v>173</v>
      </c>
      <c r="Z347" t="s">
        <v>180</v>
      </c>
      <c r="AA347" t="s">
        <v>181</v>
      </c>
      <c r="AB347" t="s">
        <v>79</v>
      </c>
      <c r="AD347" t="s">
        <v>80</v>
      </c>
      <c r="AE347" t="s">
        <v>81</v>
      </c>
      <c r="AF347" t="s">
        <v>82</v>
      </c>
      <c r="AG347" t="s">
        <v>83</v>
      </c>
      <c r="AH347" t="s">
        <v>84</v>
      </c>
      <c r="AI347" t="str">
        <f>"02"</f>
        <v>02</v>
      </c>
      <c r="AJ347" t="str">
        <f>"2"</f>
        <v>2</v>
      </c>
      <c r="AK347" t="s">
        <v>240</v>
      </c>
      <c r="AL347" t="s">
        <v>94</v>
      </c>
      <c r="AM347" t="s">
        <v>95</v>
      </c>
      <c r="AN347" t="str">
        <f t="shared" si="93"/>
        <v>.9700</v>
      </c>
      <c r="AO347" t="str">
        <f>"12.65"</f>
        <v>12.65</v>
      </c>
      <c r="AP347" t="s">
        <v>241</v>
      </c>
      <c r="AQ347" t="str">
        <f>"12.65"</f>
        <v>12.65</v>
      </c>
      <c r="AR347">
        <v>7</v>
      </c>
      <c r="AS347">
        <v>0</v>
      </c>
      <c r="AT347">
        <v>7</v>
      </c>
      <c r="AU347">
        <v>88.55</v>
      </c>
      <c r="AV347">
        <v>0</v>
      </c>
      <c r="AW347">
        <v>88.55</v>
      </c>
      <c r="AX347">
        <v>0</v>
      </c>
      <c r="AY347">
        <v>88.55</v>
      </c>
      <c r="AZ347">
        <v>0</v>
      </c>
    </row>
    <row r="348" spans="1:52">
      <c r="A348" t="s">
        <v>65</v>
      </c>
      <c r="B348" t="s">
        <v>66</v>
      </c>
      <c r="C348" t="s">
        <v>67</v>
      </c>
      <c r="D348" t="s">
        <v>68</v>
      </c>
      <c r="E348" t="s">
        <v>69</v>
      </c>
      <c r="F348" t="s">
        <v>70</v>
      </c>
      <c r="G348" t="s">
        <v>71</v>
      </c>
      <c r="H348" t="s">
        <v>70</v>
      </c>
      <c r="I348" t="str">
        <f t="shared" si="90"/>
        <v>1010</v>
      </c>
      <c r="J348" t="str">
        <f t="shared" si="91"/>
        <v>05</v>
      </c>
      <c r="K348" t="s">
        <v>68</v>
      </c>
      <c r="L348" t="s">
        <v>72</v>
      </c>
      <c r="M348" t="s">
        <v>68</v>
      </c>
      <c r="N348" t="s">
        <v>181</v>
      </c>
      <c r="O348" t="s">
        <v>625</v>
      </c>
      <c r="P348" t="str">
        <f>"3020670452"</f>
        <v>3020670452</v>
      </c>
      <c r="R348" t="str">
        <f>"00030206704525"</f>
        <v>00030206704525</v>
      </c>
      <c r="S348" s="1">
        <v>40442</v>
      </c>
      <c r="T348" s="1">
        <v>40442</v>
      </c>
      <c r="U348" t="str">
        <f>"3020670452"</f>
        <v>3020670452</v>
      </c>
      <c r="V348" t="str">
        <f>"1510"</f>
        <v>1510</v>
      </c>
      <c r="W348" t="str">
        <f t="shared" si="92"/>
        <v>11</v>
      </c>
      <c r="X348" t="s">
        <v>75</v>
      </c>
      <c r="Y348" t="s">
        <v>76</v>
      </c>
      <c r="Z348" t="s">
        <v>180</v>
      </c>
      <c r="AA348" t="s">
        <v>181</v>
      </c>
      <c r="AB348" t="s">
        <v>79</v>
      </c>
      <c r="AD348" t="s">
        <v>80</v>
      </c>
      <c r="AE348" t="s">
        <v>81</v>
      </c>
      <c r="AF348" t="s">
        <v>82</v>
      </c>
      <c r="AG348" t="s">
        <v>83</v>
      </c>
      <c r="AH348" t="s">
        <v>84</v>
      </c>
      <c r="AI348" t="str">
        <f>"01"</f>
        <v>01</v>
      </c>
      <c r="AJ348" t="str">
        <f t="shared" ref="AJ348:AJ370" si="96">"1"</f>
        <v>1</v>
      </c>
      <c r="AK348" t="s">
        <v>93</v>
      </c>
      <c r="AL348" t="s">
        <v>94</v>
      </c>
      <c r="AM348" t="s">
        <v>95</v>
      </c>
      <c r="AN348" t="str">
        <f t="shared" si="93"/>
        <v>.9700</v>
      </c>
      <c r="AO348" t="str">
        <f>"11.41"</f>
        <v>11.41</v>
      </c>
      <c r="AP348" t="s">
        <v>96</v>
      </c>
      <c r="AQ348" t="str">
        <f>"11.41"</f>
        <v>11.41</v>
      </c>
      <c r="AR348">
        <v>32</v>
      </c>
      <c r="AS348">
        <v>-6</v>
      </c>
      <c r="AT348">
        <v>26</v>
      </c>
      <c r="AU348">
        <v>365.09</v>
      </c>
      <c r="AV348">
        <v>43.81</v>
      </c>
      <c r="AW348">
        <v>321.27999999999997</v>
      </c>
      <c r="AX348">
        <v>-61.38</v>
      </c>
      <c r="AY348">
        <v>259.89999999999998</v>
      </c>
      <c r="AZ348">
        <v>0</v>
      </c>
    </row>
    <row r="349" spans="1:52">
      <c r="A349" t="s">
        <v>65</v>
      </c>
      <c r="B349" t="s">
        <v>66</v>
      </c>
      <c r="C349" t="s">
        <v>67</v>
      </c>
      <c r="D349" t="s">
        <v>68</v>
      </c>
      <c r="E349" t="s">
        <v>69</v>
      </c>
      <c r="F349" t="s">
        <v>70</v>
      </c>
      <c r="G349" t="s">
        <v>71</v>
      </c>
      <c r="H349" t="s">
        <v>70</v>
      </c>
      <c r="I349" t="str">
        <f t="shared" si="90"/>
        <v>1010</v>
      </c>
      <c r="J349" t="str">
        <f t="shared" si="91"/>
        <v>05</v>
      </c>
      <c r="K349" t="s">
        <v>68</v>
      </c>
      <c r="L349" t="s">
        <v>72</v>
      </c>
      <c r="M349" t="s">
        <v>68</v>
      </c>
      <c r="N349" t="s">
        <v>181</v>
      </c>
      <c r="O349" t="s">
        <v>626</v>
      </c>
      <c r="P349" t="str">
        <f>"3020671842"</f>
        <v>3020671842</v>
      </c>
      <c r="R349" t="str">
        <f>"00030206718423"</f>
        <v>00030206718423</v>
      </c>
      <c r="S349" s="1">
        <v>41380</v>
      </c>
      <c r="T349" s="1">
        <v>41366</v>
      </c>
      <c r="U349" t="str">
        <f>"3020671842"</f>
        <v>3020671842</v>
      </c>
      <c r="V349" t="str">
        <f>"1010"</f>
        <v>1010</v>
      </c>
      <c r="W349" t="str">
        <f t="shared" si="92"/>
        <v>11</v>
      </c>
      <c r="X349" t="s">
        <v>75</v>
      </c>
      <c r="Y349" t="s">
        <v>173</v>
      </c>
      <c r="Z349" t="s">
        <v>180</v>
      </c>
      <c r="AA349" t="s">
        <v>181</v>
      </c>
      <c r="AB349" t="s">
        <v>79</v>
      </c>
      <c r="AD349" t="s">
        <v>80</v>
      </c>
      <c r="AE349" t="s">
        <v>81</v>
      </c>
      <c r="AF349" t="s">
        <v>82</v>
      </c>
      <c r="AG349" t="s">
        <v>83</v>
      </c>
      <c r="AH349" t="s">
        <v>84</v>
      </c>
      <c r="AJ349" t="str">
        <f t="shared" si="96"/>
        <v>1</v>
      </c>
      <c r="AK349" t="s">
        <v>93</v>
      </c>
      <c r="AL349" t="s">
        <v>143</v>
      </c>
      <c r="AM349" t="s">
        <v>95</v>
      </c>
      <c r="AN349" t="str">
        <f t="shared" si="93"/>
        <v>.9700</v>
      </c>
      <c r="AO349" t="str">
        <f>"11.41"</f>
        <v>11.41</v>
      </c>
      <c r="AP349" t="s">
        <v>96</v>
      </c>
      <c r="AQ349" t="str">
        <f>"11.41"</f>
        <v>11.41</v>
      </c>
      <c r="AR349">
        <v>6</v>
      </c>
      <c r="AS349">
        <v>-36</v>
      </c>
      <c r="AT349">
        <v>-30</v>
      </c>
      <c r="AU349">
        <v>68.459999999999994</v>
      </c>
      <c r="AV349">
        <v>0</v>
      </c>
      <c r="AW349">
        <v>68.459999999999994</v>
      </c>
      <c r="AX349">
        <v>-357.6</v>
      </c>
      <c r="AY349">
        <v>-289.14</v>
      </c>
      <c r="AZ349">
        <v>0</v>
      </c>
    </row>
    <row r="350" spans="1:52">
      <c r="A350" t="s">
        <v>65</v>
      </c>
      <c r="B350" t="s">
        <v>66</v>
      </c>
      <c r="C350" t="s">
        <v>67</v>
      </c>
      <c r="D350" t="s">
        <v>68</v>
      </c>
      <c r="E350" t="s">
        <v>69</v>
      </c>
      <c r="F350" t="s">
        <v>70</v>
      </c>
      <c r="G350" t="s">
        <v>71</v>
      </c>
      <c r="H350" t="s">
        <v>70</v>
      </c>
      <c r="I350" t="str">
        <f t="shared" si="90"/>
        <v>1010</v>
      </c>
      <c r="J350" t="str">
        <f t="shared" si="91"/>
        <v>05</v>
      </c>
      <c r="K350" t="s">
        <v>68</v>
      </c>
      <c r="L350" t="s">
        <v>72</v>
      </c>
      <c r="M350" t="s">
        <v>68</v>
      </c>
      <c r="N350" t="s">
        <v>181</v>
      </c>
      <c r="O350" t="s">
        <v>627</v>
      </c>
      <c r="P350" t="str">
        <f>"3020672208"</f>
        <v>3020672208</v>
      </c>
      <c r="R350" t="str">
        <f>"00030206722086"</f>
        <v>00030206722086</v>
      </c>
      <c r="S350" s="1">
        <v>41541</v>
      </c>
      <c r="T350" s="1">
        <v>41534</v>
      </c>
      <c r="U350" t="str">
        <f>"3020672208"</f>
        <v>3020672208</v>
      </c>
      <c r="V350" t="str">
        <f>"1010"</f>
        <v>1010</v>
      </c>
      <c r="W350" t="str">
        <f t="shared" si="92"/>
        <v>11</v>
      </c>
      <c r="X350" t="s">
        <v>75</v>
      </c>
      <c r="Y350" t="s">
        <v>173</v>
      </c>
      <c r="Z350" t="s">
        <v>180</v>
      </c>
      <c r="AA350" t="s">
        <v>181</v>
      </c>
      <c r="AB350" t="s">
        <v>79</v>
      </c>
      <c r="AD350" t="s">
        <v>80</v>
      </c>
      <c r="AE350" t="s">
        <v>81</v>
      </c>
      <c r="AF350" t="s">
        <v>82</v>
      </c>
      <c r="AG350" t="s">
        <v>83</v>
      </c>
      <c r="AH350" t="s">
        <v>84</v>
      </c>
      <c r="AI350" t="str">
        <f>"01"</f>
        <v>01</v>
      </c>
      <c r="AJ350" t="str">
        <f t="shared" si="96"/>
        <v>1</v>
      </c>
      <c r="AK350" t="s">
        <v>93</v>
      </c>
      <c r="AL350" t="s">
        <v>143</v>
      </c>
      <c r="AM350" t="s">
        <v>95</v>
      </c>
      <c r="AN350" t="str">
        <f t="shared" si="93"/>
        <v>.9700</v>
      </c>
      <c r="AO350" t="str">
        <f>"11.41"</f>
        <v>11.41</v>
      </c>
      <c r="AP350" t="s">
        <v>96</v>
      </c>
      <c r="AQ350" t="str">
        <f>"11.41"</f>
        <v>11.41</v>
      </c>
      <c r="AR350">
        <v>4</v>
      </c>
      <c r="AS350">
        <v>-3</v>
      </c>
      <c r="AT350">
        <v>1</v>
      </c>
      <c r="AU350">
        <v>45.64</v>
      </c>
      <c r="AV350">
        <v>0</v>
      </c>
      <c r="AW350">
        <v>45.64</v>
      </c>
      <c r="AX350">
        <v>-30.78</v>
      </c>
      <c r="AY350">
        <v>14.86</v>
      </c>
      <c r="AZ350">
        <v>0</v>
      </c>
    </row>
    <row r="351" spans="1:52">
      <c r="A351" t="s">
        <v>65</v>
      </c>
      <c r="B351" t="s">
        <v>66</v>
      </c>
      <c r="C351" t="s">
        <v>67</v>
      </c>
      <c r="D351" t="s">
        <v>68</v>
      </c>
      <c r="E351" t="s">
        <v>69</v>
      </c>
      <c r="F351" t="s">
        <v>70</v>
      </c>
      <c r="G351" t="s">
        <v>71</v>
      </c>
      <c r="H351" t="s">
        <v>70</v>
      </c>
      <c r="I351" t="str">
        <f t="shared" si="90"/>
        <v>1010</v>
      </c>
      <c r="J351" t="str">
        <f t="shared" si="91"/>
        <v>05</v>
      </c>
      <c r="K351" t="s">
        <v>68</v>
      </c>
      <c r="L351" t="s">
        <v>72</v>
      </c>
      <c r="M351" t="s">
        <v>68</v>
      </c>
      <c r="N351" t="s">
        <v>181</v>
      </c>
      <c r="O351" t="s">
        <v>628</v>
      </c>
      <c r="P351" t="str">
        <f>"3020669662"</f>
        <v>3020669662</v>
      </c>
      <c r="R351" t="str">
        <f>"00030206696622"</f>
        <v>00030206696622</v>
      </c>
      <c r="S351" s="1">
        <v>39938</v>
      </c>
      <c r="T351" s="1">
        <v>39938</v>
      </c>
      <c r="U351" t="str">
        <f>"3020669662"</f>
        <v>3020669662</v>
      </c>
      <c r="V351" t="str">
        <f>"1510"</f>
        <v>1510</v>
      </c>
      <c r="W351" t="str">
        <f t="shared" si="92"/>
        <v>11</v>
      </c>
      <c r="X351" t="s">
        <v>75</v>
      </c>
      <c r="Y351" t="s">
        <v>76</v>
      </c>
      <c r="Z351" t="s">
        <v>180</v>
      </c>
      <c r="AA351" t="s">
        <v>181</v>
      </c>
      <c r="AB351" t="s">
        <v>79</v>
      </c>
      <c r="AD351" t="s">
        <v>80</v>
      </c>
      <c r="AE351" t="s">
        <v>81</v>
      </c>
      <c r="AF351" t="s">
        <v>82</v>
      </c>
      <c r="AG351" t="s">
        <v>83</v>
      </c>
      <c r="AH351" t="s">
        <v>84</v>
      </c>
      <c r="AI351" t="str">
        <f>"01"</f>
        <v>01</v>
      </c>
      <c r="AJ351" t="str">
        <f t="shared" si="96"/>
        <v>1</v>
      </c>
      <c r="AK351" t="s">
        <v>93</v>
      </c>
      <c r="AL351" t="s">
        <v>94</v>
      </c>
      <c r="AM351" t="s">
        <v>95</v>
      </c>
      <c r="AN351" t="str">
        <f t="shared" si="93"/>
        <v>.9700</v>
      </c>
      <c r="AO351" t="str">
        <f>"11.41"</f>
        <v>11.41</v>
      </c>
      <c r="AP351" t="s">
        <v>96</v>
      </c>
      <c r="AQ351" t="str">
        <f>"11.41"</f>
        <v>11.41</v>
      </c>
      <c r="AR351">
        <v>110</v>
      </c>
      <c r="AS351">
        <v>-10</v>
      </c>
      <c r="AT351">
        <v>100</v>
      </c>
      <c r="AU351">
        <v>1220.3</v>
      </c>
      <c r="AV351">
        <v>136.91999999999999</v>
      </c>
      <c r="AW351">
        <v>1083.3800000000001</v>
      </c>
      <c r="AX351">
        <v>-100.86</v>
      </c>
      <c r="AY351">
        <v>982.52</v>
      </c>
      <c r="AZ351">
        <v>0</v>
      </c>
    </row>
    <row r="352" spans="1:52">
      <c r="A352" t="s">
        <v>65</v>
      </c>
      <c r="B352" t="s">
        <v>66</v>
      </c>
      <c r="C352" t="s">
        <v>67</v>
      </c>
      <c r="D352" t="s">
        <v>68</v>
      </c>
      <c r="E352" t="s">
        <v>69</v>
      </c>
      <c r="F352" t="s">
        <v>70</v>
      </c>
      <c r="G352" t="s">
        <v>71</v>
      </c>
      <c r="H352" t="s">
        <v>70</v>
      </c>
      <c r="I352" t="str">
        <f t="shared" si="90"/>
        <v>1010</v>
      </c>
      <c r="J352" t="str">
        <f t="shared" si="91"/>
        <v>05</v>
      </c>
      <c r="K352" t="s">
        <v>68</v>
      </c>
      <c r="L352" t="s">
        <v>72</v>
      </c>
      <c r="M352" t="s">
        <v>68</v>
      </c>
      <c r="N352" t="s">
        <v>181</v>
      </c>
      <c r="O352" t="s">
        <v>629</v>
      </c>
      <c r="P352" t="str">
        <f>"3020671981"</f>
        <v>3020671981</v>
      </c>
      <c r="R352" t="str">
        <f>"00030206719819"</f>
        <v>00030206719819</v>
      </c>
      <c r="S352" s="1">
        <v>41541</v>
      </c>
      <c r="T352" s="1">
        <v>41408</v>
      </c>
      <c r="U352" t="str">
        <f>"3020671981"</f>
        <v>3020671981</v>
      </c>
      <c r="V352" t="str">
        <f>"1010"</f>
        <v>1010</v>
      </c>
      <c r="W352" t="str">
        <f t="shared" si="92"/>
        <v>11</v>
      </c>
      <c r="X352" t="s">
        <v>75</v>
      </c>
      <c r="Y352" t="s">
        <v>173</v>
      </c>
      <c r="Z352" t="s">
        <v>180</v>
      </c>
      <c r="AA352" t="s">
        <v>181</v>
      </c>
      <c r="AB352" t="s">
        <v>79</v>
      </c>
      <c r="AD352" t="s">
        <v>80</v>
      </c>
      <c r="AE352" t="s">
        <v>81</v>
      </c>
      <c r="AF352" t="s">
        <v>82</v>
      </c>
      <c r="AG352" t="s">
        <v>140</v>
      </c>
      <c r="AH352" t="s">
        <v>141</v>
      </c>
      <c r="AJ352" t="str">
        <f t="shared" si="96"/>
        <v>1</v>
      </c>
      <c r="AK352" t="s">
        <v>630</v>
      </c>
      <c r="AL352" t="s">
        <v>143</v>
      </c>
      <c r="AM352" t="s">
        <v>95</v>
      </c>
      <c r="AN352" t="str">
        <f t="shared" si="93"/>
        <v>.9700</v>
      </c>
      <c r="AO352" t="str">
        <f>"15.49"</f>
        <v>15.49</v>
      </c>
      <c r="AP352" t="s">
        <v>631</v>
      </c>
      <c r="AQ352" t="str">
        <f>"15.49"</f>
        <v>15.49</v>
      </c>
      <c r="AR352">
        <v>12</v>
      </c>
      <c r="AS352">
        <v>0</v>
      </c>
      <c r="AT352">
        <v>12</v>
      </c>
      <c r="AU352">
        <v>185.88</v>
      </c>
      <c r="AV352">
        <v>0</v>
      </c>
      <c r="AW352">
        <v>185.88</v>
      </c>
      <c r="AX352">
        <v>0</v>
      </c>
      <c r="AY352">
        <v>185.88</v>
      </c>
      <c r="AZ352">
        <v>0</v>
      </c>
    </row>
    <row r="353" spans="1:52">
      <c r="A353" t="s">
        <v>65</v>
      </c>
      <c r="B353" t="s">
        <v>66</v>
      </c>
      <c r="C353" t="s">
        <v>67</v>
      </c>
      <c r="D353" t="s">
        <v>68</v>
      </c>
      <c r="E353" t="s">
        <v>69</v>
      </c>
      <c r="F353" t="s">
        <v>70</v>
      </c>
      <c r="G353" t="s">
        <v>71</v>
      </c>
      <c r="H353" t="s">
        <v>70</v>
      </c>
      <c r="I353" t="str">
        <f t="shared" si="90"/>
        <v>1010</v>
      </c>
      <c r="J353" t="str">
        <f t="shared" si="91"/>
        <v>05</v>
      </c>
      <c r="K353" t="s">
        <v>68</v>
      </c>
      <c r="L353" t="s">
        <v>72</v>
      </c>
      <c r="M353" t="s">
        <v>68</v>
      </c>
      <c r="N353" t="s">
        <v>181</v>
      </c>
      <c r="O353" t="s">
        <v>629</v>
      </c>
      <c r="P353" t="str">
        <f>"3020671982"</f>
        <v>3020671982</v>
      </c>
      <c r="R353" t="str">
        <f>"00030206719826"</f>
        <v>00030206719826</v>
      </c>
      <c r="S353" s="1">
        <v>41415</v>
      </c>
      <c r="T353" s="1">
        <v>41408</v>
      </c>
      <c r="U353" t="str">
        <f>"3020671982"</f>
        <v>3020671982</v>
      </c>
      <c r="V353" t="str">
        <f>"1010"</f>
        <v>1010</v>
      </c>
      <c r="W353" t="str">
        <f t="shared" si="92"/>
        <v>11</v>
      </c>
      <c r="X353" t="s">
        <v>75</v>
      </c>
      <c r="Y353" t="s">
        <v>173</v>
      </c>
      <c r="Z353" t="s">
        <v>180</v>
      </c>
      <c r="AA353" t="s">
        <v>181</v>
      </c>
      <c r="AB353" t="s">
        <v>79</v>
      </c>
      <c r="AD353" t="s">
        <v>80</v>
      </c>
      <c r="AE353" t="s">
        <v>81</v>
      </c>
      <c r="AF353" t="s">
        <v>82</v>
      </c>
      <c r="AG353" t="s">
        <v>83</v>
      </c>
      <c r="AH353" t="s">
        <v>84</v>
      </c>
      <c r="AJ353" t="str">
        <f t="shared" si="96"/>
        <v>1</v>
      </c>
      <c r="AK353" t="s">
        <v>93</v>
      </c>
      <c r="AL353" t="s">
        <v>143</v>
      </c>
      <c r="AM353" t="s">
        <v>95</v>
      </c>
      <c r="AN353" t="str">
        <f t="shared" si="93"/>
        <v>.9700</v>
      </c>
      <c r="AO353" t="str">
        <f>"11.41"</f>
        <v>11.41</v>
      </c>
      <c r="AP353" t="s">
        <v>96</v>
      </c>
      <c r="AQ353" t="str">
        <f>"11.41"</f>
        <v>11.41</v>
      </c>
      <c r="AR353">
        <v>151</v>
      </c>
      <c r="AS353">
        <v>-122</v>
      </c>
      <c r="AT353">
        <v>29</v>
      </c>
      <c r="AU353">
        <v>1720</v>
      </c>
      <c r="AV353">
        <v>0</v>
      </c>
      <c r="AW353">
        <v>1720</v>
      </c>
      <c r="AX353">
        <v>-1078.75</v>
      </c>
      <c r="AY353">
        <v>641.25</v>
      </c>
      <c r="AZ353">
        <v>0</v>
      </c>
    </row>
    <row r="354" spans="1:52">
      <c r="A354" t="s">
        <v>65</v>
      </c>
      <c r="B354" t="s">
        <v>66</v>
      </c>
      <c r="C354" t="s">
        <v>67</v>
      </c>
      <c r="D354" t="s">
        <v>68</v>
      </c>
      <c r="E354" t="s">
        <v>69</v>
      </c>
      <c r="F354" t="s">
        <v>70</v>
      </c>
      <c r="G354" t="s">
        <v>71</v>
      </c>
      <c r="H354" t="s">
        <v>70</v>
      </c>
      <c r="I354" t="str">
        <f t="shared" si="90"/>
        <v>1010</v>
      </c>
      <c r="J354" t="str">
        <f t="shared" si="91"/>
        <v>05</v>
      </c>
      <c r="K354" t="s">
        <v>68</v>
      </c>
      <c r="L354" t="s">
        <v>72</v>
      </c>
      <c r="M354" t="s">
        <v>68</v>
      </c>
      <c r="N354" t="s">
        <v>181</v>
      </c>
      <c r="O354" t="s">
        <v>629</v>
      </c>
      <c r="P354" t="str">
        <f>"3020671982"</f>
        <v>3020671982</v>
      </c>
      <c r="R354" t="str">
        <f>"00030206719826"</f>
        <v>00030206719826</v>
      </c>
      <c r="S354" s="1">
        <v>41415</v>
      </c>
      <c r="T354" s="1">
        <v>41408</v>
      </c>
      <c r="U354" t="str">
        <f>"3020671982"</f>
        <v>3020671982</v>
      </c>
      <c r="V354" t="str">
        <f>"1010"</f>
        <v>1010</v>
      </c>
      <c r="W354" t="str">
        <f>"21"</f>
        <v>21</v>
      </c>
      <c r="X354" t="s">
        <v>75</v>
      </c>
      <c r="Y354" t="s">
        <v>173</v>
      </c>
      <c r="Z354" t="s">
        <v>180</v>
      </c>
      <c r="AA354" t="s">
        <v>181</v>
      </c>
      <c r="AB354" t="s">
        <v>79</v>
      </c>
      <c r="AD354" t="s">
        <v>80</v>
      </c>
      <c r="AE354" t="s">
        <v>81</v>
      </c>
      <c r="AF354" t="s">
        <v>82</v>
      </c>
      <c r="AG354" t="s">
        <v>83</v>
      </c>
      <c r="AH354" t="s">
        <v>84</v>
      </c>
      <c r="AJ354" t="str">
        <f t="shared" si="96"/>
        <v>1</v>
      </c>
      <c r="AK354" t="s">
        <v>93</v>
      </c>
      <c r="AL354" t="s">
        <v>143</v>
      </c>
      <c r="AM354" t="s">
        <v>95</v>
      </c>
      <c r="AN354" t="str">
        <f t="shared" si="93"/>
        <v>.9700</v>
      </c>
      <c r="AO354" t="str">
        <f>"11.41"</f>
        <v>11.41</v>
      </c>
      <c r="AP354" t="s">
        <v>96</v>
      </c>
      <c r="AQ354" t="str">
        <f>"11.41"</f>
        <v>11.41</v>
      </c>
      <c r="AR354">
        <v>0</v>
      </c>
      <c r="AS354">
        <v>-33</v>
      </c>
      <c r="AT354">
        <v>-33</v>
      </c>
      <c r="AU354">
        <v>0</v>
      </c>
      <c r="AV354">
        <v>0</v>
      </c>
      <c r="AW354">
        <v>0</v>
      </c>
      <c r="AX354">
        <v>-338.91</v>
      </c>
      <c r="AY354">
        <v>-338.91</v>
      </c>
      <c r="AZ354">
        <v>0</v>
      </c>
    </row>
    <row r="355" spans="1:52">
      <c r="A355" t="s">
        <v>65</v>
      </c>
      <c r="B355" t="s">
        <v>66</v>
      </c>
      <c r="C355" t="s">
        <v>67</v>
      </c>
      <c r="D355" t="s">
        <v>68</v>
      </c>
      <c r="E355" t="s">
        <v>69</v>
      </c>
      <c r="F355" t="s">
        <v>70</v>
      </c>
      <c r="G355" t="s">
        <v>71</v>
      </c>
      <c r="H355" t="s">
        <v>70</v>
      </c>
      <c r="I355" t="str">
        <f t="shared" si="90"/>
        <v>1010</v>
      </c>
      <c r="J355" t="str">
        <f t="shared" si="91"/>
        <v>05</v>
      </c>
      <c r="K355" t="s">
        <v>68</v>
      </c>
      <c r="L355" t="s">
        <v>72</v>
      </c>
      <c r="M355" t="s">
        <v>68</v>
      </c>
      <c r="N355" t="s">
        <v>181</v>
      </c>
      <c r="O355" t="s">
        <v>632</v>
      </c>
      <c r="P355" t="str">
        <f>"3020664122"</f>
        <v>3020664122</v>
      </c>
      <c r="R355" t="str">
        <f>"00030206641226"</f>
        <v>00030206641226</v>
      </c>
      <c r="S355" s="1">
        <v>37586</v>
      </c>
      <c r="T355" s="1">
        <v>37586</v>
      </c>
      <c r="U355" t="str">
        <f>"3020664122"</f>
        <v>3020664122</v>
      </c>
      <c r="V355" t="str">
        <f>"1510"</f>
        <v>1510</v>
      </c>
      <c r="W355" t="str">
        <f t="shared" ref="W355:W386" si="97">"11"</f>
        <v>11</v>
      </c>
      <c r="X355" t="s">
        <v>75</v>
      </c>
      <c r="Y355" t="s">
        <v>76</v>
      </c>
      <c r="Z355" t="s">
        <v>180</v>
      </c>
      <c r="AA355" t="s">
        <v>181</v>
      </c>
      <c r="AB355" t="s">
        <v>79</v>
      </c>
      <c r="AD355" t="s">
        <v>80</v>
      </c>
      <c r="AE355" t="s">
        <v>81</v>
      </c>
      <c r="AF355" t="s">
        <v>82</v>
      </c>
      <c r="AG355" t="s">
        <v>83</v>
      </c>
      <c r="AH355" t="s">
        <v>84</v>
      </c>
      <c r="AI355" t="str">
        <f>"01"</f>
        <v>01</v>
      </c>
      <c r="AJ355" t="str">
        <f t="shared" si="96"/>
        <v>1</v>
      </c>
      <c r="AK355" t="s">
        <v>93</v>
      </c>
      <c r="AL355" t="s">
        <v>94</v>
      </c>
      <c r="AM355" t="s">
        <v>95</v>
      </c>
      <c r="AN355" t="str">
        <f t="shared" si="93"/>
        <v>.9700</v>
      </c>
      <c r="AO355" t="str">
        <f>"11.41"</f>
        <v>11.41</v>
      </c>
      <c r="AP355" t="s">
        <v>96</v>
      </c>
      <c r="AQ355" t="str">
        <f>"11.41"</f>
        <v>11.41</v>
      </c>
      <c r="AR355">
        <v>17</v>
      </c>
      <c r="AS355">
        <v>0</v>
      </c>
      <c r="AT355">
        <v>17</v>
      </c>
      <c r="AU355">
        <v>193.96</v>
      </c>
      <c r="AV355">
        <v>20.54</v>
      </c>
      <c r="AW355">
        <v>173.42</v>
      </c>
      <c r="AX355">
        <v>0</v>
      </c>
      <c r="AY355">
        <v>173.42</v>
      </c>
      <c r="AZ355">
        <v>0</v>
      </c>
    </row>
    <row r="356" spans="1:52">
      <c r="A356" t="s">
        <v>65</v>
      </c>
      <c r="B356" t="s">
        <v>66</v>
      </c>
      <c r="C356" t="s">
        <v>67</v>
      </c>
      <c r="D356" t="s">
        <v>68</v>
      </c>
      <c r="E356" t="s">
        <v>69</v>
      </c>
      <c r="F356" t="s">
        <v>70</v>
      </c>
      <c r="G356" t="s">
        <v>71</v>
      </c>
      <c r="H356" t="s">
        <v>70</v>
      </c>
      <c r="I356" t="str">
        <f t="shared" si="90"/>
        <v>1010</v>
      </c>
      <c r="J356" t="str">
        <f t="shared" si="91"/>
        <v>05</v>
      </c>
      <c r="K356" t="s">
        <v>68</v>
      </c>
      <c r="L356" t="s">
        <v>72</v>
      </c>
      <c r="M356" t="s">
        <v>68</v>
      </c>
      <c r="N356" t="s">
        <v>181</v>
      </c>
      <c r="O356" t="s">
        <v>633</v>
      </c>
      <c r="P356" t="s">
        <v>634</v>
      </c>
      <c r="R356" t="str">
        <f>"00030206742121"</f>
        <v>00030206742121</v>
      </c>
      <c r="S356" s="1">
        <v>32447</v>
      </c>
      <c r="T356" s="1">
        <v>32447</v>
      </c>
      <c r="U356" t="s">
        <v>634</v>
      </c>
      <c r="V356" t="str">
        <f>"1510"</f>
        <v>1510</v>
      </c>
      <c r="W356" t="str">
        <f t="shared" si="97"/>
        <v>11</v>
      </c>
      <c r="X356" t="s">
        <v>75</v>
      </c>
      <c r="Y356" t="s">
        <v>76</v>
      </c>
      <c r="Z356" t="s">
        <v>180</v>
      </c>
      <c r="AA356" t="s">
        <v>181</v>
      </c>
      <c r="AB356" t="s">
        <v>79</v>
      </c>
      <c r="AD356" t="s">
        <v>80</v>
      </c>
      <c r="AE356" t="s">
        <v>81</v>
      </c>
      <c r="AF356" t="s">
        <v>82</v>
      </c>
      <c r="AG356" t="s">
        <v>83</v>
      </c>
      <c r="AH356" t="s">
        <v>84</v>
      </c>
      <c r="AI356" t="str">
        <f>"01"</f>
        <v>01</v>
      </c>
      <c r="AJ356" t="str">
        <f t="shared" si="96"/>
        <v>1</v>
      </c>
      <c r="AK356" t="s">
        <v>107</v>
      </c>
      <c r="AL356" t="s">
        <v>94</v>
      </c>
      <c r="AM356" t="s">
        <v>95</v>
      </c>
      <c r="AN356" t="str">
        <f t="shared" si="93"/>
        <v>.9700</v>
      </c>
      <c r="AO356" t="str">
        <f>"10.78"</f>
        <v>10.78</v>
      </c>
      <c r="AP356" t="s">
        <v>108</v>
      </c>
      <c r="AQ356" t="str">
        <f>"10.78"</f>
        <v>10.78</v>
      </c>
      <c r="AR356">
        <v>13</v>
      </c>
      <c r="AS356">
        <v>0</v>
      </c>
      <c r="AT356">
        <v>13</v>
      </c>
      <c r="AU356">
        <v>138.56</v>
      </c>
      <c r="AV356">
        <v>15.52</v>
      </c>
      <c r="AW356">
        <v>123.04</v>
      </c>
      <c r="AX356">
        <v>0</v>
      </c>
      <c r="AY356">
        <v>123.04</v>
      </c>
      <c r="AZ356">
        <v>0</v>
      </c>
    </row>
    <row r="357" spans="1:52">
      <c r="A357" t="s">
        <v>65</v>
      </c>
      <c r="B357" t="s">
        <v>66</v>
      </c>
      <c r="C357" t="s">
        <v>67</v>
      </c>
      <c r="D357" t="s">
        <v>68</v>
      </c>
      <c r="E357" t="s">
        <v>69</v>
      </c>
      <c r="F357" t="s">
        <v>70</v>
      </c>
      <c r="G357" t="s">
        <v>71</v>
      </c>
      <c r="H357" t="s">
        <v>70</v>
      </c>
      <c r="I357" t="str">
        <f t="shared" si="90"/>
        <v>1010</v>
      </c>
      <c r="J357" t="str">
        <f t="shared" si="91"/>
        <v>05</v>
      </c>
      <c r="K357" t="s">
        <v>68</v>
      </c>
      <c r="L357" t="s">
        <v>72</v>
      </c>
      <c r="M357" t="s">
        <v>68</v>
      </c>
      <c r="N357" t="s">
        <v>181</v>
      </c>
      <c r="O357" t="s">
        <v>635</v>
      </c>
      <c r="P357" t="str">
        <f>"3020667432"</f>
        <v>3020667432</v>
      </c>
      <c r="R357" t="str">
        <f>"00030206674323"</f>
        <v>00030206674323</v>
      </c>
      <c r="S357" s="1">
        <v>39007</v>
      </c>
      <c r="T357" s="1">
        <v>38902</v>
      </c>
      <c r="U357" t="str">
        <f>"3020667432"</f>
        <v>3020667432</v>
      </c>
      <c r="V357" t="str">
        <f>"1510"</f>
        <v>1510</v>
      </c>
      <c r="W357" t="str">
        <f t="shared" si="97"/>
        <v>11</v>
      </c>
      <c r="X357" t="s">
        <v>376</v>
      </c>
      <c r="Y357" t="s">
        <v>76</v>
      </c>
      <c r="Z357" t="s">
        <v>180</v>
      </c>
      <c r="AA357" t="s">
        <v>181</v>
      </c>
      <c r="AB357" t="s">
        <v>79</v>
      </c>
      <c r="AD357" t="s">
        <v>80</v>
      </c>
      <c r="AE357" t="s">
        <v>81</v>
      </c>
      <c r="AF357" t="s">
        <v>82</v>
      </c>
      <c r="AG357" t="s">
        <v>83</v>
      </c>
      <c r="AH357" t="s">
        <v>84</v>
      </c>
      <c r="AI357" t="str">
        <f>"01"</f>
        <v>01</v>
      </c>
      <c r="AJ357" t="str">
        <f t="shared" si="96"/>
        <v>1</v>
      </c>
      <c r="AK357" t="s">
        <v>93</v>
      </c>
      <c r="AL357" t="s">
        <v>94</v>
      </c>
      <c r="AM357" t="s">
        <v>95</v>
      </c>
      <c r="AN357" t="str">
        <f t="shared" si="93"/>
        <v>.9700</v>
      </c>
      <c r="AO357" t="str">
        <f>"11.41"</f>
        <v>11.41</v>
      </c>
      <c r="AP357" t="s">
        <v>96</v>
      </c>
      <c r="AQ357" t="str">
        <f>"11.41"</f>
        <v>11.41</v>
      </c>
      <c r="AR357">
        <v>0</v>
      </c>
      <c r="AS357">
        <v>-3</v>
      </c>
      <c r="AT357">
        <v>-3</v>
      </c>
      <c r="AU357">
        <v>0</v>
      </c>
      <c r="AV357">
        <v>0</v>
      </c>
      <c r="AW357">
        <v>0</v>
      </c>
      <c r="AX357">
        <v>-30.87</v>
      </c>
      <c r="AY357">
        <v>-30.87</v>
      </c>
      <c r="AZ357">
        <v>0</v>
      </c>
    </row>
    <row r="358" spans="1:52">
      <c r="A358" t="s">
        <v>65</v>
      </c>
      <c r="B358" t="s">
        <v>66</v>
      </c>
      <c r="C358" t="s">
        <v>67</v>
      </c>
      <c r="D358" t="s">
        <v>68</v>
      </c>
      <c r="E358" t="s">
        <v>69</v>
      </c>
      <c r="F358" t="s">
        <v>70</v>
      </c>
      <c r="G358" t="s">
        <v>71</v>
      </c>
      <c r="H358" t="s">
        <v>70</v>
      </c>
      <c r="I358" t="str">
        <f t="shared" si="90"/>
        <v>1010</v>
      </c>
      <c r="J358" t="str">
        <f t="shared" si="91"/>
        <v>05</v>
      </c>
      <c r="K358" t="s">
        <v>68</v>
      </c>
      <c r="L358" t="s">
        <v>72</v>
      </c>
      <c r="M358" t="s">
        <v>68</v>
      </c>
      <c r="N358" t="s">
        <v>181</v>
      </c>
      <c r="O358" t="s">
        <v>636</v>
      </c>
      <c r="P358" t="s">
        <v>637</v>
      </c>
      <c r="R358" t="str">
        <f>"00030206570021"</f>
        <v>00030206570021</v>
      </c>
      <c r="S358" s="1">
        <v>35178</v>
      </c>
      <c r="T358" s="1">
        <v>35178</v>
      </c>
      <c r="U358" t="s">
        <v>637</v>
      </c>
      <c r="V358" t="str">
        <f>"1510"</f>
        <v>1510</v>
      </c>
      <c r="W358" t="str">
        <f t="shared" si="97"/>
        <v>11</v>
      </c>
      <c r="X358" t="s">
        <v>75</v>
      </c>
      <c r="Y358" t="s">
        <v>76</v>
      </c>
      <c r="Z358" t="s">
        <v>180</v>
      </c>
      <c r="AA358" t="s">
        <v>181</v>
      </c>
      <c r="AB358" t="s">
        <v>79</v>
      </c>
      <c r="AD358" t="s">
        <v>80</v>
      </c>
      <c r="AE358" t="s">
        <v>81</v>
      </c>
      <c r="AF358" t="s">
        <v>82</v>
      </c>
      <c r="AG358" t="s">
        <v>83</v>
      </c>
      <c r="AH358" t="s">
        <v>84</v>
      </c>
      <c r="AI358" t="str">
        <f>"01"</f>
        <v>01</v>
      </c>
      <c r="AJ358" t="str">
        <f t="shared" si="96"/>
        <v>1</v>
      </c>
      <c r="AK358" t="s">
        <v>107</v>
      </c>
      <c r="AL358" t="s">
        <v>94</v>
      </c>
      <c r="AM358" t="s">
        <v>95</v>
      </c>
      <c r="AN358" t="str">
        <f t="shared" si="93"/>
        <v>.9700</v>
      </c>
      <c r="AO358" t="str">
        <f>"10.78"</f>
        <v>10.78</v>
      </c>
      <c r="AP358" t="s">
        <v>108</v>
      </c>
      <c r="AQ358" t="str">
        <f>"10.78"</f>
        <v>10.78</v>
      </c>
      <c r="AR358">
        <v>13</v>
      </c>
      <c r="AS358">
        <v>-1</v>
      </c>
      <c r="AT358">
        <v>12</v>
      </c>
      <c r="AU358">
        <v>140.18</v>
      </c>
      <c r="AV358">
        <v>16.809999999999999</v>
      </c>
      <c r="AW358">
        <v>123.37</v>
      </c>
      <c r="AX358">
        <v>-9.9</v>
      </c>
      <c r="AY358">
        <v>113.47</v>
      </c>
      <c r="AZ358">
        <v>0</v>
      </c>
    </row>
    <row r="359" spans="1:52">
      <c r="A359" t="s">
        <v>65</v>
      </c>
      <c r="B359" t="s">
        <v>66</v>
      </c>
      <c r="C359" t="s">
        <v>67</v>
      </c>
      <c r="D359" t="s">
        <v>68</v>
      </c>
      <c r="E359" t="s">
        <v>69</v>
      </c>
      <c r="F359" t="s">
        <v>70</v>
      </c>
      <c r="G359" t="s">
        <v>71</v>
      </c>
      <c r="H359" t="s">
        <v>70</v>
      </c>
      <c r="I359" t="str">
        <f t="shared" si="90"/>
        <v>1010</v>
      </c>
      <c r="J359" t="str">
        <f t="shared" si="91"/>
        <v>05</v>
      </c>
      <c r="K359" t="s">
        <v>68</v>
      </c>
      <c r="L359" t="s">
        <v>72</v>
      </c>
      <c r="M359" t="s">
        <v>68</v>
      </c>
      <c r="N359" t="s">
        <v>181</v>
      </c>
      <c r="O359" t="s">
        <v>638</v>
      </c>
      <c r="P359" t="str">
        <f>"3020672398"</f>
        <v>3020672398</v>
      </c>
      <c r="R359" t="str">
        <f>"00030206723984"</f>
        <v>00030206723984</v>
      </c>
      <c r="S359" s="1">
        <v>41786</v>
      </c>
      <c r="T359" s="1">
        <v>41772</v>
      </c>
      <c r="U359" t="str">
        <f>"3020672398"</f>
        <v>3020672398</v>
      </c>
      <c r="V359" t="str">
        <f>"1010"</f>
        <v>1010</v>
      </c>
      <c r="W359" t="str">
        <f t="shared" si="97"/>
        <v>11</v>
      </c>
      <c r="X359" t="s">
        <v>75</v>
      </c>
      <c r="Y359" t="s">
        <v>139</v>
      </c>
      <c r="Z359" t="s">
        <v>180</v>
      </c>
      <c r="AA359" t="s">
        <v>181</v>
      </c>
      <c r="AB359" t="s">
        <v>79</v>
      </c>
      <c r="AD359" t="s">
        <v>80</v>
      </c>
      <c r="AE359" t="s">
        <v>81</v>
      </c>
      <c r="AF359" t="s">
        <v>82</v>
      </c>
      <c r="AG359" t="s">
        <v>83</v>
      </c>
      <c r="AH359" t="s">
        <v>84</v>
      </c>
      <c r="AJ359" t="str">
        <f t="shared" si="96"/>
        <v>1</v>
      </c>
      <c r="AK359" t="s">
        <v>101</v>
      </c>
      <c r="AL359" t="s">
        <v>143</v>
      </c>
      <c r="AM359" t="s">
        <v>95</v>
      </c>
      <c r="AN359" t="str">
        <f t="shared" si="93"/>
        <v>.9700</v>
      </c>
      <c r="AO359" t="str">
        <f>"9.07"</f>
        <v>9.07</v>
      </c>
      <c r="AP359" t="s">
        <v>102</v>
      </c>
      <c r="AQ359" t="str">
        <f>"9.07"</f>
        <v>9.07</v>
      </c>
      <c r="AR359">
        <v>17</v>
      </c>
      <c r="AS359">
        <v>0</v>
      </c>
      <c r="AT359">
        <v>17</v>
      </c>
      <c r="AU359">
        <v>154.19</v>
      </c>
      <c r="AV359">
        <v>2.73</v>
      </c>
      <c r="AW359">
        <v>151.46</v>
      </c>
      <c r="AX359">
        <v>0</v>
      </c>
      <c r="AY359">
        <v>151.46</v>
      </c>
      <c r="AZ359">
        <v>0</v>
      </c>
    </row>
    <row r="360" spans="1:52">
      <c r="A360" t="s">
        <v>65</v>
      </c>
      <c r="B360" t="s">
        <v>66</v>
      </c>
      <c r="C360" t="s">
        <v>67</v>
      </c>
      <c r="D360" t="s">
        <v>68</v>
      </c>
      <c r="E360" t="s">
        <v>69</v>
      </c>
      <c r="F360" t="s">
        <v>70</v>
      </c>
      <c r="G360" t="s">
        <v>71</v>
      </c>
      <c r="H360" t="s">
        <v>70</v>
      </c>
      <c r="I360" t="str">
        <f t="shared" si="90"/>
        <v>1010</v>
      </c>
      <c r="J360" t="str">
        <f t="shared" si="91"/>
        <v>05</v>
      </c>
      <c r="K360" t="s">
        <v>68</v>
      </c>
      <c r="L360" t="s">
        <v>72</v>
      </c>
      <c r="M360" t="s">
        <v>68</v>
      </c>
      <c r="N360" t="s">
        <v>181</v>
      </c>
      <c r="O360" t="s">
        <v>639</v>
      </c>
      <c r="P360" t="str">
        <f>"3020671971"</f>
        <v>3020671971</v>
      </c>
      <c r="R360" t="str">
        <f>"00030206719710"</f>
        <v>00030206719710</v>
      </c>
      <c r="S360" s="1">
        <v>41436</v>
      </c>
      <c r="T360" s="1">
        <v>41436</v>
      </c>
      <c r="U360" t="str">
        <f>"3020671971"</f>
        <v>3020671971</v>
      </c>
      <c r="V360" t="str">
        <f>"1010"</f>
        <v>1010</v>
      </c>
      <c r="W360" t="str">
        <f t="shared" si="97"/>
        <v>11</v>
      </c>
      <c r="X360" t="s">
        <v>75</v>
      </c>
      <c r="Y360" t="s">
        <v>173</v>
      </c>
      <c r="Z360" t="s">
        <v>180</v>
      </c>
      <c r="AA360" t="s">
        <v>181</v>
      </c>
      <c r="AB360" t="s">
        <v>79</v>
      </c>
      <c r="AD360" t="s">
        <v>80</v>
      </c>
      <c r="AE360" t="s">
        <v>81</v>
      </c>
      <c r="AF360" t="s">
        <v>82</v>
      </c>
      <c r="AG360" t="s">
        <v>140</v>
      </c>
      <c r="AH360" t="s">
        <v>141</v>
      </c>
      <c r="AJ360" t="str">
        <f t="shared" si="96"/>
        <v>1</v>
      </c>
      <c r="AK360" t="s">
        <v>142</v>
      </c>
      <c r="AL360" t="s">
        <v>143</v>
      </c>
      <c r="AM360" t="s">
        <v>95</v>
      </c>
      <c r="AN360" t="str">
        <f t="shared" si="93"/>
        <v>.9700</v>
      </c>
      <c r="AO360" t="str">
        <f>"11.59"</f>
        <v>11.59</v>
      </c>
      <c r="AP360" t="s">
        <v>144</v>
      </c>
      <c r="AQ360" t="str">
        <f>"11.59"</f>
        <v>11.59</v>
      </c>
      <c r="AR360">
        <v>8</v>
      </c>
      <c r="AS360">
        <v>0</v>
      </c>
      <c r="AT360">
        <v>8</v>
      </c>
      <c r="AU360">
        <v>92.72</v>
      </c>
      <c r="AV360">
        <v>0</v>
      </c>
      <c r="AW360">
        <v>92.72</v>
      </c>
      <c r="AX360">
        <v>0</v>
      </c>
      <c r="AY360">
        <v>92.72</v>
      </c>
      <c r="AZ360">
        <v>0</v>
      </c>
    </row>
    <row r="361" spans="1:52">
      <c r="A361" t="s">
        <v>65</v>
      </c>
      <c r="B361" t="s">
        <v>66</v>
      </c>
      <c r="C361" t="s">
        <v>67</v>
      </c>
      <c r="D361" t="s">
        <v>68</v>
      </c>
      <c r="E361" t="s">
        <v>69</v>
      </c>
      <c r="F361" t="s">
        <v>70</v>
      </c>
      <c r="G361" t="s">
        <v>71</v>
      </c>
      <c r="H361" t="s">
        <v>70</v>
      </c>
      <c r="I361" t="str">
        <f t="shared" si="90"/>
        <v>1010</v>
      </c>
      <c r="J361" t="str">
        <f t="shared" si="91"/>
        <v>05</v>
      </c>
      <c r="K361" t="s">
        <v>68</v>
      </c>
      <c r="L361" t="s">
        <v>72</v>
      </c>
      <c r="M361" t="s">
        <v>68</v>
      </c>
      <c r="N361" t="s">
        <v>181</v>
      </c>
      <c r="O361" t="s">
        <v>639</v>
      </c>
      <c r="P361" t="str">
        <f>"3020671972"</f>
        <v>3020671972</v>
      </c>
      <c r="R361" t="str">
        <f>"00030206719727"</f>
        <v>00030206719727</v>
      </c>
      <c r="S361" s="1">
        <v>41436</v>
      </c>
      <c r="T361" s="1">
        <v>41436</v>
      </c>
      <c r="U361" t="str">
        <f>"3020671972"</f>
        <v>3020671972</v>
      </c>
      <c r="V361" t="str">
        <f>"1010"</f>
        <v>1010</v>
      </c>
      <c r="W361" t="str">
        <f t="shared" si="97"/>
        <v>11</v>
      </c>
      <c r="X361" t="s">
        <v>75</v>
      </c>
      <c r="Y361" t="s">
        <v>173</v>
      </c>
      <c r="Z361" t="s">
        <v>180</v>
      </c>
      <c r="AA361" t="s">
        <v>181</v>
      </c>
      <c r="AB361" t="s">
        <v>79</v>
      </c>
      <c r="AD361" t="s">
        <v>80</v>
      </c>
      <c r="AE361" t="s">
        <v>81</v>
      </c>
      <c r="AF361" t="s">
        <v>82</v>
      </c>
      <c r="AG361" t="s">
        <v>83</v>
      </c>
      <c r="AH361" t="s">
        <v>84</v>
      </c>
      <c r="AJ361" t="str">
        <f t="shared" si="96"/>
        <v>1</v>
      </c>
      <c r="AK361" t="s">
        <v>101</v>
      </c>
      <c r="AL361" t="s">
        <v>143</v>
      </c>
      <c r="AM361" t="s">
        <v>95</v>
      </c>
      <c r="AN361" t="str">
        <f t="shared" si="93"/>
        <v>.9700</v>
      </c>
      <c r="AO361" t="str">
        <f>"9.07"</f>
        <v>9.07</v>
      </c>
      <c r="AP361" t="s">
        <v>102</v>
      </c>
      <c r="AQ361" t="str">
        <f>"9.07"</f>
        <v>9.07</v>
      </c>
      <c r="AR361">
        <v>78</v>
      </c>
      <c r="AS361">
        <v>-4</v>
      </c>
      <c r="AT361">
        <v>74</v>
      </c>
      <c r="AU361">
        <v>705.18</v>
      </c>
      <c r="AV361">
        <v>0</v>
      </c>
      <c r="AW361">
        <v>705.18</v>
      </c>
      <c r="AX361">
        <v>-32.15</v>
      </c>
      <c r="AY361">
        <v>673.03</v>
      </c>
      <c r="AZ361">
        <v>0</v>
      </c>
    </row>
    <row r="362" spans="1:52">
      <c r="A362" t="s">
        <v>65</v>
      </c>
      <c r="B362" t="s">
        <v>66</v>
      </c>
      <c r="C362" t="s">
        <v>67</v>
      </c>
      <c r="D362" t="s">
        <v>68</v>
      </c>
      <c r="E362" t="s">
        <v>69</v>
      </c>
      <c r="F362" t="s">
        <v>70</v>
      </c>
      <c r="G362" t="s">
        <v>71</v>
      </c>
      <c r="H362" t="s">
        <v>70</v>
      </c>
      <c r="I362" t="str">
        <f t="shared" si="90"/>
        <v>1010</v>
      </c>
      <c r="J362" t="str">
        <f t="shared" si="91"/>
        <v>05</v>
      </c>
      <c r="K362" t="s">
        <v>68</v>
      </c>
      <c r="L362" t="s">
        <v>72</v>
      </c>
      <c r="M362" t="s">
        <v>68</v>
      </c>
      <c r="N362" t="s">
        <v>181</v>
      </c>
      <c r="O362" t="s">
        <v>640</v>
      </c>
      <c r="P362" t="str">
        <f>"3020671012"</f>
        <v>3020671012</v>
      </c>
      <c r="R362" t="str">
        <f>"00030206710120"</f>
        <v>00030206710120</v>
      </c>
      <c r="S362" s="1">
        <v>40757</v>
      </c>
      <c r="T362" s="1">
        <v>40722</v>
      </c>
      <c r="U362" t="str">
        <f>"3020671012"</f>
        <v>3020671012</v>
      </c>
      <c r="V362" t="str">
        <f>"1510"</f>
        <v>1510</v>
      </c>
      <c r="W362" t="str">
        <f t="shared" si="97"/>
        <v>11</v>
      </c>
      <c r="X362" t="s">
        <v>75</v>
      </c>
      <c r="Y362" t="s">
        <v>76</v>
      </c>
      <c r="Z362" t="s">
        <v>180</v>
      </c>
      <c r="AA362" t="s">
        <v>181</v>
      </c>
      <c r="AB362" t="s">
        <v>79</v>
      </c>
      <c r="AD362" t="s">
        <v>80</v>
      </c>
      <c r="AE362" t="s">
        <v>81</v>
      </c>
      <c r="AF362" t="s">
        <v>82</v>
      </c>
      <c r="AG362" t="s">
        <v>83</v>
      </c>
      <c r="AH362" t="s">
        <v>84</v>
      </c>
      <c r="AI362" t="str">
        <f>"01"</f>
        <v>01</v>
      </c>
      <c r="AJ362" t="str">
        <f t="shared" si="96"/>
        <v>1</v>
      </c>
      <c r="AK362" t="s">
        <v>93</v>
      </c>
      <c r="AL362" t="s">
        <v>94</v>
      </c>
      <c r="AM362" t="s">
        <v>95</v>
      </c>
      <c r="AN362" t="str">
        <f t="shared" si="93"/>
        <v>.9700</v>
      </c>
      <c r="AO362" t="str">
        <f>"11.41"</f>
        <v>11.41</v>
      </c>
      <c r="AP362" t="s">
        <v>96</v>
      </c>
      <c r="AQ362" t="str">
        <f>"11.41"</f>
        <v>11.41</v>
      </c>
      <c r="AR362">
        <v>15</v>
      </c>
      <c r="AS362">
        <v>-18</v>
      </c>
      <c r="AT362">
        <v>-3</v>
      </c>
      <c r="AU362">
        <v>171.14</v>
      </c>
      <c r="AV362">
        <v>20.54</v>
      </c>
      <c r="AW362">
        <v>150.6</v>
      </c>
      <c r="AX362">
        <v>-178.73</v>
      </c>
      <c r="AY362">
        <v>-28.13</v>
      </c>
      <c r="AZ362">
        <v>0</v>
      </c>
    </row>
    <row r="363" spans="1:52">
      <c r="A363" t="s">
        <v>65</v>
      </c>
      <c r="B363" t="s">
        <v>66</v>
      </c>
      <c r="C363" t="s">
        <v>67</v>
      </c>
      <c r="D363" t="s">
        <v>68</v>
      </c>
      <c r="E363" t="s">
        <v>69</v>
      </c>
      <c r="F363" t="s">
        <v>70</v>
      </c>
      <c r="G363" t="s">
        <v>71</v>
      </c>
      <c r="H363" t="s">
        <v>70</v>
      </c>
      <c r="I363" t="str">
        <f t="shared" si="90"/>
        <v>1010</v>
      </c>
      <c r="J363" t="str">
        <f t="shared" si="91"/>
        <v>05</v>
      </c>
      <c r="K363" t="s">
        <v>68</v>
      </c>
      <c r="L363" t="s">
        <v>72</v>
      </c>
      <c r="M363" t="s">
        <v>68</v>
      </c>
      <c r="N363" t="s">
        <v>181</v>
      </c>
      <c r="O363" t="s">
        <v>641</v>
      </c>
      <c r="P363" t="str">
        <f>"3020664572"</f>
        <v>3020664572</v>
      </c>
      <c r="R363" t="str">
        <f>"00030206645729"</f>
        <v>00030206645729</v>
      </c>
      <c r="S363" s="1">
        <v>37698</v>
      </c>
      <c r="T363" s="1">
        <v>37698</v>
      </c>
      <c r="U363" t="str">
        <f>"3020664572"</f>
        <v>3020664572</v>
      </c>
      <c r="V363" t="str">
        <f>"1510"</f>
        <v>1510</v>
      </c>
      <c r="W363" t="str">
        <f t="shared" si="97"/>
        <v>11</v>
      </c>
      <c r="X363" t="s">
        <v>75</v>
      </c>
      <c r="Y363" t="s">
        <v>76</v>
      </c>
      <c r="Z363" t="s">
        <v>180</v>
      </c>
      <c r="AA363" t="s">
        <v>181</v>
      </c>
      <c r="AB363" t="s">
        <v>79</v>
      </c>
      <c r="AD363" t="s">
        <v>80</v>
      </c>
      <c r="AE363" t="s">
        <v>81</v>
      </c>
      <c r="AF363" t="s">
        <v>82</v>
      </c>
      <c r="AG363" t="s">
        <v>83</v>
      </c>
      <c r="AH363" t="s">
        <v>84</v>
      </c>
      <c r="AI363" t="str">
        <f>"01"</f>
        <v>01</v>
      </c>
      <c r="AJ363" t="str">
        <f t="shared" si="96"/>
        <v>1</v>
      </c>
      <c r="AK363" t="s">
        <v>93</v>
      </c>
      <c r="AL363" t="s">
        <v>94</v>
      </c>
      <c r="AM363" t="s">
        <v>95</v>
      </c>
      <c r="AN363" t="str">
        <f t="shared" si="93"/>
        <v>.9700</v>
      </c>
      <c r="AO363" t="str">
        <f>"11.41"</f>
        <v>11.41</v>
      </c>
      <c r="AP363" t="s">
        <v>96</v>
      </c>
      <c r="AQ363" t="str">
        <f>"11.41"</f>
        <v>11.41</v>
      </c>
      <c r="AR363">
        <v>36</v>
      </c>
      <c r="AS363">
        <v>-1</v>
      </c>
      <c r="AT363">
        <v>35</v>
      </c>
      <c r="AU363">
        <v>410.73</v>
      </c>
      <c r="AV363">
        <v>42.44</v>
      </c>
      <c r="AW363">
        <v>368.29</v>
      </c>
      <c r="AX363">
        <v>-11.07</v>
      </c>
      <c r="AY363">
        <v>357.22</v>
      </c>
      <c r="AZ363">
        <v>0</v>
      </c>
    </row>
    <row r="364" spans="1:52">
      <c r="A364" t="s">
        <v>65</v>
      </c>
      <c r="B364" t="s">
        <v>66</v>
      </c>
      <c r="C364" t="s">
        <v>67</v>
      </c>
      <c r="D364" t="s">
        <v>68</v>
      </c>
      <c r="E364" t="s">
        <v>69</v>
      </c>
      <c r="F364" t="s">
        <v>70</v>
      </c>
      <c r="G364" t="s">
        <v>71</v>
      </c>
      <c r="H364" t="s">
        <v>70</v>
      </c>
      <c r="I364" t="str">
        <f t="shared" si="90"/>
        <v>1010</v>
      </c>
      <c r="J364" t="str">
        <f t="shared" si="91"/>
        <v>05</v>
      </c>
      <c r="K364" t="s">
        <v>68</v>
      </c>
      <c r="L364" t="s">
        <v>72</v>
      </c>
      <c r="M364" t="s">
        <v>68</v>
      </c>
      <c r="N364" t="s">
        <v>181</v>
      </c>
      <c r="O364" t="s">
        <v>642</v>
      </c>
      <c r="P364" t="str">
        <f>"3020672508"</f>
        <v>3020672508</v>
      </c>
      <c r="R364" t="str">
        <f>"00030206725087"</f>
        <v>00030206725087</v>
      </c>
      <c r="S364" s="1">
        <v>41688</v>
      </c>
      <c r="T364" s="1">
        <v>41688</v>
      </c>
      <c r="U364" t="str">
        <f>"3020672508"</f>
        <v>3020672508</v>
      </c>
      <c r="V364" t="str">
        <f>"1010"</f>
        <v>1010</v>
      </c>
      <c r="W364" t="str">
        <f t="shared" si="97"/>
        <v>11</v>
      </c>
      <c r="X364" t="s">
        <v>75</v>
      </c>
      <c r="Y364" t="s">
        <v>139</v>
      </c>
      <c r="Z364" t="s">
        <v>180</v>
      </c>
      <c r="AA364" t="s">
        <v>181</v>
      </c>
      <c r="AB364" t="s">
        <v>79</v>
      </c>
      <c r="AD364" t="s">
        <v>80</v>
      </c>
      <c r="AE364" t="s">
        <v>81</v>
      </c>
      <c r="AF364" t="s">
        <v>82</v>
      </c>
      <c r="AG364" t="s">
        <v>83</v>
      </c>
      <c r="AH364" t="s">
        <v>84</v>
      </c>
      <c r="AJ364" t="str">
        <f t="shared" si="96"/>
        <v>1</v>
      </c>
      <c r="AK364" t="s">
        <v>101</v>
      </c>
      <c r="AL364" t="s">
        <v>143</v>
      </c>
      <c r="AM364" t="s">
        <v>95</v>
      </c>
      <c r="AN364" t="str">
        <f t="shared" si="93"/>
        <v>.9700</v>
      </c>
      <c r="AO364" t="str">
        <f>"9.07"</f>
        <v>9.07</v>
      </c>
      <c r="AP364" t="s">
        <v>102</v>
      </c>
      <c r="AQ364" t="str">
        <f>"9.07"</f>
        <v>9.07</v>
      </c>
      <c r="AR364">
        <v>2</v>
      </c>
      <c r="AS364">
        <v>-44</v>
      </c>
      <c r="AT364">
        <v>-42</v>
      </c>
      <c r="AU364">
        <v>18.14</v>
      </c>
      <c r="AV364">
        <v>0</v>
      </c>
      <c r="AW364">
        <v>18.14</v>
      </c>
      <c r="AX364">
        <v>-343.64</v>
      </c>
      <c r="AY364">
        <v>-325.5</v>
      </c>
      <c r="AZ364">
        <v>0</v>
      </c>
    </row>
    <row r="365" spans="1:52">
      <c r="A365" t="s">
        <v>65</v>
      </c>
      <c r="B365" t="s">
        <v>66</v>
      </c>
      <c r="C365" t="s">
        <v>67</v>
      </c>
      <c r="D365" t="s">
        <v>68</v>
      </c>
      <c r="E365" t="s">
        <v>69</v>
      </c>
      <c r="F365" t="s">
        <v>70</v>
      </c>
      <c r="G365" t="s">
        <v>71</v>
      </c>
      <c r="H365" t="s">
        <v>70</v>
      </c>
      <c r="I365" t="str">
        <f t="shared" si="90"/>
        <v>1010</v>
      </c>
      <c r="J365" t="str">
        <f t="shared" si="91"/>
        <v>05</v>
      </c>
      <c r="K365" t="s">
        <v>68</v>
      </c>
      <c r="L365" t="s">
        <v>72</v>
      </c>
      <c r="M365" t="s">
        <v>68</v>
      </c>
      <c r="N365" t="s">
        <v>181</v>
      </c>
      <c r="O365" t="s">
        <v>643</v>
      </c>
      <c r="P365" t="str">
        <f>"3020671532"</f>
        <v>3020671532</v>
      </c>
      <c r="R365" t="str">
        <f>"00030206715323"</f>
        <v>00030206715323</v>
      </c>
      <c r="S365" s="1">
        <v>41128</v>
      </c>
      <c r="T365" s="1">
        <v>41114</v>
      </c>
      <c r="U365" t="str">
        <f>"3020671532"</f>
        <v>3020671532</v>
      </c>
      <c r="V365" t="str">
        <f>"1510"</f>
        <v>1510</v>
      </c>
      <c r="W365" t="str">
        <f t="shared" si="97"/>
        <v>11</v>
      </c>
      <c r="X365" t="s">
        <v>75</v>
      </c>
      <c r="Y365" t="s">
        <v>173</v>
      </c>
      <c r="Z365" t="s">
        <v>180</v>
      </c>
      <c r="AA365" t="s">
        <v>181</v>
      </c>
      <c r="AB365" t="s">
        <v>79</v>
      </c>
      <c r="AD365" t="s">
        <v>80</v>
      </c>
      <c r="AE365" t="s">
        <v>81</v>
      </c>
      <c r="AF365" t="s">
        <v>82</v>
      </c>
      <c r="AG365" t="s">
        <v>83</v>
      </c>
      <c r="AH365" t="s">
        <v>84</v>
      </c>
      <c r="AI365" t="str">
        <f>"01"</f>
        <v>01</v>
      </c>
      <c r="AJ365" t="str">
        <f t="shared" si="96"/>
        <v>1</v>
      </c>
      <c r="AK365" t="s">
        <v>101</v>
      </c>
      <c r="AL365" t="s">
        <v>94</v>
      </c>
      <c r="AM365" t="s">
        <v>95</v>
      </c>
      <c r="AN365" t="str">
        <f t="shared" si="93"/>
        <v>.9700</v>
      </c>
      <c r="AO365" t="str">
        <f>"9.07"</f>
        <v>9.07</v>
      </c>
      <c r="AP365" t="s">
        <v>102</v>
      </c>
      <c r="AQ365" t="str">
        <f>"9.07"</f>
        <v>9.07</v>
      </c>
      <c r="AR365">
        <v>196</v>
      </c>
      <c r="AS365">
        <v>-1</v>
      </c>
      <c r="AT365">
        <v>195</v>
      </c>
      <c r="AU365">
        <v>1777.72</v>
      </c>
      <c r="AV365">
        <v>0</v>
      </c>
      <c r="AW365">
        <v>1777.72</v>
      </c>
      <c r="AX365">
        <v>-8.19</v>
      </c>
      <c r="AY365">
        <v>1769.53</v>
      </c>
      <c r="AZ365">
        <v>0</v>
      </c>
    </row>
    <row r="366" spans="1:52">
      <c r="A366" t="s">
        <v>65</v>
      </c>
      <c r="B366" t="s">
        <v>66</v>
      </c>
      <c r="C366" t="s">
        <v>67</v>
      </c>
      <c r="D366" t="s">
        <v>68</v>
      </c>
      <c r="E366" t="s">
        <v>69</v>
      </c>
      <c r="F366" t="s">
        <v>70</v>
      </c>
      <c r="G366" t="s">
        <v>71</v>
      </c>
      <c r="H366" t="s">
        <v>70</v>
      </c>
      <c r="I366" t="str">
        <f t="shared" si="90"/>
        <v>1010</v>
      </c>
      <c r="J366" t="str">
        <f t="shared" si="91"/>
        <v>05</v>
      </c>
      <c r="K366" t="s">
        <v>68</v>
      </c>
      <c r="L366" t="s">
        <v>72</v>
      </c>
      <c r="M366" t="s">
        <v>68</v>
      </c>
      <c r="N366" t="s">
        <v>181</v>
      </c>
      <c r="O366" t="s">
        <v>644</v>
      </c>
      <c r="P366" t="str">
        <f>"3020672058"</f>
        <v>3020672058</v>
      </c>
      <c r="R366" t="str">
        <f>"00030206720587"</f>
        <v>00030206720587</v>
      </c>
      <c r="S366" s="1">
        <v>41478</v>
      </c>
      <c r="T366" s="1">
        <v>41450</v>
      </c>
      <c r="U366" t="str">
        <f>"3020672058"</f>
        <v>3020672058</v>
      </c>
      <c r="V366" t="str">
        <f>"1010"</f>
        <v>1010</v>
      </c>
      <c r="W366" t="str">
        <f t="shared" si="97"/>
        <v>11</v>
      </c>
      <c r="X366" t="s">
        <v>75</v>
      </c>
      <c r="Y366" t="s">
        <v>173</v>
      </c>
      <c r="Z366" t="s">
        <v>180</v>
      </c>
      <c r="AA366" t="s">
        <v>181</v>
      </c>
      <c r="AB366" t="s">
        <v>79</v>
      </c>
      <c r="AD366" t="s">
        <v>80</v>
      </c>
      <c r="AE366" t="s">
        <v>81</v>
      </c>
      <c r="AF366" t="s">
        <v>82</v>
      </c>
      <c r="AG366" t="s">
        <v>83</v>
      </c>
      <c r="AH366" t="s">
        <v>84</v>
      </c>
      <c r="AJ366" t="str">
        <f t="shared" si="96"/>
        <v>1</v>
      </c>
      <c r="AK366" t="s">
        <v>93</v>
      </c>
      <c r="AL366" t="s">
        <v>143</v>
      </c>
      <c r="AM366" t="s">
        <v>95</v>
      </c>
      <c r="AN366" t="str">
        <f t="shared" si="93"/>
        <v>.9700</v>
      </c>
      <c r="AO366" t="str">
        <f>"11.41"</f>
        <v>11.41</v>
      </c>
      <c r="AP366" t="s">
        <v>96</v>
      </c>
      <c r="AQ366" t="str">
        <f>"11.41"</f>
        <v>11.41</v>
      </c>
      <c r="AR366">
        <v>0</v>
      </c>
      <c r="AS366">
        <v>-12</v>
      </c>
      <c r="AT366">
        <v>-12</v>
      </c>
      <c r="AU366">
        <v>0</v>
      </c>
      <c r="AV366">
        <v>0</v>
      </c>
      <c r="AW366">
        <v>0</v>
      </c>
      <c r="AX366">
        <v>-119.52</v>
      </c>
      <c r="AY366">
        <v>-119.52</v>
      </c>
      <c r="AZ366">
        <v>0</v>
      </c>
    </row>
    <row r="367" spans="1:52">
      <c r="A367" t="s">
        <v>65</v>
      </c>
      <c r="B367" t="s">
        <v>66</v>
      </c>
      <c r="C367" t="s">
        <v>67</v>
      </c>
      <c r="D367" t="s">
        <v>68</v>
      </c>
      <c r="E367" t="s">
        <v>69</v>
      </c>
      <c r="F367" t="s">
        <v>70</v>
      </c>
      <c r="G367" t="s">
        <v>71</v>
      </c>
      <c r="H367" t="s">
        <v>70</v>
      </c>
      <c r="I367" t="str">
        <f t="shared" si="90"/>
        <v>1010</v>
      </c>
      <c r="J367" t="str">
        <f t="shared" si="91"/>
        <v>05</v>
      </c>
      <c r="K367" t="s">
        <v>68</v>
      </c>
      <c r="L367" t="s">
        <v>72</v>
      </c>
      <c r="M367" t="s">
        <v>68</v>
      </c>
      <c r="N367" t="s">
        <v>181</v>
      </c>
      <c r="O367" t="s">
        <v>645</v>
      </c>
      <c r="P367" t="str">
        <f>"3020671882"</f>
        <v>3020671882</v>
      </c>
      <c r="R367" t="str">
        <f>"00030206718829"</f>
        <v>00030206718829</v>
      </c>
      <c r="S367" s="1">
        <v>41478</v>
      </c>
      <c r="T367" s="1">
        <v>41478</v>
      </c>
      <c r="U367" t="str">
        <f>"3020671882"</f>
        <v>3020671882</v>
      </c>
      <c r="V367" t="str">
        <f>"1010"</f>
        <v>1010</v>
      </c>
      <c r="W367" t="str">
        <f t="shared" si="97"/>
        <v>11</v>
      </c>
      <c r="X367" t="s">
        <v>75</v>
      </c>
      <c r="Y367" t="s">
        <v>173</v>
      </c>
      <c r="Z367" t="s">
        <v>180</v>
      </c>
      <c r="AA367" t="s">
        <v>181</v>
      </c>
      <c r="AB367" t="s">
        <v>79</v>
      </c>
      <c r="AD367" t="s">
        <v>80</v>
      </c>
      <c r="AE367" t="s">
        <v>81</v>
      </c>
      <c r="AF367" t="s">
        <v>82</v>
      </c>
      <c r="AG367" t="s">
        <v>83</v>
      </c>
      <c r="AH367" t="s">
        <v>84</v>
      </c>
      <c r="AJ367" t="str">
        <f t="shared" si="96"/>
        <v>1</v>
      </c>
      <c r="AK367" t="s">
        <v>194</v>
      </c>
      <c r="AL367" t="s">
        <v>143</v>
      </c>
      <c r="AM367" t="s">
        <v>95</v>
      </c>
      <c r="AN367" t="str">
        <f t="shared" si="93"/>
        <v>.9700</v>
      </c>
      <c r="AO367" t="str">
        <f>"9.75"</f>
        <v>9.75</v>
      </c>
      <c r="AP367" t="s">
        <v>195</v>
      </c>
      <c r="AQ367" t="str">
        <f>"9.75"</f>
        <v>9.75</v>
      </c>
      <c r="AR367">
        <v>13</v>
      </c>
      <c r="AS367">
        <v>-3</v>
      </c>
      <c r="AT367">
        <v>10</v>
      </c>
      <c r="AU367">
        <v>126.75</v>
      </c>
      <c r="AV367">
        <v>0</v>
      </c>
      <c r="AW367">
        <v>126.75</v>
      </c>
      <c r="AX367">
        <v>-26.39</v>
      </c>
      <c r="AY367">
        <v>100.36</v>
      </c>
      <c r="AZ367">
        <v>0</v>
      </c>
    </row>
    <row r="368" spans="1:52">
      <c r="A368" t="s">
        <v>65</v>
      </c>
      <c r="B368" t="s">
        <v>66</v>
      </c>
      <c r="C368" t="s">
        <v>67</v>
      </c>
      <c r="D368" t="s">
        <v>68</v>
      </c>
      <c r="E368" t="s">
        <v>69</v>
      </c>
      <c r="F368" t="s">
        <v>70</v>
      </c>
      <c r="G368" t="s">
        <v>71</v>
      </c>
      <c r="H368" t="s">
        <v>70</v>
      </c>
      <c r="I368" t="str">
        <f t="shared" si="90"/>
        <v>1010</v>
      </c>
      <c r="J368" t="str">
        <f t="shared" si="91"/>
        <v>05</v>
      </c>
      <c r="K368" t="s">
        <v>68</v>
      </c>
      <c r="L368" t="s">
        <v>72</v>
      </c>
      <c r="M368" t="s">
        <v>68</v>
      </c>
      <c r="N368" t="s">
        <v>181</v>
      </c>
      <c r="O368" t="s">
        <v>646</v>
      </c>
      <c r="P368" t="str">
        <f>"3020672118"</f>
        <v>3020672118</v>
      </c>
      <c r="R368" t="str">
        <f>"00030206721188"</f>
        <v>00030206721188</v>
      </c>
      <c r="S368" s="1">
        <v>41492</v>
      </c>
      <c r="T368" s="1">
        <v>41478</v>
      </c>
      <c r="U368" t="str">
        <f>"3020672118"</f>
        <v>3020672118</v>
      </c>
      <c r="V368" t="str">
        <f>"1010"</f>
        <v>1010</v>
      </c>
      <c r="W368" t="str">
        <f t="shared" si="97"/>
        <v>11</v>
      </c>
      <c r="X368" t="s">
        <v>75</v>
      </c>
      <c r="Y368" t="s">
        <v>173</v>
      </c>
      <c r="Z368" t="s">
        <v>180</v>
      </c>
      <c r="AA368" t="s">
        <v>181</v>
      </c>
      <c r="AB368" t="s">
        <v>79</v>
      </c>
      <c r="AD368" t="s">
        <v>80</v>
      </c>
      <c r="AE368" t="s">
        <v>81</v>
      </c>
      <c r="AF368" t="s">
        <v>82</v>
      </c>
      <c r="AG368" t="s">
        <v>83</v>
      </c>
      <c r="AH368" t="s">
        <v>84</v>
      </c>
      <c r="AJ368" t="str">
        <f t="shared" si="96"/>
        <v>1</v>
      </c>
      <c r="AK368" t="s">
        <v>93</v>
      </c>
      <c r="AL368" t="s">
        <v>143</v>
      </c>
      <c r="AM368" t="s">
        <v>95</v>
      </c>
      <c r="AN368" t="str">
        <f t="shared" si="93"/>
        <v>.9700</v>
      </c>
      <c r="AO368" t="str">
        <f>"11.41"</f>
        <v>11.41</v>
      </c>
      <c r="AP368" t="s">
        <v>96</v>
      </c>
      <c r="AQ368" t="str">
        <f>"11.41"</f>
        <v>11.41</v>
      </c>
      <c r="AR368">
        <v>0</v>
      </c>
      <c r="AS368">
        <v>-7</v>
      </c>
      <c r="AT368">
        <v>-7</v>
      </c>
      <c r="AU368">
        <v>0</v>
      </c>
      <c r="AV368">
        <v>0</v>
      </c>
      <c r="AW368">
        <v>0</v>
      </c>
      <c r="AX368">
        <v>-69.650000000000006</v>
      </c>
      <c r="AY368">
        <v>-69.650000000000006</v>
      </c>
      <c r="AZ368">
        <v>0</v>
      </c>
    </row>
    <row r="369" spans="1:52">
      <c r="A369" t="s">
        <v>65</v>
      </c>
      <c r="B369" t="s">
        <v>66</v>
      </c>
      <c r="C369" t="s">
        <v>67</v>
      </c>
      <c r="D369" t="s">
        <v>68</v>
      </c>
      <c r="E369" t="s">
        <v>69</v>
      </c>
      <c r="F369" t="s">
        <v>70</v>
      </c>
      <c r="G369" t="s">
        <v>71</v>
      </c>
      <c r="H369" t="s">
        <v>70</v>
      </c>
      <c r="I369" t="str">
        <f t="shared" si="90"/>
        <v>1010</v>
      </c>
      <c r="J369" t="str">
        <f t="shared" si="91"/>
        <v>05</v>
      </c>
      <c r="K369" t="s">
        <v>68</v>
      </c>
      <c r="L369" t="s">
        <v>72</v>
      </c>
      <c r="M369" t="s">
        <v>68</v>
      </c>
      <c r="N369" t="s">
        <v>181</v>
      </c>
      <c r="O369" t="s">
        <v>647</v>
      </c>
      <c r="P369" t="str">
        <f>"3020670492"</f>
        <v>3020670492</v>
      </c>
      <c r="R369" t="str">
        <f>"00030206704921"</f>
        <v>00030206704921</v>
      </c>
      <c r="S369" s="1">
        <v>40463</v>
      </c>
      <c r="T369" s="1">
        <v>40463</v>
      </c>
      <c r="U369" t="str">
        <f>"3020670492"</f>
        <v>3020670492</v>
      </c>
      <c r="V369" t="str">
        <f t="shared" ref="V369:V376" si="98">"1510"</f>
        <v>1510</v>
      </c>
      <c r="W369" t="str">
        <f t="shared" si="97"/>
        <v>11</v>
      </c>
      <c r="X369" t="s">
        <v>75</v>
      </c>
      <c r="Y369" t="s">
        <v>76</v>
      </c>
      <c r="Z369" t="s">
        <v>180</v>
      </c>
      <c r="AA369" t="s">
        <v>181</v>
      </c>
      <c r="AB369" t="s">
        <v>79</v>
      </c>
      <c r="AD369" t="s">
        <v>80</v>
      </c>
      <c r="AE369" t="s">
        <v>81</v>
      </c>
      <c r="AF369" t="s">
        <v>82</v>
      </c>
      <c r="AG369" t="s">
        <v>83</v>
      </c>
      <c r="AH369" t="s">
        <v>84</v>
      </c>
      <c r="AI369" t="str">
        <f>"01"</f>
        <v>01</v>
      </c>
      <c r="AJ369" t="str">
        <f t="shared" si="96"/>
        <v>1</v>
      </c>
      <c r="AK369" t="s">
        <v>93</v>
      </c>
      <c r="AL369" t="s">
        <v>94</v>
      </c>
      <c r="AM369" t="s">
        <v>95</v>
      </c>
      <c r="AN369" t="str">
        <f t="shared" si="93"/>
        <v>.9700</v>
      </c>
      <c r="AO369" t="str">
        <f>"11.41"</f>
        <v>11.41</v>
      </c>
      <c r="AP369" t="s">
        <v>96</v>
      </c>
      <c r="AQ369" t="str">
        <f>"11.41"</f>
        <v>11.41</v>
      </c>
      <c r="AR369">
        <v>21</v>
      </c>
      <c r="AS369">
        <v>-1</v>
      </c>
      <c r="AT369">
        <v>20</v>
      </c>
      <c r="AU369">
        <v>239.59</v>
      </c>
      <c r="AV369">
        <v>28.75</v>
      </c>
      <c r="AW369">
        <v>210.84</v>
      </c>
      <c r="AX369">
        <v>-10.36</v>
      </c>
      <c r="AY369">
        <v>200.48</v>
      </c>
      <c r="AZ369">
        <v>0</v>
      </c>
    </row>
    <row r="370" spans="1:52">
      <c r="A370" t="s">
        <v>65</v>
      </c>
      <c r="B370" t="s">
        <v>66</v>
      </c>
      <c r="C370" t="s">
        <v>67</v>
      </c>
      <c r="D370" t="s">
        <v>68</v>
      </c>
      <c r="E370" t="s">
        <v>69</v>
      </c>
      <c r="F370" t="s">
        <v>70</v>
      </c>
      <c r="G370" t="s">
        <v>71</v>
      </c>
      <c r="H370" t="s">
        <v>70</v>
      </c>
      <c r="I370" t="str">
        <f t="shared" si="90"/>
        <v>1010</v>
      </c>
      <c r="J370" t="str">
        <f t="shared" si="91"/>
        <v>05</v>
      </c>
      <c r="K370" t="s">
        <v>68</v>
      </c>
      <c r="L370" t="s">
        <v>72</v>
      </c>
      <c r="M370" t="s">
        <v>68</v>
      </c>
      <c r="N370" t="s">
        <v>181</v>
      </c>
      <c r="O370" t="s">
        <v>648</v>
      </c>
      <c r="P370" t="str">
        <f>"3020671162"</f>
        <v>3020671162</v>
      </c>
      <c r="R370" t="str">
        <f>"00030206711622"</f>
        <v>00030206711622</v>
      </c>
      <c r="S370" s="1">
        <v>40827</v>
      </c>
      <c r="T370" s="1">
        <v>40827</v>
      </c>
      <c r="U370" t="str">
        <f>"3020671162"</f>
        <v>3020671162</v>
      </c>
      <c r="V370" t="str">
        <f t="shared" si="98"/>
        <v>1510</v>
      </c>
      <c r="W370" t="str">
        <f t="shared" si="97"/>
        <v>11</v>
      </c>
      <c r="X370" t="s">
        <v>75</v>
      </c>
      <c r="Y370" t="s">
        <v>76</v>
      </c>
      <c r="Z370" t="s">
        <v>180</v>
      </c>
      <c r="AA370" t="s">
        <v>181</v>
      </c>
      <c r="AB370" t="s">
        <v>79</v>
      </c>
      <c r="AD370" t="s">
        <v>80</v>
      </c>
      <c r="AE370" t="s">
        <v>81</v>
      </c>
      <c r="AF370" t="s">
        <v>82</v>
      </c>
      <c r="AG370" t="s">
        <v>83</v>
      </c>
      <c r="AH370" t="s">
        <v>84</v>
      </c>
      <c r="AI370" t="str">
        <f>"01"</f>
        <v>01</v>
      </c>
      <c r="AJ370" t="str">
        <f t="shared" si="96"/>
        <v>1</v>
      </c>
      <c r="AK370" t="s">
        <v>93</v>
      </c>
      <c r="AL370" t="s">
        <v>94</v>
      </c>
      <c r="AM370" t="s">
        <v>95</v>
      </c>
      <c r="AN370" t="str">
        <f t="shared" si="93"/>
        <v>.9700</v>
      </c>
      <c r="AO370" t="str">
        <f>"11.41"</f>
        <v>11.41</v>
      </c>
      <c r="AP370" t="s">
        <v>96</v>
      </c>
      <c r="AQ370" t="str">
        <f>"11.41"</f>
        <v>11.41</v>
      </c>
      <c r="AR370">
        <v>15</v>
      </c>
      <c r="AS370">
        <v>-7</v>
      </c>
      <c r="AT370">
        <v>8</v>
      </c>
      <c r="AU370">
        <v>171.14</v>
      </c>
      <c r="AV370">
        <v>20.54</v>
      </c>
      <c r="AW370">
        <v>150.6</v>
      </c>
      <c r="AX370">
        <v>-70.36</v>
      </c>
      <c r="AY370">
        <v>80.239999999999995</v>
      </c>
      <c r="AZ370">
        <v>0</v>
      </c>
    </row>
    <row r="371" spans="1:52">
      <c r="A371" t="s">
        <v>65</v>
      </c>
      <c r="B371" t="s">
        <v>66</v>
      </c>
      <c r="C371" t="s">
        <v>67</v>
      </c>
      <c r="D371" t="s">
        <v>68</v>
      </c>
      <c r="E371" t="s">
        <v>69</v>
      </c>
      <c r="F371" t="s">
        <v>70</v>
      </c>
      <c r="G371" t="s">
        <v>71</v>
      </c>
      <c r="H371" t="s">
        <v>70</v>
      </c>
      <c r="I371" t="str">
        <f t="shared" si="90"/>
        <v>1010</v>
      </c>
      <c r="J371" t="str">
        <f t="shared" si="91"/>
        <v>05</v>
      </c>
      <c r="K371" t="s">
        <v>68</v>
      </c>
      <c r="L371" t="s">
        <v>72</v>
      </c>
      <c r="M371" t="s">
        <v>68</v>
      </c>
      <c r="N371" t="s">
        <v>181</v>
      </c>
      <c r="O371" t="s">
        <v>649</v>
      </c>
      <c r="P371" t="str">
        <f>"3020665642"</f>
        <v>3020665642</v>
      </c>
      <c r="R371" t="str">
        <f>"00030206656428"</f>
        <v>00030206656428</v>
      </c>
      <c r="S371" s="1">
        <v>38111</v>
      </c>
      <c r="T371" s="1">
        <v>38104</v>
      </c>
      <c r="U371" t="str">
        <f>"3020665642"</f>
        <v>3020665642</v>
      </c>
      <c r="V371" t="str">
        <f t="shared" si="98"/>
        <v>1510</v>
      </c>
      <c r="W371" t="str">
        <f t="shared" si="97"/>
        <v>11</v>
      </c>
      <c r="X371" t="s">
        <v>75</v>
      </c>
      <c r="Y371" t="s">
        <v>76</v>
      </c>
      <c r="Z371" t="s">
        <v>180</v>
      </c>
      <c r="AA371" t="s">
        <v>181</v>
      </c>
      <c r="AB371" t="s">
        <v>79</v>
      </c>
      <c r="AD371" t="s">
        <v>80</v>
      </c>
      <c r="AE371" t="s">
        <v>81</v>
      </c>
      <c r="AF371" t="s">
        <v>82</v>
      </c>
      <c r="AG371" t="s">
        <v>83</v>
      </c>
      <c r="AH371" t="s">
        <v>84</v>
      </c>
      <c r="AI371" t="str">
        <f>"02"</f>
        <v>02</v>
      </c>
      <c r="AJ371" t="str">
        <f>"2"</f>
        <v>2</v>
      </c>
      <c r="AK371" t="s">
        <v>415</v>
      </c>
      <c r="AL371" t="s">
        <v>94</v>
      </c>
      <c r="AM371" t="s">
        <v>95</v>
      </c>
      <c r="AN371" t="str">
        <f t="shared" si="93"/>
        <v>.9700</v>
      </c>
      <c r="AO371" t="str">
        <f>"16.09"</f>
        <v>16.09</v>
      </c>
      <c r="AP371" t="s">
        <v>416</v>
      </c>
      <c r="AQ371" t="str">
        <f>"16.09"</f>
        <v>16.09</v>
      </c>
      <c r="AR371">
        <v>37</v>
      </c>
      <c r="AS371">
        <v>0</v>
      </c>
      <c r="AT371">
        <v>37</v>
      </c>
      <c r="AU371">
        <v>595.36</v>
      </c>
      <c r="AV371">
        <v>57.93</v>
      </c>
      <c r="AW371">
        <v>537.42999999999995</v>
      </c>
      <c r="AX371">
        <v>0</v>
      </c>
      <c r="AY371">
        <v>537.42999999999995</v>
      </c>
      <c r="AZ371">
        <v>0</v>
      </c>
    </row>
    <row r="372" spans="1:52">
      <c r="A372" t="s">
        <v>65</v>
      </c>
      <c r="B372" t="s">
        <v>66</v>
      </c>
      <c r="C372" t="s">
        <v>67</v>
      </c>
      <c r="D372" t="s">
        <v>68</v>
      </c>
      <c r="E372" t="s">
        <v>69</v>
      </c>
      <c r="F372" t="s">
        <v>70</v>
      </c>
      <c r="G372" t="s">
        <v>71</v>
      </c>
      <c r="H372" t="s">
        <v>70</v>
      </c>
      <c r="I372" t="str">
        <f t="shared" si="90"/>
        <v>1010</v>
      </c>
      <c r="J372" t="str">
        <f t="shared" si="91"/>
        <v>05</v>
      </c>
      <c r="K372" t="s">
        <v>68</v>
      </c>
      <c r="L372" t="s">
        <v>72</v>
      </c>
      <c r="M372" t="s">
        <v>68</v>
      </c>
      <c r="N372" t="s">
        <v>181</v>
      </c>
      <c r="O372" t="s">
        <v>650</v>
      </c>
      <c r="P372" t="str">
        <f>"3020663372"</f>
        <v>3020663372</v>
      </c>
      <c r="R372" t="str">
        <f>"00030206633726"</f>
        <v>00030206633726</v>
      </c>
      <c r="S372" s="1">
        <v>37341</v>
      </c>
      <c r="T372" s="1">
        <v>37334</v>
      </c>
      <c r="U372" t="str">
        <f>"3020663372"</f>
        <v>3020663372</v>
      </c>
      <c r="V372" t="str">
        <f t="shared" si="98"/>
        <v>1510</v>
      </c>
      <c r="W372" t="str">
        <f t="shared" si="97"/>
        <v>11</v>
      </c>
      <c r="X372" t="s">
        <v>75</v>
      </c>
      <c r="Y372" t="s">
        <v>76</v>
      </c>
      <c r="Z372" t="s">
        <v>180</v>
      </c>
      <c r="AA372" t="s">
        <v>181</v>
      </c>
      <c r="AB372" t="s">
        <v>79</v>
      </c>
      <c r="AD372" t="s">
        <v>80</v>
      </c>
      <c r="AE372" t="s">
        <v>81</v>
      </c>
      <c r="AF372" t="s">
        <v>82</v>
      </c>
      <c r="AG372" t="s">
        <v>83</v>
      </c>
      <c r="AH372" t="s">
        <v>84</v>
      </c>
      <c r="AI372" t="str">
        <f t="shared" ref="AI372:AI389" si="99">"01"</f>
        <v>01</v>
      </c>
      <c r="AJ372" t="str">
        <f t="shared" ref="AJ372:AJ413" si="100">"1"</f>
        <v>1</v>
      </c>
      <c r="AK372" t="s">
        <v>93</v>
      </c>
      <c r="AL372" t="s">
        <v>94</v>
      </c>
      <c r="AM372" t="s">
        <v>95</v>
      </c>
      <c r="AN372" t="str">
        <f t="shared" si="93"/>
        <v>.9700</v>
      </c>
      <c r="AO372" t="str">
        <f t="shared" ref="AO372:AO384" si="101">"11.41"</f>
        <v>11.41</v>
      </c>
      <c r="AP372" t="s">
        <v>96</v>
      </c>
      <c r="AQ372" t="str">
        <f t="shared" ref="AQ372:AQ384" si="102">"11.41"</f>
        <v>11.41</v>
      </c>
      <c r="AR372">
        <v>12</v>
      </c>
      <c r="AS372">
        <v>0</v>
      </c>
      <c r="AT372">
        <v>12</v>
      </c>
      <c r="AU372">
        <v>136.91</v>
      </c>
      <c r="AV372">
        <v>16.43</v>
      </c>
      <c r="AW372">
        <v>120.48</v>
      </c>
      <c r="AX372">
        <v>0</v>
      </c>
      <c r="AY372">
        <v>120.48</v>
      </c>
      <c r="AZ372">
        <v>0</v>
      </c>
    </row>
    <row r="373" spans="1:52">
      <c r="A373" t="s">
        <v>65</v>
      </c>
      <c r="B373" t="s">
        <v>66</v>
      </c>
      <c r="C373" t="s">
        <v>67</v>
      </c>
      <c r="D373" t="s">
        <v>68</v>
      </c>
      <c r="E373" t="s">
        <v>69</v>
      </c>
      <c r="F373" t="s">
        <v>70</v>
      </c>
      <c r="G373" t="s">
        <v>71</v>
      </c>
      <c r="H373" t="s">
        <v>70</v>
      </c>
      <c r="I373" t="str">
        <f t="shared" si="90"/>
        <v>1010</v>
      </c>
      <c r="J373" t="str">
        <f t="shared" si="91"/>
        <v>05</v>
      </c>
      <c r="K373" t="s">
        <v>68</v>
      </c>
      <c r="L373" t="s">
        <v>72</v>
      </c>
      <c r="M373" t="s">
        <v>68</v>
      </c>
      <c r="N373" t="s">
        <v>181</v>
      </c>
      <c r="O373" t="s">
        <v>651</v>
      </c>
      <c r="P373" t="str">
        <f>"3020661972"</f>
        <v>3020661972</v>
      </c>
      <c r="R373" t="str">
        <f>"00030206619720"</f>
        <v>00030206619720</v>
      </c>
      <c r="S373" s="1">
        <v>36865</v>
      </c>
      <c r="T373" s="1">
        <v>36844</v>
      </c>
      <c r="U373" t="str">
        <f>"3020661972"</f>
        <v>3020661972</v>
      </c>
      <c r="V373" t="str">
        <f t="shared" si="98"/>
        <v>1510</v>
      </c>
      <c r="W373" t="str">
        <f t="shared" si="97"/>
        <v>11</v>
      </c>
      <c r="X373" t="s">
        <v>75</v>
      </c>
      <c r="Y373" t="s">
        <v>76</v>
      </c>
      <c r="Z373" t="s">
        <v>180</v>
      </c>
      <c r="AA373" t="s">
        <v>181</v>
      </c>
      <c r="AB373" t="s">
        <v>79</v>
      </c>
      <c r="AD373" t="s">
        <v>80</v>
      </c>
      <c r="AE373" t="s">
        <v>81</v>
      </c>
      <c r="AF373" t="s">
        <v>82</v>
      </c>
      <c r="AG373" t="s">
        <v>83</v>
      </c>
      <c r="AH373" t="s">
        <v>84</v>
      </c>
      <c r="AI373" t="str">
        <f t="shared" si="99"/>
        <v>01</v>
      </c>
      <c r="AJ373" t="str">
        <f t="shared" si="100"/>
        <v>1</v>
      </c>
      <c r="AK373" t="s">
        <v>93</v>
      </c>
      <c r="AL373" t="s">
        <v>94</v>
      </c>
      <c r="AM373" t="s">
        <v>95</v>
      </c>
      <c r="AN373" t="str">
        <f t="shared" si="93"/>
        <v>.9700</v>
      </c>
      <c r="AO373" t="str">
        <f t="shared" si="101"/>
        <v>11.41</v>
      </c>
      <c r="AP373" t="s">
        <v>96</v>
      </c>
      <c r="AQ373" t="str">
        <f t="shared" si="102"/>
        <v>11.41</v>
      </c>
      <c r="AR373">
        <v>43</v>
      </c>
      <c r="AS373">
        <v>-1</v>
      </c>
      <c r="AT373">
        <v>42</v>
      </c>
      <c r="AU373">
        <v>490.6</v>
      </c>
      <c r="AV373">
        <v>41.07</v>
      </c>
      <c r="AW373">
        <v>449.53</v>
      </c>
      <c r="AX373">
        <v>-10.29</v>
      </c>
      <c r="AY373">
        <v>439.24</v>
      </c>
      <c r="AZ373">
        <v>0</v>
      </c>
    </row>
    <row r="374" spans="1:52">
      <c r="A374" t="s">
        <v>65</v>
      </c>
      <c r="B374" t="s">
        <v>66</v>
      </c>
      <c r="C374" t="s">
        <v>67</v>
      </c>
      <c r="D374" t="s">
        <v>68</v>
      </c>
      <c r="E374" t="s">
        <v>69</v>
      </c>
      <c r="F374" t="s">
        <v>70</v>
      </c>
      <c r="G374" t="s">
        <v>71</v>
      </c>
      <c r="H374" t="s">
        <v>70</v>
      </c>
      <c r="I374" t="str">
        <f t="shared" si="90"/>
        <v>1010</v>
      </c>
      <c r="J374" t="str">
        <f t="shared" si="91"/>
        <v>05</v>
      </c>
      <c r="K374" t="s">
        <v>68</v>
      </c>
      <c r="L374" t="s">
        <v>72</v>
      </c>
      <c r="M374" t="s">
        <v>68</v>
      </c>
      <c r="N374" t="s">
        <v>181</v>
      </c>
      <c r="O374" t="s">
        <v>652</v>
      </c>
      <c r="P374" t="str">
        <f>"3020670752"</f>
        <v>3020670752</v>
      </c>
      <c r="R374" t="str">
        <f>"00030206707526"</f>
        <v>00030206707526</v>
      </c>
      <c r="S374" s="1">
        <v>40533</v>
      </c>
      <c r="T374" s="1">
        <v>40533</v>
      </c>
      <c r="U374" t="str">
        <f>"3020670752"</f>
        <v>3020670752</v>
      </c>
      <c r="V374" t="str">
        <f t="shared" si="98"/>
        <v>1510</v>
      </c>
      <c r="W374" t="str">
        <f t="shared" si="97"/>
        <v>11</v>
      </c>
      <c r="X374" t="s">
        <v>75</v>
      </c>
      <c r="Y374" t="s">
        <v>76</v>
      </c>
      <c r="Z374" t="s">
        <v>180</v>
      </c>
      <c r="AA374" t="s">
        <v>181</v>
      </c>
      <c r="AB374" t="s">
        <v>79</v>
      </c>
      <c r="AD374" t="s">
        <v>80</v>
      </c>
      <c r="AE374" t="s">
        <v>81</v>
      </c>
      <c r="AF374" t="s">
        <v>82</v>
      </c>
      <c r="AG374" t="s">
        <v>83</v>
      </c>
      <c r="AH374" t="s">
        <v>84</v>
      </c>
      <c r="AI374" t="str">
        <f t="shared" si="99"/>
        <v>01</v>
      </c>
      <c r="AJ374" t="str">
        <f t="shared" si="100"/>
        <v>1</v>
      </c>
      <c r="AK374" t="s">
        <v>93</v>
      </c>
      <c r="AL374" t="s">
        <v>94</v>
      </c>
      <c r="AM374" t="s">
        <v>95</v>
      </c>
      <c r="AN374" t="str">
        <f t="shared" si="93"/>
        <v>.9700</v>
      </c>
      <c r="AO374" t="str">
        <f t="shared" si="101"/>
        <v>11.41</v>
      </c>
      <c r="AP374" t="s">
        <v>96</v>
      </c>
      <c r="AQ374" t="str">
        <f t="shared" si="102"/>
        <v>11.41</v>
      </c>
      <c r="AR374">
        <v>17</v>
      </c>
      <c r="AS374">
        <v>0</v>
      </c>
      <c r="AT374">
        <v>17</v>
      </c>
      <c r="AU374">
        <v>193.96</v>
      </c>
      <c r="AV374">
        <v>16.43</v>
      </c>
      <c r="AW374">
        <v>177.53</v>
      </c>
      <c r="AX374">
        <v>0</v>
      </c>
      <c r="AY374">
        <v>177.53</v>
      </c>
      <c r="AZ374">
        <v>0</v>
      </c>
    </row>
    <row r="375" spans="1:52">
      <c r="A375" t="s">
        <v>65</v>
      </c>
      <c r="B375" t="s">
        <v>66</v>
      </c>
      <c r="C375" t="s">
        <v>67</v>
      </c>
      <c r="D375" t="s">
        <v>68</v>
      </c>
      <c r="E375" t="s">
        <v>69</v>
      </c>
      <c r="F375" t="s">
        <v>70</v>
      </c>
      <c r="G375" t="s">
        <v>71</v>
      </c>
      <c r="H375" t="s">
        <v>70</v>
      </c>
      <c r="I375" t="str">
        <f t="shared" si="90"/>
        <v>1010</v>
      </c>
      <c r="J375" t="str">
        <f t="shared" si="91"/>
        <v>05</v>
      </c>
      <c r="K375" t="s">
        <v>68</v>
      </c>
      <c r="L375" t="s">
        <v>72</v>
      </c>
      <c r="M375" t="s">
        <v>68</v>
      </c>
      <c r="N375" t="s">
        <v>181</v>
      </c>
      <c r="O375" t="s">
        <v>653</v>
      </c>
      <c r="P375" t="str">
        <f>"3020671212"</f>
        <v>3020671212</v>
      </c>
      <c r="R375" t="str">
        <f>"00030206712124"</f>
        <v>00030206712124</v>
      </c>
      <c r="S375" s="1">
        <v>40848</v>
      </c>
      <c r="T375" s="1">
        <v>40848</v>
      </c>
      <c r="U375" t="str">
        <f>"3020671212"</f>
        <v>3020671212</v>
      </c>
      <c r="V375" t="str">
        <f t="shared" si="98"/>
        <v>1510</v>
      </c>
      <c r="W375" t="str">
        <f t="shared" si="97"/>
        <v>11</v>
      </c>
      <c r="X375" t="s">
        <v>75</v>
      </c>
      <c r="Y375" t="s">
        <v>76</v>
      </c>
      <c r="Z375" t="s">
        <v>180</v>
      </c>
      <c r="AA375" t="s">
        <v>181</v>
      </c>
      <c r="AB375" t="s">
        <v>79</v>
      </c>
      <c r="AD375" t="s">
        <v>80</v>
      </c>
      <c r="AE375" t="s">
        <v>81</v>
      </c>
      <c r="AF375" t="s">
        <v>82</v>
      </c>
      <c r="AG375" t="s">
        <v>83</v>
      </c>
      <c r="AH375" t="s">
        <v>84</v>
      </c>
      <c r="AI375" t="str">
        <f t="shared" si="99"/>
        <v>01</v>
      </c>
      <c r="AJ375" t="str">
        <f t="shared" si="100"/>
        <v>1</v>
      </c>
      <c r="AK375" t="s">
        <v>93</v>
      </c>
      <c r="AL375" t="s">
        <v>94</v>
      </c>
      <c r="AM375" t="s">
        <v>95</v>
      </c>
      <c r="AN375" t="str">
        <f t="shared" si="93"/>
        <v>.9700</v>
      </c>
      <c r="AO375" t="str">
        <f t="shared" si="101"/>
        <v>11.41</v>
      </c>
      <c r="AP375" t="s">
        <v>96</v>
      </c>
      <c r="AQ375" t="str">
        <f t="shared" si="102"/>
        <v>11.41</v>
      </c>
      <c r="AR375">
        <v>5</v>
      </c>
      <c r="AS375">
        <v>0</v>
      </c>
      <c r="AT375">
        <v>5</v>
      </c>
      <c r="AU375">
        <v>57.05</v>
      </c>
      <c r="AV375">
        <v>4.1100000000000003</v>
      </c>
      <c r="AW375">
        <v>52.94</v>
      </c>
      <c r="AX375">
        <v>0</v>
      </c>
      <c r="AY375">
        <v>52.94</v>
      </c>
      <c r="AZ375">
        <v>0</v>
      </c>
    </row>
    <row r="376" spans="1:52">
      <c r="A376" t="s">
        <v>65</v>
      </c>
      <c r="B376" t="s">
        <v>66</v>
      </c>
      <c r="C376" t="s">
        <v>67</v>
      </c>
      <c r="D376" t="s">
        <v>68</v>
      </c>
      <c r="E376" t="s">
        <v>69</v>
      </c>
      <c r="F376" t="s">
        <v>70</v>
      </c>
      <c r="G376" t="s">
        <v>71</v>
      </c>
      <c r="H376" t="s">
        <v>70</v>
      </c>
      <c r="I376" t="str">
        <f t="shared" si="90"/>
        <v>1010</v>
      </c>
      <c r="J376" t="str">
        <f t="shared" si="91"/>
        <v>05</v>
      </c>
      <c r="K376" t="s">
        <v>68</v>
      </c>
      <c r="L376" t="s">
        <v>72</v>
      </c>
      <c r="M376" t="s">
        <v>68</v>
      </c>
      <c r="N376" t="s">
        <v>181</v>
      </c>
      <c r="O376" t="s">
        <v>654</v>
      </c>
      <c r="P376" t="str">
        <f>"3020667132"</f>
        <v>3020667132</v>
      </c>
      <c r="R376" t="str">
        <f>"00030206671322"</f>
        <v>00030206671322</v>
      </c>
      <c r="S376" s="1">
        <v>38748</v>
      </c>
      <c r="T376" s="1">
        <v>38748</v>
      </c>
      <c r="U376" t="str">
        <f>"3020667132"</f>
        <v>3020667132</v>
      </c>
      <c r="V376" t="str">
        <f t="shared" si="98"/>
        <v>1510</v>
      </c>
      <c r="W376" t="str">
        <f t="shared" si="97"/>
        <v>11</v>
      </c>
      <c r="X376" t="s">
        <v>75</v>
      </c>
      <c r="Y376" t="s">
        <v>76</v>
      </c>
      <c r="Z376" t="s">
        <v>180</v>
      </c>
      <c r="AA376" t="s">
        <v>181</v>
      </c>
      <c r="AB376" t="s">
        <v>79</v>
      </c>
      <c r="AD376" t="s">
        <v>80</v>
      </c>
      <c r="AE376" t="s">
        <v>81</v>
      </c>
      <c r="AF376" t="s">
        <v>82</v>
      </c>
      <c r="AG376" t="s">
        <v>83</v>
      </c>
      <c r="AH376" t="s">
        <v>84</v>
      </c>
      <c r="AI376" t="str">
        <f t="shared" si="99"/>
        <v>01</v>
      </c>
      <c r="AJ376" t="str">
        <f t="shared" si="100"/>
        <v>1</v>
      </c>
      <c r="AK376" t="s">
        <v>93</v>
      </c>
      <c r="AL376" t="s">
        <v>94</v>
      </c>
      <c r="AM376" t="s">
        <v>95</v>
      </c>
      <c r="AN376" t="str">
        <f t="shared" si="93"/>
        <v>.9700</v>
      </c>
      <c r="AO376" t="str">
        <f t="shared" si="101"/>
        <v>11.41</v>
      </c>
      <c r="AP376" t="s">
        <v>96</v>
      </c>
      <c r="AQ376" t="str">
        <f t="shared" si="102"/>
        <v>11.41</v>
      </c>
      <c r="AR376">
        <v>18</v>
      </c>
      <c r="AS376">
        <v>0</v>
      </c>
      <c r="AT376">
        <v>18</v>
      </c>
      <c r="AU376">
        <v>205.37</v>
      </c>
      <c r="AV376">
        <v>15.06</v>
      </c>
      <c r="AW376">
        <v>190.31</v>
      </c>
      <c r="AX376">
        <v>0</v>
      </c>
      <c r="AY376">
        <v>190.31</v>
      </c>
      <c r="AZ376">
        <v>0</v>
      </c>
    </row>
    <row r="377" spans="1:52">
      <c r="A377" t="s">
        <v>65</v>
      </c>
      <c r="B377" t="s">
        <v>66</v>
      </c>
      <c r="C377" t="s">
        <v>67</v>
      </c>
      <c r="D377" t="s">
        <v>68</v>
      </c>
      <c r="E377" t="s">
        <v>69</v>
      </c>
      <c r="F377" t="s">
        <v>70</v>
      </c>
      <c r="G377" t="s">
        <v>71</v>
      </c>
      <c r="H377" t="s">
        <v>70</v>
      </c>
      <c r="I377" t="str">
        <f t="shared" si="90"/>
        <v>1010</v>
      </c>
      <c r="J377" t="str">
        <f t="shared" si="91"/>
        <v>05</v>
      </c>
      <c r="K377" t="s">
        <v>68</v>
      </c>
      <c r="L377" t="s">
        <v>72</v>
      </c>
      <c r="M377" t="s">
        <v>68</v>
      </c>
      <c r="N377" t="s">
        <v>181</v>
      </c>
      <c r="O377" t="s">
        <v>655</v>
      </c>
      <c r="P377" t="str">
        <f>"3020671692"</f>
        <v>3020671692</v>
      </c>
      <c r="R377" t="str">
        <f>"00030206716924"</f>
        <v>00030206716924</v>
      </c>
      <c r="S377" s="1">
        <v>41198</v>
      </c>
      <c r="T377" s="1">
        <v>41184</v>
      </c>
      <c r="U377" t="str">
        <f>"3020671692"</f>
        <v>3020671692</v>
      </c>
      <c r="V377" t="str">
        <f>"1010"</f>
        <v>1010</v>
      </c>
      <c r="W377" t="str">
        <f t="shared" si="97"/>
        <v>11</v>
      </c>
      <c r="X377" t="s">
        <v>75</v>
      </c>
      <c r="Y377" t="s">
        <v>173</v>
      </c>
      <c r="Z377" t="s">
        <v>180</v>
      </c>
      <c r="AA377" t="s">
        <v>181</v>
      </c>
      <c r="AB377" t="s">
        <v>79</v>
      </c>
      <c r="AD377" t="s">
        <v>80</v>
      </c>
      <c r="AE377" t="s">
        <v>81</v>
      </c>
      <c r="AF377" t="s">
        <v>82</v>
      </c>
      <c r="AG377" t="s">
        <v>83</v>
      </c>
      <c r="AH377" t="s">
        <v>84</v>
      </c>
      <c r="AI377" t="str">
        <f t="shared" si="99"/>
        <v>01</v>
      </c>
      <c r="AJ377" t="str">
        <f t="shared" si="100"/>
        <v>1</v>
      </c>
      <c r="AK377" t="s">
        <v>93</v>
      </c>
      <c r="AL377" t="s">
        <v>94</v>
      </c>
      <c r="AM377" t="s">
        <v>95</v>
      </c>
      <c r="AN377" t="str">
        <f t="shared" si="93"/>
        <v>.9700</v>
      </c>
      <c r="AO377" t="str">
        <f t="shared" si="101"/>
        <v>11.41</v>
      </c>
      <c r="AP377" t="s">
        <v>96</v>
      </c>
      <c r="AQ377" t="str">
        <f t="shared" si="102"/>
        <v>11.41</v>
      </c>
      <c r="AR377">
        <v>0</v>
      </c>
      <c r="AS377">
        <v>-4</v>
      </c>
      <c r="AT377">
        <v>-4</v>
      </c>
      <c r="AU377">
        <v>0</v>
      </c>
      <c r="AV377">
        <v>0</v>
      </c>
      <c r="AW377">
        <v>0</v>
      </c>
      <c r="AX377">
        <v>-40.159999999999997</v>
      </c>
      <c r="AY377">
        <v>-40.159999999999997</v>
      </c>
      <c r="AZ377">
        <v>0</v>
      </c>
    </row>
    <row r="378" spans="1:52">
      <c r="A378" t="s">
        <v>65</v>
      </c>
      <c r="B378" t="s">
        <v>66</v>
      </c>
      <c r="C378" t="s">
        <v>67</v>
      </c>
      <c r="D378" t="s">
        <v>68</v>
      </c>
      <c r="E378" t="s">
        <v>69</v>
      </c>
      <c r="F378" t="s">
        <v>70</v>
      </c>
      <c r="G378" t="s">
        <v>71</v>
      </c>
      <c r="H378" t="s">
        <v>70</v>
      </c>
      <c r="I378" t="str">
        <f t="shared" si="90"/>
        <v>1010</v>
      </c>
      <c r="J378" t="str">
        <f t="shared" si="91"/>
        <v>05</v>
      </c>
      <c r="K378" t="s">
        <v>68</v>
      </c>
      <c r="L378" t="s">
        <v>72</v>
      </c>
      <c r="M378" t="s">
        <v>68</v>
      </c>
      <c r="N378" t="s">
        <v>181</v>
      </c>
      <c r="O378" t="s">
        <v>656</v>
      </c>
      <c r="P378" t="str">
        <f>"3020670442"</f>
        <v>3020670442</v>
      </c>
      <c r="R378" t="str">
        <f>"00030206704426"</f>
        <v>00030206704426</v>
      </c>
      <c r="S378" s="1">
        <v>40442</v>
      </c>
      <c r="T378" s="1">
        <v>40435</v>
      </c>
      <c r="U378" t="str">
        <f>"3020670442"</f>
        <v>3020670442</v>
      </c>
      <c r="V378" t="str">
        <f t="shared" ref="V378:V389" si="103">"1510"</f>
        <v>1510</v>
      </c>
      <c r="W378" t="str">
        <f t="shared" si="97"/>
        <v>11</v>
      </c>
      <c r="X378" t="s">
        <v>75</v>
      </c>
      <c r="Y378" t="s">
        <v>76</v>
      </c>
      <c r="Z378" t="s">
        <v>180</v>
      </c>
      <c r="AA378" t="s">
        <v>181</v>
      </c>
      <c r="AB378" t="s">
        <v>79</v>
      </c>
      <c r="AD378" t="s">
        <v>80</v>
      </c>
      <c r="AE378" t="s">
        <v>81</v>
      </c>
      <c r="AF378" t="s">
        <v>82</v>
      </c>
      <c r="AG378" t="s">
        <v>83</v>
      </c>
      <c r="AH378" t="s">
        <v>84</v>
      </c>
      <c r="AI378" t="str">
        <f t="shared" si="99"/>
        <v>01</v>
      </c>
      <c r="AJ378" t="str">
        <f t="shared" si="100"/>
        <v>1</v>
      </c>
      <c r="AK378" t="s">
        <v>93</v>
      </c>
      <c r="AL378" t="s">
        <v>94</v>
      </c>
      <c r="AM378" t="s">
        <v>95</v>
      </c>
      <c r="AN378" t="str">
        <f t="shared" si="93"/>
        <v>.9700</v>
      </c>
      <c r="AO378" t="str">
        <f t="shared" si="101"/>
        <v>11.41</v>
      </c>
      <c r="AP378" t="s">
        <v>96</v>
      </c>
      <c r="AQ378" t="str">
        <f t="shared" si="102"/>
        <v>11.41</v>
      </c>
      <c r="AR378">
        <v>1</v>
      </c>
      <c r="AS378">
        <v>-4</v>
      </c>
      <c r="AT378">
        <v>-3</v>
      </c>
      <c r="AU378">
        <v>11.41</v>
      </c>
      <c r="AV378">
        <v>0</v>
      </c>
      <c r="AW378">
        <v>11.41</v>
      </c>
      <c r="AX378">
        <v>-41.04</v>
      </c>
      <c r="AY378">
        <v>-29.63</v>
      </c>
      <c r="AZ378">
        <v>0</v>
      </c>
    </row>
    <row r="379" spans="1:52">
      <c r="A379" t="s">
        <v>65</v>
      </c>
      <c r="B379" t="s">
        <v>66</v>
      </c>
      <c r="C379" t="s">
        <v>67</v>
      </c>
      <c r="D379" t="s">
        <v>68</v>
      </c>
      <c r="E379" t="s">
        <v>69</v>
      </c>
      <c r="F379" t="s">
        <v>70</v>
      </c>
      <c r="G379" t="s">
        <v>71</v>
      </c>
      <c r="H379" t="s">
        <v>70</v>
      </c>
      <c r="I379" t="str">
        <f t="shared" si="90"/>
        <v>1010</v>
      </c>
      <c r="J379" t="str">
        <f t="shared" si="91"/>
        <v>05</v>
      </c>
      <c r="K379" t="s">
        <v>68</v>
      </c>
      <c r="L379" t="s">
        <v>72</v>
      </c>
      <c r="M379" t="s">
        <v>68</v>
      </c>
      <c r="N379" t="s">
        <v>181</v>
      </c>
      <c r="O379" t="s">
        <v>657</v>
      </c>
      <c r="P379" t="str">
        <f>"3020667262"</f>
        <v>3020667262</v>
      </c>
      <c r="R379" t="str">
        <f>"00030206672626"</f>
        <v>00030206672626</v>
      </c>
      <c r="S379" s="1">
        <v>38811</v>
      </c>
      <c r="T379" s="1">
        <v>38811</v>
      </c>
      <c r="U379" t="str">
        <f>"3020667262"</f>
        <v>3020667262</v>
      </c>
      <c r="V379" t="str">
        <f t="shared" si="103"/>
        <v>1510</v>
      </c>
      <c r="W379" t="str">
        <f t="shared" si="97"/>
        <v>11</v>
      </c>
      <c r="X379" t="s">
        <v>376</v>
      </c>
      <c r="Y379" t="s">
        <v>76</v>
      </c>
      <c r="Z379" t="s">
        <v>180</v>
      </c>
      <c r="AA379" t="s">
        <v>181</v>
      </c>
      <c r="AB379" t="s">
        <v>79</v>
      </c>
      <c r="AD379" t="s">
        <v>80</v>
      </c>
      <c r="AE379" t="s">
        <v>81</v>
      </c>
      <c r="AF379" t="s">
        <v>82</v>
      </c>
      <c r="AG379" t="s">
        <v>83</v>
      </c>
      <c r="AH379" t="s">
        <v>84</v>
      </c>
      <c r="AI379" t="str">
        <f t="shared" si="99"/>
        <v>01</v>
      </c>
      <c r="AJ379" t="str">
        <f t="shared" si="100"/>
        <v>1</v>
      </c>
      <c r="AK379" t="s">
        <v>93</v>
      </c>
      <c r="AL379" t="s">
        <v>94</v>
      </c>
      <c r="AM379" t="s">
        <v>95</v>
      </c>
      <c r="AN379" t="str">
        <f t="shared" si="93"/>
        <v>.9700</v>
      </c>
      <c r="AO379" t="str">
        <f t="shared" si="101"/>
        <v>11.41</v>
      </c>
      <c r="AP379" t="s">
        <v>96</v>
      </c>
      <c r="AQ379" t="str">
        <f t="shared" si="102"/>
        <v>11.41</v>
      </c>
      <c r="AR379">
        <v>0</v>
      </c>
      <c r="AS379">
        <v>-1</v>
      </c>
      <c r="AT379">
        <v>-1</v>
      </c>
      <c r="AU379">
        <v>0</v>
      </c>
      <c r="AV379">
        <v>0</v>
      </c>
      <c r="AW379">
        <v>0</v>
      </c>
      <c r="AX379">
        <v>-10.3</v>
      </c>
      <c r="AY379">
        <v>-10.3</v>
      </c>
      <c r="AZ379">
        <v>0</v>
      </c>
    </row>
    <row r="380" spans="1:52">
      <c r="A380" t="s">
        <v>65</v>
      </c>
      <c r="B380" t="s">
        <v>66</v>
      </c>
      <c r="C380" t="s">
        <v>67</v>
      </c>
      <c r="D380" t="s">
        <v>68</v>
      </c>
      <c r="E380" t="s">
        <v>69</v>
      </c>
      <c r="F380" t="s">
        <v>70</v>
      </c>
      <c r="G380" t="s">
        <v>71</v>
      </c>
      <c r="H380" t="s">
        <v>70</v>
      </c>
      <c r="I380" t="str">
        <f t="shared" si="90"/>
        <v>1010</v>
      </c>
      <c r="J380" t="str">
        <f t="shared" si="91"/>
        <v>05</v>
      </c>
      <c r="K380" t="s">
        <v>68</v>
      </c>
      <c r="L380" t="s">
        <v>72</v>
      </c>
      <c r="M380" t="s">
        <v>68</v>
      </c>
      <c r="N380" t="s">
        <v>181</v>
      </c>
      <c r="O380" t="s">
        <v>658</v>
      </c>
      <c r="P380" t="str">
        <f>"3020669592"</f>
        <v>3020669592</v>
      </c>
      <c r="R380" t="str">
        <f>"00030206695922"</f>
        <v>00030206695922</v>
      </c>
      <c r="S380" s="1">
        <v>39917</v>
      </c>
      <c r="T380" s="1">
        <v>39903</v>
      </c>
      <c r="U380" t="str">
        <f>"3020669592"</f>
        <v>3020669592</v>
      </c>
      <c r="V380" t="str">
        <f t="shared" si="103"/>
        <v>1510</v>
      </c>
      <c r="W380" t="str">
        <f t="shared" si="97"/>
        <v>11</v>
      </c>
      <c r="X380" t="s">
        <v>75</v>
      </c>
      <c r="Y380" t="s">
        <v>76</v>
      </c>
      <c r="Z380" t="s">
        <v>180</v>
      </c>
      <c r="AA380" t="s">
        <v>181</v>
      </c>
      <c r="AB380" t="s">
        <v>79</v>
      </c>
      <c r="AD380" t="s">
        <v>80</v>
      </c>
      <c r="AE380" t="s">
        <v>81</v>
      </c>
      <c r="AF380" t="s">
        <v>82</v>
      </c>
      <c r="AG380" t="s">
        <v>83</v>
      </c>
      <c r="AH380" t="s">
        <v>84</v>
      </c>
      <c r="AI380" t="str">
        <f t="shared" si="99"/>
        <v>01</v>
      </c>
      <c r="AJ380" t="str">
        <f t="shared" si="100"/>
        <v>1</v>
      </c>
      <c r="AK380" t="s">
        <v>93</v>
      </c>
      <c r="AL380" t="s">
        <v>94</v>
      </c>
      <c r="AM380" t="s">
        <v>95</v>
      </c>
      <c r="AN380" t="str">
        <f t="shared" si="93"/>
        <v>.9700</v>
      </c>
      <c r="AO380" t="str">
        <f t="shared" si="101"/>
        <v>11.41</v>
      </c>
      <c r="AP380" t="s">
        <v>96</v>
      </c>
      <c r="AQ380" t="str">
        <f t="shared" si="102"/>
        <v>11.41</v>
      </c>
      <c r="AR380">
        <v>0</v>
      </c>
      <c r="AS380">
        <v>-1</v>
      </c>
      <c r="AT380">
        <v>-1</v>
      </c>
      <c r="AU380">
        <v>0</v>
      </c>
      <c r="AV380">
        <v>0</v>
      </c>
      <c r="AW380">
        <v>0</v>
      </c>
      <c r="AX380">
        <v>-10.25</v>
      </c>
      <c r="AY380">
        <v>-10.25</v>
      </c>
      <c r="AZ380">
        <v>0</v>
      </c>
    </row>
    <row r="381" spans="1:52">
      <c r="A381" t="s">
        <v>65</v>
      </c>
      <c r="B381" t="s">
        <v>66</v>
      </c>
      <c r="C381" t="s">
        <v>67</v>
      </c>
      <c r="D381" t="s">
        <v>68</v>
      </c>
      <c r="E381" t="s">
        <v>69</v>
      </c>
      <c r="F381" t="s">
        <v>70</v>
      </c>
      <c r="G381" t="s">
        <v>71</v>
      </c>
      <c r="H381" t="s">
        <v>70</v>
      </c>
      <c r="I381" t="str">
        <f t="shared" si="90"/>
        <v>1010</v>
      </c>
      <c r="J381" t="str">
        <f t="shared" si="91"/>
        <v>05</v>
      </c>
      <c r="K381" t="s">
        <v>68</v>
      </c>
      <c r="L381" t="s">
        <v>72</v>
      </c>
      <c r="M381" t="s">
        <v>68</v>
      </c>
      <c r="N381" t="s">
        <v>181</v>
      </c>
      <c r="O381" t="s">
        <v>659</v>
      </c>
      <c r="P381" t="str">
        <f>"3020668672"</f>
        <v>3020668672</v>
      </c>
      <c r="R381" t="str">
        <f>"00030206686722"</f>
        <v>00030206686722</v>
      </c>
      <c r="S381" s="1">
        <v>39427</v>
      </c>
      <c r="T381" s="1">
        <v>39427</v>
      </c>
      <c r="U381" t="str">
        <f>"3020668672"</f>
        <v>3020668672</v>
      </c>
      <c r="V381" t="str">
        <f t="shared" si="103"/>
        <v>1510</v>
      </c>
      <c r="W381" t="str">
        <f t="shared" si="97"/>
        <v>11</v>
      </c>
      <c r="X381" t="s">
        <v>75</v>
      </c>
      <c r="Y381" t="s">
        <v>76</v>
      </c>
      <c r="Z381" t="s">
        <v>180</v>
      </c>
      <c r="AA381" t="s">
        <v>181</v>
      </c>
      <c r="AB381" t="s">
        <v>79</v>
      </c>
      <c r="AD381" t="s">
        <v>80</v>
      </c>
      <c r="AE381" t="s">
        <v>81</v>
      </c>
      <c r="AF381" t="s">
        <v>82</v>
      </c>
      <c r="AG381" t="s">
        <v>83</v>
      </c>
      <c r="AH381" t="s">
        <v>84</v>
      </c>
      <c r="AI381" t="str">
        <f t="shared" si="99"/>
        <v>01</v>
      </c>
      <c r="AJ381" t="str">
        <f t="shared" si="100"/>
        <v>1</v>
      </c>
      <c r="AK381" t="s">
        <v>93</v>
      </c>
      <c r="AL381" t="s">
        <v>94</v>
      </c>
      <c r="AM381" t="s">
        <v>95</v>
      </c>
      <c r="AN381" t="str">
        <f t="shared" si="93"/>
        <v>.9700</v>
      </c>
      <c r="AO381" t="str">
        <f t="shared" si="101"/>
        <v>11.41</v>
      </c>
      <c r="AP381" t="s">
        <v>96</v>
      </c>
      <c r="AQ381" t="str">
        <f t="shared" si="102"/>
        <v>11.41</v>
      </c>
      <c r="AR381">
        <v>37</v>
      </c>
      <c r="AS381">
        <v>-1</v>
      </c>
      <c r="AT381">
        <v>36</v>
      </c>
      <c r="AU381">
        <v>422.14</v>
      </c>
      <c r="AV381">
        <v>46.55</v>
      </c>
      <c r="AW381">
        <v>375.59</v>
      </c>
      <c r="AX381">
        <v>-10.14</v>
      </c>
      <c r="AY381">
        <v>365.45</v>
      </c>
      <c r="AZ381">
        <v>0</v>
      </c>
    </row>
    <row r="382" spans="1:52">
      <c r="A382" t="s">
        <v>65</v>
      </c>
      <c r="B382" t="s">
        <v>66</v>
      </c>
      <c r="C382" t="s">
        <v>67</v>
      </c>
      <c r="D382" t="s">
        <v>68</v>
      </c>
      <c r="E382" t="s">
        <v>69</v>
      </c>
      <c r="F382" t="s">
        <v>70</v>
      </c>
      <c r="G382" t="s">
        <v>71</v>
      </c>
      <c r="H382" t="s">
        <v>70</v>
      </c>
      <c r="I382" t="str">
        <f t="shared" si="90"/>
        <v>1010</v>
      </c>
      <c r="J382" t="str">
        <f t="shared" si="91"/>
        <v>05</v>
      </c>
      <c r="K382" t="s">
        <v>68</v>
      </c>
      <c r="L382" t="s">
        <v>72</v>
      </c>
      <c r="M382" t="s">
        <v>68</v>
      </c>
      <c r="N382" t="s">
        <v>181</v>
      </c>
      <c r="O382" t="s">
        <v>660</v>
      </c>
      <c r="P382" t="str">
        <f>"3020670392"</f>
        <v>3020670392</v>
      </c>
      <c r="R382" t="str">
        <f>"00030206703924"</f>
        <v>00030206703924</v>
      </c>
      <c r="S382" s="1">
        <v>40414</v>
      </c>
      <c r="T382" s="1">
        <v>40414</v>
      </c>
      <c r="U382" t="str">
        <f>"3020670392"</f>
        <v>3020670392</v>
      </c>
      <c r="V382" t="str">
        <f t="shared" si="103"/>
        <v>1510</v>
      </c>
      <c r="W382" t="str">
        <f t="shared" si="97"/>
        <v>11</v>
      </c>
      <c r="X382" t="s">
        <v>75</v>
      </c>
      <c r="Y382" t="s">
        <v>76</v>
      </c>
      <c r="Z382" t="s">
        <v>180</v>
      </c>
      <c r="AA382" t="s">
        <v>181</v>
      </c>
      <c r="AB382" t="s">
        <v>79</v>
      </c>
      <c r="AD382" t="s">
        <v>80</v>
      </c>
      <c r="AE382" t="s">
        <v>81</v>
      </c>
      <c r="AF382" t="s">
        <v>82</v>
      </c>
      <c r="AG382" t="s">
        <v>83</v>
      </c>
      <c r="AH382" t="s">
        <v>84</v>
      </c>
      <c r="AI382" t="str">
        <f t="shared" si="99"/>
        <v>01</v>
      </c>
      <c r="AJ382" t="str">
        <f t="shared" si="100"/>
        <v>1</v>
      </c>
      <c r="AK382" t="s">
        <v>93</v>
      </c>
      <c r="AL382" t="s">
        <v>94</v>
      </c>
      <c r="AM382" t="s">
        <v>95</v>
      </c>
      <c r="AN382" t="str">
        <f t="shared" si="93"/>
        <v>.9700</v>
      </c>
      <c r="AO382" t="str">
        <f t="shared" si="101"/>
        <v>11.41</v>
      </c>
      <c r="AP382" t="s">
        <v>96</v>
      </c>
      <c r="AQ382" t="str">
        <f t="shared" si="102"/>
        <v>11.41</v>
      </c>
      <c r="AR382">
        <v>15</v>
      </c>
      <c r="AS382">
        <v>0</v>
      </c>
      <c r="AT382">
        <v>15</v>
      </c>
      <c r="AU382">
        <v>171.14</v>
      </c>
      <c r="AV382">
        <v>20.54</v>
      </c>
      <c r="AW382">
        <v>150.6</v>
      </c>
      <c r="AX382">
        <v>0</v>
      </c>
      <c r="AY382">
        <v>150.6</v>
      </c>
      <c r="AZ382">
        <v>0</v>
      </c>
    </row>
    <row r="383" spans="1:52">
      <c r="A383" t="s">
        <v>65</v>
      </c>
      <c r="B383" t="s">
        <v>66</v>
      </c>
      <c r="C383" t="s">
        <v>67</v>
      </c>
      <c r="D383" t="s">
        <v>68</v>
      </c>
      <c r="E383" t="s">
        <v>69</v>
      </c>
      <c r="F383" t="s">
        <v>70</v>
      </c>
      <c r="G383" t="s">
        <v>71</v>
      </c>
      <c r="H383" t="s">
        <v>70</v>
      </c>
      <c r="I383" t="str">
        <f t="shared" si="90"/>
        <v>1010</v>
      </c>
      <c r="J383" t="str">
        <f t="shared" si="91"/>
        <v>05</v>
      </c>
      <c r="K383" t="s">
        <v>68</v>
      </c>
      <c r="L383" t="s">
        <v>72</v>
      </c>
      <c r="M383" t="s">
        <v>68</v>
      </c>
      <c r="N383" t="s">
        <v>181</v>
      </c>
      <c r="O383" t="s">
        <v>661</v>
      </c>
      <c r="P383" t="str">
        <f>"3020663562"</f>
        <v>3020663562</v>
      </c>
      <c r="R383" t="str">
        <f>"00030206635621"</f>
        <v>00030206635621</v>
      </c>
      <c r="S383" s="1">
        <v>37390</v>
      </c>
      <c r="T383" s="1">
        <v>37390</v>
      </c>
      <c r="U383" t="str">
        <f>"3020663562"</f>
        <v>3020663562</v>
      </c>
      <c r="V383" t="str">
        <f t="shared" si="103"/>
        <v>1510</v>
      </c>
      <c r="W383" t="str">
        <f t="shared" si="97"/>
        <v>11</v>
      </c>
      <c r="X383" t="s">
        <v>75</v>
      </c>
      <c r="Y383" t="s">
        <v>76</v>
      </c>
      <c r="Z383" t="s">
        <v>180</v>
      </c>
      <c r="AA383" t="s">
        <v>181</v>
      </c>
      <c r="AB383" t="s">
        <v>79</v>
      </c>
      <c r="AD383" t="s">
        <v>80</v>
      </c>
      <c r="AE383" t="s">
        <v>81</v>
      </c>
      <c r="AF383" t="s">
        <v>82</v>
      </c>
      <c r="AG383" t="s">
        <v>83</v>
      </c>
      <c r="AH383" t="s">
        <v>84</v>
      </c>
      <c r="AI383" t="str">
        <f t="shared" si="99"/>
        <v>01</v>
      </c>
      <c r="AJ383" t="str">
        <f t="shared" si="100"/>
        <v>1</v>
      </c>
      <c r="AK383" t="s">
        <v>93</v>
      </c>
      <c r="AL383" t="s">
        <v>94</v>
      </c>
      <c r="AM383" t="s">
        <v>95</v>
      </c>
      <c r="AN383" t="str">
        <f t="shared" si="93"/>
        <v>.9700</v>
      </c>
      <c r="AO383" t="str">
        <f t="shared" si="101"/>
        <v>11.41</v>
      </c>
      <c r="AP383" t="s">
        <v>96</v>
      </c>
      <c r="AQ383" t="str">
        <f t="shared" si="102"/>
        <v>11.41</v>
      </c>
      <c r="AR383">
        <v>20</v>
      </c>
      <c r="AS383">
        <v>0</v>
      </c>
      <c r="AT383">
        <v>20</v>
      </c>
      <c r="AU383">
        <v>228.18</v>
      </c>
      <c r="AV383">
        <v>27.38</v>
      </c>
      <c r="AW383">
        <v>200.8</v>
      </c>
      <c r="AX383">
        <v>0</v>
      </c>
      <c r="AY383">
        <v>200.8</v>
      </c>
      <c r="AZ383">
        <v>0</v>
      </c>
    </row>
    <row r="384" spans="1:52">
      <c r="A384" t="s">
        <v>65</v>
      </c>
      <c r="B384" t="s">
        <v>66</v>
      </c>
      <c r="C384" t="s">
        <v>67</v>
      </c>
      <c r="D384" t="s">
        <v>68</v>
      </c>
      <c r="E384" t="s">
        <v>69</v>
      </c>
      <c r="F384" t="s">
        <v>70</v>
      </c>
      <c r="G384" t="s">
        <v>71</v>
      </c>
      <c r="H384" t="s">
        <v>70</v>
      </c>
      <c r="I384" t="str">
        <f t="shared" si="90"/>
        <v>1010</v>
      </c>
      <c r="J384" t="str">
        <f t="shared" si="91"/>
        <v>05</v>
      </c>
      <c r="K384" t="s">
        <v>68</v>
      </c>
      <c r="L384" t="s">
        <v>72</v>
      </c>
      <c r="M384" t="s">
        <v>68</v>
      </c>
      <c r="N384" t="s">
        <v>181</v>
      </c>
      <c r="O384" t="s">
        <v>662</v>
      </c>
      <c r="P384" t="str">
        <f>"3020669372"</f>
        <v>3020669372</v>
      </c>
      <c r="R384" t="str">
        <f>"00030206693720"</f>
        <v>00030206693720</v>
      </c>
      <c r="S384" s="1">
        <v>39798</v>
      </c>
      <c r="T384" s="1">
        <v>39791</v>
      </c>
      <c r="U384" t="str">
        <f>"3020669372"</f>
        <v>3020669372</v>
      </c>
      <c r="V384" t="str">
        <f t="shared" si="103"/>
        <v>1510</v>
      </c>
      <c r="W384" t="str">
        <f t="shared" si="97"/>
        <v>11</v>
      </c>
      <c r="X384" t="s">
        <v>75</v>
      </c>
      <c r="Y384" t="s">
        <v>76</v>
      </c>
      <c r="Z384" t="s">
        <v>180</v>
      </c>
      <c r="AA384" t="s">
        <v>181</v>
      </c>
      <c r="AB384" t="s">
        <v>79</v>
      </c>
      <c r="AD384" t="s">
        <v>80</v>
      </c>
      <c r="AE384" t="s">
        <v>81</v>
      </c>
      <c r="AF384" t="s">
        <v>82</v>
      </c>
      <c r="AG384" t="s">
        <v>83</v>
      </c>
      <c r="AH384" t="s">
        <v>84</v>
      </c>
      <c r="AI384" t="str">
        <f t="shared" si="99"/>
        <v>01</v>
      </c>
      <c r="AJ384" t="str">
        <f t="shared" si="100"/>
        <v>1</v>
      </c>
      <c r="AK384" t="s">
        <v>93</v>
      </c>
      <c r="AL384" t="s">
        <v>94</v>
      </c>
      <c r="AM384" t="s">
        <v>95</v>
      </c>
      <c r="AN384" t="str">
        <f t="shared" si="93"/>
        <v>.9700</v>
      </c>
      <c r="AO384" t="str">
        <f t="shared" si="101"/>
        <v>11.41</v>
      </c>
      <c r="AP384" t="s">
        <v>96</v>
      </c>
      <c r="AQ384" t="str">
        <f t="shared" si="102"/>
        <v>11.41</v>
      </c>
      <c r="AR384">
        <v>7</v>
      </c>
      <c r="AS384">
        <v>0</v>
      </c>
      <c r="AT384">
        <v>7</v>
      </c>
      <c r="AU384">
        <v>79.86</v>
      </c>
      <c r="AV384">
        <v>9.58</v>
      </c>
      <c r="AW384">
        <v>70.28</v>
      </c>
      <c r="AX384">
        <v>0</v>
      </c>
      <c r="AY384">
        <v>70.28</v>
      </c>
      <c r="AZ384">
        <v>0</v>
      </c>
    </row>
    <row r="385" spans="1:52">
      <c r="A385" t="s">
        <v>65</v>
      </c>
      <c r="B385" t="s">
        <v>66</v>
      </c>
      <c r="C385" t="s">
        <v>67</v>
      </c>
      <c r="D385" t="s">
        <v>68</v>
      </c>
      <c r="E385" t="s">
        <v>69</v>
      </c>
      <c r="F385" t="s">
        <v>70</v>
      </c>
      <c r="G385" t="s">
        <v>71</v>
      </c>
      <c r="H385" t="s">
        <v>70</v>
      </c>
      <c r="I385" t="str">
        <f t="shared" si="90"/>
        <v>1010</v>
      </c>
      <c r="J385" t="str">
        <f t="shared" si="91"/>
        <v>05</v>
      </c>
      <c r="K385" t="s">
        <v>68</v>
      </c>
      <c r="L385" t="s">
        <v>72</v>
      </c>
      <c r="M385" t="s">
        <v>68</v>
      </c>
      <c r="N385" t="s">
        <v>181</v>
      </c>
      <c r="O385" t="s">
        <v>663</v>
      </c>
      <c r="P385" t="s">
        <v>664</v>
      </c>
      <c r="R385" t="str">
        <f>"00030206560022"</f>
        <v>00030206560022</v>
      </c>
      <c r="S385" s="1">
        <v>35136</v>
      </c>
      <c r="T385" s="1">
        <v>35136</v>
      </c>
      <c r="U385" t="s">
        <v>664</v>
      </c>
      <c r="V385" t="str">
        <f t="shared" si="103"/>
        <v>1510</v>
      </c>
      <c r="W385" t="str">
        <f t="shared" si="97"/>
        <v>11</v>
      </c>
      <c r="X385" t="s">
        <v>75</v>
      </c>
      <c r="Y385" t="s">
        <v>76</v>
      </c>
      <c r="Z385" t="s">
        <v>180</v>
      </c>
      <c r="AA385" t="s">
        <v>181</v>
      </c>
      <c r="AB385" t="s">
        <v>79</v>
      </c>
      <c r="AD385" t="s">
        <v>80</v>
      </c>
      <c r="AE385" t="s">
        <v>81</v>
      </c>
      <c r="AF385" t="s">
        <v>82</v>
      </c>
      <c r="AG385" t="s">
        <v>83</v>
      </c>
      <c r="AH385" t="s">
        <v>84</v>
      </c>
      <c r="AI385" t="str">
        <f t="shared" si="99"/>
        <v>01</v>
      </c>
      <c r="AJ385" t="str">
        <f t="shared" si="100"/>
        <v>1</v>
      </c>
      <c r="AK385" t="s">
        <v>107</v>
      </c>
      <c r="AL385" t="s">
        <v>94</v>
      </c>
      <c r="AM385" t="s">
        <v>95</v>
      </c>
      <c r="AN385" t="str">
        <f t="shared" si="93"/>
        <v>.9700</v>
      </c>
      <c r="AO385" t="str">
        <f>"10.78"</f>
        <v>10.78</v>
      </c>
      <c r="AP385" t="s">
        <v>108</v>
      </c>
      <c r="AQ385" t="str">
        <f>"10.78"</f>
        <v>10.78</v>
      </c>
      <c r="AR385">
        <v>21</v>
      </c>
      <c r="AS385">
        <v>0</v>
      </c>
      <c r="AT385">
        <v>21</v>
      </c>
      <c r="AU385">
        <v>226.44</v>
      </c>
      <c r="AV385">
        <v>21.99</v>
      </c>
      <c r="AW385">
        <v>204.45</v>
      </c>
      <c r="AX385">
        <v>0</v>
      </c>
      <c r="AY385">
        <v>204.45</v>
      </c>
      <c r="AZ385">
        <v>0</v>
      </c>
    </row>
    <row r="386" spans="1:52">
      <c r="A386" t="s">
        <v>65</v>
      </c>
      <c r="B386" t="s">
        <v>66</v>
      </c>
      <c r="C386" t="s">
        <v>67</v>
      </c>
      <c r="D386" t="s">
        <v>68</v>
      </c>
      <c r="E386" t="s">
        <v>69</v>
      </c>
      <c r="F386" t="s">
        <v>70</v>
      </c>
      <c r="G386" t="s">
        <v>71</v>
      </c>
      <c r="H386" t="s">
        <v>70</v>
      </c>
      <c r="I386" t="str">
        <f t="shared" si="90"/>
        <v>1010</v>
      </c>
      <c r="J386" t="str">
        <f t="shared" si="91"/>
        <v>05</v>
      </c>
      <c r="K386" t="s">
        <v>68</v>
      </c>
      <c r="L386" t="s">
        <v>72</v>
      </c>
      <c r="M386" t="s">
        <v>68</v>
      </c>
      <c r="N386" t="s">
        <v>181</v>
      </c>
      <c r="O386" t="s">
        <v>663</v>
      </c>
      <c r="P386" t="s">
        <v>665</v>
      </c>
      <c r="R386" t="str">
        <f>"00030206575927"</f>
        <v>00030206575927</v>
      </c>
      <c r="S386" s="1">
        <v>35374</v>
      </c>
      <c r="T386" s="1">
        <v>35374</v>
      </c>
      <c r="U386" t="s">
        <v>665</v>
      </c>
      <c r="V386" t="str">
        <f t="shared" si="103"/>
        <v>1510</v>
      </c>
      <c r="W386" t="str">
        <f t="shared" si="97"/>
        <v>11</v>
      </c>
      <c r="X386" t="s">
        <v>75</v>
      </c>
      <c r="Y386" t="s">
        <v>76</v>
      </c>
      <c r="Z386" t="s">
        <v>180</v>
      </c>
      <c r="AA386" t="s">
        <v>181</v>
      </c>
      <c r="AB386" t="s">
        <v>79</v>
      </c>
      <c r="AD386" t="s">
        <v>80</v>
      </c>
      <c r="AE386" t="s">
        <v>81</v>
      </c>
      <c r="AF386" t="s">
        <v>82</v>
      </c>
      <c r="AG386" t="s">
        <v>83</v>
      </c>
      <c r="AH386" t="s">
        <v>84</v>
      </c>
      <c r="AI386" t="str">
        <f t="shared" si="99"/>
        <v>01</v>
      </c>
      <c r="AJ386" t="str">
        <f t="shared" si="100"/>
        <v>1</v>
      </c>
      <c r="AK386" t="s">
        <v>107</v>
      </c>
      <c r="AL386" t="s">
        <v>94</v>
      </c>
      <c r="AM386" t="s">
        <v>95</v>
      </c>
      <c r="AN386" t="str">
        <f t="shared" si="93"/>
        <v>.9700</v>
      </c>
      <c r="AO386" t="str">
        <f>"10.78"</f>
        <v>10.78</v>
      </c>
      <c r="AP386" t="s">
        <v>108</v>
      </c>
      <c r="AQ386" t="str">
        <f>"10.78"</f>
        <v>10.78</v>
      </c>
      <c r="AR386">
        <v>38</v>
      </c>
      <c r="AS386">
        <v>-2</v>
      </c>
      <c r="AT386">
        <v>36</v>
      </c>
      <c r="AU386">
        <v>409.76</v>
      </c>
      <c r="AV386">
        <v>38.82</v>
      </c>
      <c r="AW386">
        <v>370.94</v>
      </c>
      <c r="AX386">
        <v>-19.59</v>
      </c>
      <c r="AY386">
        <v>351.35</v>
      </c>
      <c r="AZ386">
        <v>0</v>
      </c>
    </row>
    <row r="387" spans="1:52">
      <c r="A387" t="s">
        <v>65</v>
      </c>
      <c r="B387" t="s">
        <v>66</v>
      </c>
      <c r="C387" t="s">
        <v>67</v>
      </c>
      <c r="D387" t="s">
        <v>68</v>
      </c>
      <c r="E387" t="s">
        <v>69</v>
      </c>
      <c r="F387" t="s">
        <v>70</v>
      </c>
      <c r="G387" t="s">
        <v>71</v>
      </c>
      <c r="H387" t="s">
        <v>70</v>
      </c>
      <c r="I387" t="str">
        <f t="shared" si="90"/>
        <v>1010</v>
      </c>
      <c r="J387" t="str">
        <f t="shared" si="91"/>
        <v>05</v>
      </c>
      <c r="K387" t="s">
        <v>68</v>
      </c>
      <c r="L387" t="s">
        <v>72</v>
      </c>
      <c r="M387" t="s">
        <v>68</v>
      </c>
      <c r="N387" t="s">
        <v>181</v>
      </c>
      <c r="O387" t="s">
        <v>666</v>
      </c>
      <c r="P387" t="str">
        <f>"3020671252"</f>
        <v>3020671252</v>
      </c>
      <c r="R387" t="str">
        <f>"00030206712520"</f>
        <v>00030206712520</v>
      </c>
      <c r="S387" s="1">
        <v>40883</v>
      </c>
      <c r="T387" s="1">
        <v>40862</v>
      </c>
      <c r="U387" t="str">
        <f>"3020671252"</f>
        <v>3020671252</v>
      </c>
      <c r="V387" t="str">
        <f t="shared" si="103"/>
        <v>1510</v>
      </c>
      <c r="W387" t="str">
        <f t="shared" ref="W387:W418" si="104">"11"</f>
        <v>11</v>
      </c>
      <c r="X387" t="s">
        <v>75</v>
      </c>
      <c r="Y387" t="s">
        <v>76</v>
      </c>
      <c r="Z387" t="s">
        <v>180</v>
      </c>
      <c r="AA387" t="s">
        <v>181</v>
      </c>
      <c r="AB387" t="s">
        <v>79</v>
      </c>
      <c r="AD387" t="s">
        <v>80</v>
      </c>
      <c r="AE387" t="s">
        <v>81</v>
      </c>
      <c r="AF387" t="s">
        <v>82</v>
      </c>
      <c r="AG387" t="s">
        <v>83</v>
      </c>
      <c r="AH387" t="s">
        <v>84</v>
      </c>
      <c r="AI387" t="str">
        <f t="shared" si="99"/>
        <v>01</v>
      </c>
      <c r="AJ387" t="str">
        <f t="shared" si="100"/>
        <v>1</v>
      </c>
      <c r="AK387" t="s">
        <v>93</v>
      </c>
      <c r="AL387" t="s">
        <v>94</v>
      </c>
      <c r="AM387" t="s">
        <v>95</v>
      </c>
      <c r="AN387" t="str">
        <f t="shared" si="93"/>
        <v>.9700</v>
      </c>
      <c r="AO387" t="str">
        <f>"11.41"</f>
        <v>11.41</v>
      </c>
      <c r="AP387" t="s">
        <v>96</v>
      </c>
      <c r="AQ387" t="str">
        <f>"11.41"</f>
        <v>11.41</v>
      </c>
      <c r="AR387">
        <v>0</v>
      </c>
      <c r="AS387">
        <v>-3</v>
      </c>
      <c r="AT387">
        <v>-3</v>
      </c>
      <c r="AU387">
        <v>0</v>
      </c>
      <c r="AV387">
        <v>0</v>
      </c>
      <c r="AW387">
        <v>0</v>
      </c>
      <c r="AX387">
        <v>-29.76</v>
      </c>
      <c r="AY387">
        <v>-29.76</v>
      </c>
      <c r="AZ387">
        <v>0</v>
      </c>
    </row>
    <row r="388" spans="1:52">
      <c r="A388" t="s">
        <v>65</v>
      </c>
      <c r="B388" t="s">
        <v>66</v>
      </c>
      <c r="C388" t="s">
        <v>67</v>
      </c>
      <c r="D388" t="s">
        <v>68</v>
      </c>
      <c r="E388" t="s">
        <v>69</v>
      </c>
      <c r="F388" t="s">
        <v>70</v>
      </c>
      <c r="G388" t="s">
        <v>71</v>
      </c>
      <c r="H388" t="s">
        <v>70</v>
      </c>
      <c r="I388" t="str">
        <f t="shared" si="90"/>
        <v>1010</v>
      </c>
      <c r="J388" t="str">
        <f t="shared" si="91"/>
        <v>05</v>
      </c>
      <c r="K388" t="s">
        <v>68</v>
      </c>
      <c r="L388" t="s">
        <v>72</v>
      </c>
      <c r="M388" t="s">
        <v>68</v>
      </c>
      <c r="N388" t="s">
        <v>181</v>
      </c>
      <c r="O388" t="s">
        <v>667</v>
      </c>
      <c r="P388" t="str">
        <f>"3020671102"</f>
        <v>3020671102</v>
      </c>
      <c r="R388" t="str">
        <f>"00030206711028"</f>
        <v>00030206711028</v>
      </c>
      <c r="S388" s="1">
        <v>40771</v>
      </c>
      <c r="T388" s="1">
        <v>40764</v>
      </c>
      <c r="U388" t="str">
        <f>"3020671102"</f>
        <v>3020671102</v>
      </c>
      <c r="V388" t="str">
        <f t="shared" si="103"/>
        <v>1510</v>
      </c>
      <c r="W388" t="str">
        <f t="shared" si="104"/>
        <v>11</v>
      </c>
      <c r="X388" t="s">
        <v>376</v>
      </c>
      <c r="Y388" t="s">
        <v>76</v>
      </c>
      <c r="Z388" t="s">
        <v>180</v>
      </c>
      <c r="AA388" t="s">
        <v>181</v>
      </c>
      <c r="AB388" t="s">
        <v>79</v>
      </c>
      <c r="AD388" t="s">
        <v>80</v>
      </c>
      <c r="AE388" t="s">
        <v>81</v>
      </c>
      <c r="AF388" t="s">
        <v>82</v>
      </c>
      <c r="AG388" t="s">
        <v>83</v>
      </c>
      <c r="AH388" t="s">
        <v>84</v>
      </c>
      <c r="AI388" t="str">
        <f t="shared" si="99"/>
        <v>01</v>
      </c>
      <c r="AJ388" t="str">
        <f t="shared" si="100"/>
        <v>1</v>
      </c>
      <c r="AK388" t="s">
        <v>93</v>
      </c>
      <c r="AL388" t="s">
        <v>94</v>
      </c>
      <c r="AM388" t="s">
        <v>95</v>
      </c>
      <c r="AN388" t="str">
        <f t="shared" si="93"/>
        <v>.9700</v>
      </c>
      <c r="AO388" t="str">
        <f>"11.41"</f>
        <v>11.41</v>
      </c>
      <c r="AP388" t="s">
        <v>96</v>
      </c>
      <c r="AQ388" t="str">
        <f>"11.41"</f>
        <v>11.41</v>
      </c>
      <c r="AR388">
        <v>0</v>
      </c>
      <c r="AS388">
        <v>-3</v>
      </c>
      <c r="AT388">
        <v>-3</v>
      </c>
      <c r="AU388">
        <v>0</v>
      </c>
      <c r="AV388">
        <v>0</v>
      </c>
      <c r="AW388">
        <v>0</v>
      </c>
      <c r="AX388">
        <v>-30.78</v>
      </c>
      <c r="AY388">
        <v>-30.78</v>
      </c>
      <c r="AZ388">
        <v>0</v>
      </c>
    </row>
    <row r="389" spans="1:52">
      <c r="A389" t="s">
        <v>65</v>
      </c>
      <c r="B389" t="s">
        <v>66</v>
      </c>
      <c r="C389" t="s">
        <v>67</v>
      </c>
      <c r="D389" t="s">
        <v>68</v>
      </c>
      <c r="E389" t="s">
        <v>69</v>
      </c>
      <c r="F389" t="s">
        <v>70</v>
      </c>
      <c r="G389" t="s">
        <v>71</v>
      </c>
      <c r="H389" t="s">
        <v>70</v>
      </c>
      <c r="I389" t="str">
        <f t="shared" si="90"/>
        <v>1010</v>
      </c>
      <c r="J389" t="str">
        <f t="shared" si="91"/>
        <v>05</v>
      </c>
      <c r="K389" t="s">
        <v>68</v>
      </c>
      <c r="L389" t="s">
        <v>72</v>
      </c>
      <c r="M389" t="s">
        <v>68</v>
      </c>
      <c r="N389" t="s">
        <v>181</v>
      </c>
      <c r="O389" t="s">
        <v>668</v>
      </c>
      <c r="P389" t="str">
        <f>"3020666952"</f>
        <v>3020666952</v>
      </c>
      <c r="R389" t="str">
        <f>"00030206669527"</f>
        <v>00030206669527</v>
      </c>
      <c r="S389" s="1">
        <v>38706</v>
      </c>
      <c r="T389" s="1">
        <v>38650</v>
      </c>
      <c r="U389" t="str">
        <f>"3020666952"</f>
        <v>3020666952</v>
      </c>
      <c r="V389" t="str">
        <f t="shared" si="103"/>
        <v>1510</v>
      </c>
      <c r="W389" t="str">
        <f t="shared" si="104"/>
        <v>11</v>
      </c>
      <c r="X389" t="s">
        <v>376</v>
      </c>
      <c r="Y389" t="s">
        <v>76</v>
      </c>
      <c r="Z389" t="s">
        <v>180</v>
      </c>
      <c r="AA389" t="s">
        <v>181</v>
      </c>
      <c r="AB389" t="s">
        <v>79</v>
      </c>
      <c r="AD389" t="s">
        <v>80</v>
      </c>
      <c r="AE389" t="s">
        <v>81</v>
      </c>
      <c r="AF389" t="s">
        <v>82</v>
      </c>
      <c r="AG389" t="s">
        <v>83</v>
      </c>
      <c r="AH389" t="s">
        <v>84</v>
      </c>
      <c r="AI389" t="str">
        <f t="shared" si="99"/>
        <v>01</v>
      </c>
      <c r="AJ389" t="str">
        <f t="shared" si="100"/>
        <v>1</v>
      </c>
      <c r="AK389" t="s">
        <v>93</v>
      </c>
      <c r="AL389" t="s">
        <v>94</v>
      </c>
      <c r="AM389" t="s">
        <v>95</v>
      </c>
      <c r="AN389" t="str">
        <f t="shared" si="93"/>
        <v>.9700</v>
      </c>
      <c r="AO389" t="str">
        <f>"11.41"</f>
        <v>11.41</v>
      </c>
      <c r="AP389" t="s">
        <v>96</v>
      </c>
      <c r="AQ389" t="str">
        <f>"11.41"</f>
        <v>11.41</v>
      </c>
      <c r="AR389">
        <v>0</v>
      </c>
      <c r="AS389">
        <v>-8</v>
      </c>
      <c r="AT389">
        <v>-8</v>
      </c>
      <c r="AU389">
        <v>0</v>
      </c>
      <c r="AV389">
        <v>0</v>
      </c>
      <c r="AW389">
        <v>0</v>
      </c>
      <c r="AX389">
        <v>-84</v>
      </c>
      <c r="AY389">
        <v>-84</v>
      </c>
      <c r="AZ389">
        <v>0</v>
      </c>
    </row>
    <row r="390" spans="1:52">
      <c r="A390" t="s">
        <v>65</v>
      </c>
      <c r="B390" t="s">
        <v>66</v>
      </c>
      <c r="C390" t="s">
        <v>67</v>
      </c>
      <c r="D390" t="s">
        <v>68</v>
      </c>
      <c r="E390" t="s">
        <v>69</v>
      </c>
      <c r="F390" t="s">
        <v>70</v>
      </c>
      <c r="G390" t="s">
        <v>71</v>
      </c>
      <c r="H390" t="s">
        <v>70</v>
      </c>
      <c r="I390" t="str">
        <f t="shared" si="90"/>
        <v>1010</v>
      </c>
      <c r="J390" t="str">
        <f t="shared" si="91"/>
        <v>05</v>
      </c>
      <c r="K390" t="s">
        <v>68</v>
      </c>
      <c r="L390" t="s">
        <v>72</v>
      </c>
      <c r="M390" t="s">
        <v>68</v>
      </c>
      <c r="N390" t="s">
        <v>181</v>
      </c>
      <c r="O390" t="s">
        <v>669</v>
      </c>
      <c r="P390" t="str">
        <f>"3020672108"</f>
        <v>3020672108</v>
      </c>
      <c r="R390" t="str">
        <f>"00030206721089"</f>
        <v>00030206721089</v>
      </c>
      <c r="S390" s="1">
        <v>41478</v>
      </c>
      <c r="T390" s="1">
        <v>41464</v>
      </c>
      <c r="U390" t="str">
        <f>"3020672108"</f>
        <v>3020672108</v>
      </c>
      <c r="V390" t="str">
        <f>"1010"</f>
        <v>1010</v>
      </c>
      <c r="W390" t="str">
        <f t="shared" si="104"/>
        <v>11</v>
      </c>
      <c r="X390" t="s">
        <v>75</v>
      </c>
      <c r="Y390" t="s">
        <v>173</v>
      </c>
      <c r="Z390" t="s">
        <v>180</v>
      </c>
      <c r="AA390" t="s">
        <v>181</v>
      </c>
      <c r="AB390" t="s">
        <v>79</v>
      </c>
      <c r="AD390" t="s">
        <v>80</v>
      </c>
      <c r="AE390" t="s">
        <v>81</v>
      </c>
      <c r="AF390" t="s">
        <v>82</v>
      </c>
      <c r="AG390" t="s">
        <v>83</v>
      </c>
      <c r="AH390" t="s">
        <v>84</v>
      </c>
      <c r="AJ390" t="str">
        <f t="shared" si="100"/>
        <v>1</v>
      </c>
      <c r="AK390" t="s">
        <v>93</v>
      </c>
      <c r="AL390" t="s">
        <v>143</v>
      </c>
      <c r="AM390" t="s">
        <v>95</v>
      </c>
      <c r="AN390" t="str">
        <f t="shared" si="93"/>
        <v>.9700</v>
      </c>
      <c r="AO390" t="str">
        <f>"11.41"</f>
        <v>11.41</v>
      </c>
      <c r="AP390" t="s">
        <v>96</v>
      </c>
      <c r="AQ390" t="str">
        <f>"11.41"</f>
        <v>11.41</v>
      </c>
      <c r="AR390">
        <v>0</v>
      </c>
      <c r="AS390">
        <v>-9</v>
      </c>
      <c r="AT390">
        <v>-9</v>
      </c>
      <c r="AU390">
        <v>0</v>
      </c>
      <c r="AV390">
        <v>0</v>
      </c>
      <c r="AW390">
        <v>0</v>
      </c>
      <c r="AX390">
        <v>-92.99</v>
      </c>
      <c r="AY390">
        <v>-92.99</v>
      </c>
      <c r="AZ390">
        <v>0</v>
      </c>
    </row>
    <row r="391" spans="1:52">
      <c r="A391" t="s">
        <v>65</v>
      </c>
      <c r="B391" t="s">
        <v>66</v>
      </c>
      <c r="C391" t="s">
        <v>67</v>
      </c>
      <c r="D391" t="s">
        <v>68</v>
      </c>
      <c r="E391" t="s">
        <v>69</v>
      </c>
      <c r="F391" t="s">
        <v>70</v>
      </c>
      <c r="G391" t="s">
        <v>71</v>
      </c>
      <c r="H391" t="s">
        <v>70</v>
      </c>
      <c r="I391" t="str">
        <f t="shared" si="90"/>
        <v>1010</v>
      </c>
      <c r="J391" t="str">
        <f t="shared" si="91"/>
        <v>05</v>
      </c>
      <c r="K391" t="s">
        <v>68</v>
      </c>
      <c r="L391" t="s">
        <v>72</v>
      </c>
      <c r="M391" t="s">
        <v>68</v>
      </c>
      <c r="N391" t="s">
        <v>181</v>
      </c>
      <c r="O391" t="s">
        <v>670</v>
      </c>
      <c r="P391" t="str">
        <f>"3020671672"</f>
        <v>3020671672</v>
      </c>
      <c r="R391" t="str">
        <f>"00030206716726"</f>
        <v>00030206716726</v>
      </c>
      <c r="S391" s="1">
        <v>41212</v>
      </c>
      <c r="T391" s="1">
        <v>41212</v>
      </c>
      <c r="U391" t="str">
        <f>"3020671672"</f>
        <v>3020671672</v>
      </c>
      <c r="V391" t="str">
        <f>"1010"</f>
        <v>1010</v>
      </c>
      <c r="W391" t="str">
        <f t="shared" si="104"/>
        <v>11</v>
      </c>
      <c r="X391" t="s">
        <v>75</v>
      </c>
      <c r="Y391" t="s">
        <v>139</v>
      </c>
      <c r="Z391" t="s">
        <v>180</v>
      </c>
      <c r="AA391" t="s">
        <v>181</v>
      </c>
      <c r="AB391" t="s">
        <v>79</v>
      </c>
      <c r="AD391" t="s">
        <v>80</v>
      </c>
      <c r="AE391" t="s">
        <v>81</v>
      </c>
      <c r="AF391" t="s">
        <v>82</v>
      </c>
      <c r="AG391" t="s">
        <v>83</v>
      </c>
      <c r="AH391" t="s">
        <v>84</v>
      </c>
      <c r="AI391" t="str">
        <f t="shared" ref="AI391:AI400" si="105">"01"</f>
        <v>01</v>
      </c>
      <c r="AJ391" t="str">
        <f t="shared" si="100"/>
        <v>1</v>
      </c>
      <c r="AK391" t="s">
        <v>101</v>
      </c>
      <c r="AL391" t="s">
        <v>94</v>
      </c>
      <c r="AM391" t="s">
        <v>95</v>
      </c>
      <c r="AN391" t="str">
        <f t="shared" si="93"/>
        <v>.9700</v>
      </c>
      <c r="AO391" t="str">
        <f>"9.07"</f>
        <v>9.07</v>
      </c>
      <c r="AP391" t="s">
        <v>102</v>
      </c>
      <c r="AQ391" t="str">
        <f>"9.07"</f>
        <v>9.07</v>
      </c>
      <c r="AR391">
        <v>33</v>
      </c>
      <c r="AS391">
        <v>-1</v>
      </c>
      <c r="AT391">
        <v>32</v>
      </c>
      <c r="AU391">
        <v>299.31</v>
      </c>
      <c r="AV391">
        <v>0</v>
      </c>
      <c r="AW391">
        <v>299.31</v>
      </c>
      <c r="AX391">
        <v>-8.48</v>
      </c>
      <c r="AY391">
        <v>290.83</v>
      </c>
      <c r="AZ391">
        <v>0</v>
      </c>
    </row>
    <row r="392" spans="1:52">
      <c r="A392" t="s">
        <v>65</v>
      </c>
      <c r="B392" t="s">
        <v>66</v>
      </c>
      <c r="C392" t="s">
        <v>67</v>
      </c>
      <c r="D392" t="s">
        <v>68</v>
      </c>
      <c r="E392" t="s">
        <v>69</v>
      </c>
      <c r="F392" t="s">
        <v>70</v>
      </c>
      <c r="G392" t="s">
        <v>71</v>
      </c>
      <c r="H392" t="s">
        <v>70</v>
      </c>
      <c r="I392" t="str">
        <f t="shared" si="90"/>
        <v>1010</v>
      </c>
      <c r="J392" t="str">
        <f t="shared" si="91"/>
        <v>05</v>
      </c>
      <c r="K392" t="s">
        <v>68</v>
      </c>
      <c r="L392" t="s">
        <v>72</v>
      </c>
      <c r="M392" t="s">
        <v>68</v>
      </c>
      <c r="N392" t="s">
        <v>181</v>
      </c>
      <c r="O392" t="s">
        <v>671</v>
      </c>
      <c r="P392" t="str">
        <f>"3020669672"</f>
        <v>3020669672</v>
      </c>
      <c r="R392" t="str">
        <f>"00030206696721"</f>
        <v>00030206696721</v>
      </c>
      <c r="S392" s="1">
        <v>39938</v>
      </c>
      <c r="T392" s="1">
        <v>39931</v>
      </c>
      <c r="U392" t="str">
        <f>"3020669672"</f>
        <v>3020669672</v>
      </c>
      <c r="V392" t="str">
        <f t="shared" ref="V392:V400" si="106">"1510"</f>
        <v>1510</v>
      </c>
      <c r="W392" t="str">
        <f t="shared" si="104"/>
        <v>11</v>
      </c>
      <c r="X392" t="s">
        <v>75</v>
      </c>
      <c r="Y392" t="s">
        <v>76</v>
      </c>
      <c r="Z392" t="s">
        <v>180</v>
      </c>
      <c r="AA392" t="s">
        <v>181</v>
      </c>
      <c r="AB392" t="s">
        <v>79</v>
      </c>
      <c r="AD392" t="s">
        <v>80</v>
      </c>
      <c r="AE392" t="s">
        <v>81</v>
      </c>
      <c r="AF392" t="s">
        <v>82</v>
      </c>
      <c r="AG392" t="s">
        <v>83</v>
      </c>
      <c r="AH392" t="s">
        <v>84</v>
      </c>
      <c r="AI392" t="str">
        <f t="shared" si="105"/>
        <v>01</v>
      </c>
      <c r="AJ392" t="str">
        <f t="shared" si="100"/>
        <v>1</v>
      </c>
      <c r="AK392" t="s">
        <v>93</v>
      </c>
      <c r="AL392" t="s">
        <v>94</v>
      </c>
      <c r="AM392" t="s">
        <v>95</v>
      </c>
      <c r="AN392" t="str">
        <f t="shared" si="93"/>
        <v>.9700</v>
      </c>
      <c r="AO392" t="str">
        <f>"11.41"</f>
        <v>11.41</v>
      </c>
      <c r="AP392" t="s">
        <v>96</v>
      </c>
      <c r="AQ392" t="str">
        <f>"11.41"</f>
        <v>11.41</v>
      </c>
      <c r="AR392">
        <v>22</v>
      </c>
      <c r="AS392">
        <v>-2</v>
      </c>
      <c r="AT392">
        <v>20</v>
      </c>
      <c r="AU392">
        <v>251.01</v>
      </c>
      <c r="AV392">
        <v>24.65</v>
      </c>
      <c r="AW392">
        <v>226.36</v>
      </c>
      <c r="AX392">
        <v>-19.75</v>
      </c>
      <c r="AY392">
        <v>206.61</v>
      </c>
      <c r="AZ392">
        <v>0</v>
      </c>
    </row>
    <row r="393" spans="1:52">
      <c r="A393" t="s">
        <v>65</v>
      </c>
      <c r="B393" t="s">
        <v>66</v>
      </c>
      <c r="C393" t="s">
        <v>67</v>
      </c>
      <c r="D393" t="s">
        <v>68</v>
      </c>
      <c r="E393" t="s">
        <v>69</v>
      </c>
      <c r="F393" t="s">
        <v>70</v>
      </c>
      <c r="G393" t="s">
        <v>71</v>
      </c>
      <c r="H393" t="s">
        <v>70</v>
      </c>
      <c r="I393" t="str">
        <f t="shared" si="90"/>
        <v>1010</v>
      </c>
      <c r="J393" t="str">
        <f t="shared" si="91"/>
        <v>05</v>
      </c>
      <c r="K393" t="s">
        <v>68</v>
      </c>
      <c r="L393" t="s">
        <v>72</v>
      </c>
      <c r="M393" t="s">
        <v>68</v>
      </c>
      <c r="N393" t="s">
        <v>181</v>
      </c>
      <c r="O393" t="s">
        <v>672</v>
      </c>
      <c r="P393" t="str">
        <f>"3020670712"</f>
        <v>3020670712</v>
      </c>
      <c r="R393" t="str">
        <f>"00030206707120"</f>
        <v>00030206707120</v>
      </c>
      <c r="S393" s="1">
        <v>40638</v>
      </c>
      <c r="T393" s="1">
        <v>40638</v>
      </c>
      <c r="U393" t="str">
        <f>"3020670712"</f>
        <v>3020670712</v>
      </c>
      <c r="V393" t="str">
        <f t="shared" si="106"/>
        <v>1510</v>
      </c>
      <c r="W393" t="str">
        <f t="shared" si="104"/>
        <v>11</v>
      </c>
      <c r="X393" t="s">
        <v>75</v>
      </c>
      <c r="Y393" t="s">
        <v>76</v>
      </c>
      <c r="Z393" t="s">
        <v>180</v>
      </c>
      <c r="AA393" t="s">
        <v>181</v>
      </c>
      <c r="AB393" t="s">
        <v>79</v>
      </c>
      <c r="AD393" t="s">
        <v>80</v>
      </c>
      <c r="AE393" t="s">
        <v>81</v>
      </c>
      <c r="AF393" t="s">
        <v>82</v>
      </c>
      <c r="AG393" t="s">
        <v>83</v>
      </c>
      <c r="AH393" t="s">
        <v>84</v>
      </c>
      <c r="AI393" t="str">
        <f t="shared" si="105"/>
        <v>01</v>
      </c>
      <c r="AJ393" t="str">
        <f t="shared" si="100"/>
        <v>1</v>
      </c>
      <c r="AK393" t="s">
        <v>93</v>
      </c>
      <c r="AL393" t="s">
        <v>94</v>
      </c>
      <c r="AM393" t="s">
        <v>95</v>
      </c>
      <c r="AN393" t="str">
        <f t="shared" si="93"/>
        <v>.9700</v>
      </c>
      <c r="AO393" t="str">
        <f>"11.41"</f>
        <v>11.41</v>
      </c>
      <c r="AP393" t="s">
        <v>96</v>
      </c>
      <c r="AQ393" t="str">
        <f>"11.41"</f>
        <v>11.41</v>
      </c>
      <c r="AR393">
        <v>12</v>
      </c>
      <c r="AS393">
        <v>-4</v>
      </c>
      <c r="AT393">
        <v>8</v>
      </c>
      <c r="AU393">
        <v>136.91</v>
      </c>
      <c r="AV393">
        <v>13.69</v>
      </c>
      <c r="AW393">
        <v>123.22</v>
      </c>
      <c r="AX393">
        <v>-40.159999999999997</v>
      </c>
      <c r="AY393">
        <v>83.06</v>
      </c>
      <c r="AZ393">
        <v>0</v>
      </c>
    </row>
    <row r="394" spans="1:52">
      <c r="A394" t="s">
        <v>65</v>
      </c>
      <c r="B394" t="s">
        <v>66</v>
      </c>
      <c r="C394" t="s">
        <v>67</v>
      </c>
      <c r="D394" t="s">
        <v>68</v>
      </c>
      <c r="E394" t="s">
        <v>69</v>
      </c>
      <c r="F394" t="s">
        <v>70</v>
      </c>
      <c r="G394" t="s">
        <v>71</v>
      </c>
      <c r="H394" t="s">
        <v>70</v>
      </c>
      <c r="I394" t="str">
        <f t="shared" ref="I394:I457" si="107">"1010"</f>
        <v>1010</v>
      </c>
      <c r="J394" t="str">
        <f t="shared" ref="J394:J457" si="108">"05"</f>
        <v>05</v>
      </c>
      <c r="K394" t="s">
        <v>68</v>
      </c>
      <c r="L394" t="s">
        <v>72</v>
      </c>
      <c r="M394" t="s">
        <v>68</v>
      </c>
      <c r="N394" t="s">
        <v>181</v>
      </c>
      <c r="O394" t="s">
        <v>673</v>
      </c>
      <c r="P394" t="s">
        <v>674</v>
      </c>
      <c r="R394" t="str">
        <f>"00030206601527"</f>
        <v>00030206601527</v>
      </c>
      <c r="S394" s="1">
        <v>36228</v>
      </c>
      <c r="T394" s="1">
        <v>36228</v>
      </c>
      <c r="U394" t="s">
        <v>674</v>
      </c>
      <c r="V394" t="str">
        <f t="shared" si="106"/>
        <v>1510</v>
      </c>
      <c r="W394" t="str">
        <f t="shared" si="104"/>
        <v>11</v>
      </c>
      <c r="X394" t="s">
        <v>75</v>
      </c>
      <c r="Y394" t="s">
        <v>76</v>
      </c>
      <c r="Z394" t="s">
        <v>180</v>
      </c>
      <c r="AA394" t="s">
        <v>181</v>
      </c>
      <c r="AB394" t="s">
        <v>79</v>
      </c>
      <c r="AD394" t="s">
        <v>80</v>
      </c>
      <c r="AE394" t="s">
        <v>81</v>
      </c>
      <c r="AF394" t="s">
        <v>82</v>
      </c>
      <c r="AG394" t="s">
        <v>83</v>
      </c>
      <c r="AH394" t="s">
        <v>84</v>
      </c>
      <c r="AI394" t="str">
        <f t="shared" si="105"/>
        <v>01</v>
      </c>
      <c r="AJ394" t="str">
        <f t="shared" si="100"/>
        <v>1</v>
      </c>
      <c r="AK394" t="s">
        <v>107</v>
      </c>
      <c r="AL394" t="s">
        <v>94</v>
      </c>
      <c r="AM394" t="s">
        <v>95</v>
      </c>
      <c r="AN394" t="str">
        <f t="shared" si="93"/>
        <v>.9700</v>
      </c>
      <c r="AO394" t="str">
        <f>"10.78"</f>
        <v>10.78</v>
      </c>
      <c r="AP394" t="s">
        <v>108</v>
      </c>
      <c r="AQ394" t="str">
        <f>"10.78"</f>
        <v>10.78</v>
      </c>
      <c r="AR394">
        <v>10</v>
      </c>
      <c r="AS394">
        <v>0</v>
      </c>
      <c r="AT394">
        <v>10</v>
      </c>
      <c r="AU394">
        <v>107.82</v>
      </c>
      <c r="AV394">
        <v>6.47</v>
      </c>
      <c r="AW394">
        <v>101.35</v>
      </c>
      <c r="AX394">
        <v>0</v>
      </c>
      <c r="AY394">
        <v>101.35</v>
      </c>
      <c r="AZ394">
        <v>0</v>
      </c>
    </row>
    <row r="395" spans="1:52">
      <c r="A395" t="s">
        <v>65</v>
      </c>
      <c r="B395" t="s">
        <v>66</v>
      </c>
      <c r="C395" t="s">
        <v>67</v>
      </c>
      <c r="D395" t="s">
        <v>68</v>
      </c>
      <c r="E395" t="s">
        <v>69</v>
      </c>
      <c r="F395" t="s">
        <v>70</v>
      </c>
      <c r="G395" t="s">
        <v>71</v>
      </c>
      <c r="H395" t="s">
        <v>70</v>
      </c>
      <c r="I395" t="str">
        <f t="shared" si="107"/>
        <v>1010</v>
      </c>
      <c r="J395" t="str">
        <f t="shared" si="108"/>
        <v>05</v>
      </c>
      <c r="K395" t="s">
        <v>68</v>
      </c>
      <c r="L395" t="s">
        <v>72</v>
      </c>
      <c r="M395" t="s">
        <v>68</v>
      </c>
      <c r="N395" t="s">
        <v>675</v>
      </c>
      <c r="O395" t="s">
        <v>676</v>
      </c>
      <c r="P395" t="str">
        <f>"3020660922"</f>
        <v>3020660922</v>
      </c>
      <c r="R395" t="str">
        <f>"00030206609226"</f>
        <v>00030206609226</v>
      </c>
      <c r="S395" s="1">
        <v>36480</v>
      </c>
      <c r="T395" s="1">
        <v>36466</v>
      </c>
      <c r="U395" t="str">
        <f>"3020660922"</f>
        <v>3020660922</v>
      </c>
      <c r="V395" t="str">
        <f t="shared" si="106"/>
        <v>1510</v>
      </c>
      <c r="W395" t="str">
        <f t="shared" si="104"/>
        <v>11</v>
      </c>
      <c r="X395" t="s">
        <v>75</v>
      </c>
      <c r="Y395" t="s">
        <v>76</v>
      </c>
      <c r="Z395" t="s">
        <v>180</v>
      </c>
      <c r="AA395" t="s">
        <v>181</v>
      </c>
      <c r="AB395" t="s">
        <v>79</v>
      </c>
      <c r="AD395" t="s">
        <v>80</v>
      </c>
      <c r="AE395" t="s">
        <v>81</v>
      </c>
      <c r="AF395" t="s">
        <v>82</v>
      </c>
      <c r="AG395" t="s">
        <v>83</v>
      </c>
      <c r="AH395" t="s">
        <v>84</v>
      </c>
      <c r="AI395" t="str">
        <f t="shared" si="105"/>
        <v>01</v>
      </c>
      <c r="AJ395" t="str">
        <f t="shared" si="100"/>
        <v>1</v>
      </c>
      <c r="AK395" t="s">
        <v>93</v>
      </c>
      <c r="AL395" t="s">
        <v>94</v>
      </c>
      <c r="AM395" t="s">
        <v>95</v>
      </c>
      <c r="AN395" t="str">
        <f t="shared" ref="AN395:AN452" si="109">".9700"</f>
        <v>.9700</v>
      </c>
      <c r="AO395" t="str">
        <f>"11.41"</f>
        <v>11.41</v>
      </c>
      <c r="AP395" t="s">
        <v>96</v>
      </c>
      <c r="AQ395" t="str">
        <f>"11.41"</f>
        <v>11.41</v>
      </c>
      <c r="AR395">
        <v>18</v>
      </c>
      <c r="AS395">
        <v>0</v>
      </c>
      <c r="AT395">
        <v>18</v>
      </c>
      <c r="AU395">
        <v>205.37</v>
      </c>
      <c r="AV395">
        <v>20.54</v>
      </c>
      <c r="AW395">
        <v>184.83</v>
      </c>
      <c r="AX395">
        <v>0</v>
      </c>
      <c r="AY395">
        <v>184.83</v>
      </c>
      <c r="AZ395">
        <v>0</v>
      </c>
    </row>
    <row r="396" spans="1:52">
      <c r="A396" t="s">
        <v>65</v>
      </c>
      <c r="B396" t="s">
        <v>66</v>
      </c>
      <c r="C396" t="s">
        <v>67</v>
      </c>
      <c r="D396" t="s">
        <v>68</v>
      </c>
      <c r="E396" t="s">
        <v>69</v>
      </c>
      <c r="F396" t="s">
        <v>70</v>
      </c>
      <c r="G396" t="s">
        <v>71</v>
      </c>
      <c r="H396" t="s">
        <v>70</v>
      </c>
      <c r="I396" t="str">
        <f t="shared" si="107"/>
        <v>1010</v>
      </c>
      <c r="J396" t="str">
        <f t="shared" si="108"/>
        <v>05</v>
      </c>
      <c r="K396" t="s">
        <v>68</v>
      </c>
      <c r="L396" t="s">
        <v>72</v>
      </c>
      <c r="M396" t="s">
        <v>68</v>
      </c>
      <c r="N396" t="s">
        <v>677</v>
      </c>
      <c r="O396" t="s">
        <v>678</v>
      </c>
      <c r="P396" t="str">
        <f>"3020661632"</f>
        <v>3020661632</v>
      </c>
      <c r="R396" t="str">
        <f>"00030206616323"</f>
        <v>00030206616323</v>
      </c>
      <c r="S396" s="1">
        <v>36837</v>
      </c>
      <c r="T396" s="1">
        <v>36823</v>
      </c>
      <c r="U396" t="str">
        <f>"3020661632"</f>
        <v>3020661632</v>
      </c>
      <c r="V396" t="str">
        <f t="shared" si="106"/>
        <v>1510</v>
      </c>
      <c r="W396" t="str">
        <f t="shared" si="104"/>
        <v>11</v>
      </c>
      <c r="X396" t="s">
        <v>75</v>
      </c>
      <c r="Y396" t="s">
        <v>76</v>
      </c>
      <c r="Z396" t="s">
        <v>180</v>
      </c>
      <c r="AA396" t="s">
        <v>181</v>
      </c>
      <c r="AB396" t="s">
        <v>79</v>
      </c>
      <c r="AD396" t="s">
        <v>80</v>
      </c>
      <c r="AE396" t="s">
        <v>81</v>
      </c>
      <c r="AF396" t="s">
        <v>82</v>
      </c>
      <c r="AG396" t="s">
        <v>83</v>
      </c>
      <c r="AH396" t="s">
        <v>84</v>
      </c>
      <c r="AI396" t="str">
        <f t="shared" si="105"/>
        <v>01</v>
      </c>
      <c r="AJ396" t="str">
        <f t="shared" si="100"/>
        <v>1</v>
      </c>
      <c r="AK396" t="s">
        <v>93</v>
      </c>
      <c r="AL396" t="s">
        <v>94</v>
      </c>
      <c r="AM396" t="s">
        <v>95</v>
      </c>
      <c r="AN396" t="str">
        <f t="shared" si="109"/>
        <v>.9700</v>
      </c>
      <c r="AO396" t="str">
        <f>"11.41"</f>
        <v>11.41</v>
      </c>
      <c r="AP396" t="s">
        <v>96</v>
      </c>
      <c r="AQ396" t="str">
        <f>"11.41"</f>
        <v>11.41</v>
      </c>
      <c r="AR396">
        <v>21</v>
      </c>
      <c r="AS396">
        <v>0</v>
      </c>
      <c r="AT396">
        <v>21</v>
      </c>
      <c r="AU396">
        <v>239.59</v>
      </c>
      <c r="AV396">
        <v>27.38</v>
      </c>
      <c r="AW396">
        <v>212.21</v>
      </c>
      <c r="AX396">
        <v>0</v>
      </c>
      <c r="AY396">
        <v>212.21</v>
      </c>
      <c r="AZ396">
        <v>0</v>
      </c>
    </row>
    <row r="397" spans="1:52">
      <c r="A397" t="s">
        <v>65</v>
      </c>
      <c r="B397" t="s">
        <v>66</v>
      </c>
      <c r="C397" t="s">
        <v>67</v>
      </c>
      <c r="D397" t="s">
        <v>68</v>
      </c>
      <c r="E397" t="s">
        <v>69</v>
      </c>
      <c r="F397" t="s">
        <v>70</v>
      </c>
      <c r="G397" t="s">
        <v>71</v>
      </c>
      <c r="H397" t="s">
        <v>70</v>
      </c>
      <c r="I397" t="str">
        <f t="shared" si="107"/>
        <v>1010</v>
      </c>
      <c r="J397" t="str">
        <f t="shared" si="108"/>
        <v>05</v>
      </c>
      <c r="K397" t="s">
        <v>68</v>
      </c>
      <c r="L397" t="s">
        <v>72</v>
      </c>
      <c r="M397" t="s">
        <v>68</v>
      </c>
      <c r="N397" t="s">
        <v>679</v>
      </c>
      <c r="O397" t="s">
        <v>680</v>
      </c>
      <c r="P397" t="str">
        <f>"3020618102"</f>
        <v>3020618102</v>
      </c>
      <c r="R397" t="str">
        <f>"00030206181029"</f>
        <v>00030206181029</v>
      </c>
      <c r="S397" s="1">
        <v>40218</v>
      </c>
      <c r="T397" s="1">
        <v>40218</v>
      </c>
      <c r="U397" t="str">
        <f>"3020618102"</f>
        <v>3020618102</v>
      </c>
      <c r="V397" t="str">
        <f t="shared" si="106"/>
        <v>1510</v>
      </c>
      <c r="W397" t="str">
        <f t="shared" si="104"/>
        <v>11</v>
      </c>
      <c r="X397" t="s">
        <v>75</v>
      </c>
      <c r="Y397" t="s">
        <v>76</v>
      </c>
      <c r="Z397" t="s">
        <v>91</v>
      </c>
      <c r="AA397" t="s">
        <v>92</v>
      </c>
      <c r="AB397" t="s">
        <v>79</v>
      </c>
      <c r="AD397" t="s">
        <v>80</v>
      </c>
      <c r="AE397" t="s">
        <v>81</v>
      </c>
      <c r="AF397" t="s">
        <v>82</v>
      </c>
      <c r="AG397" t="s">
        <v>83</v>
      </c>
      <c r="AH397" t="s">
        <v>84</v>
      </c>
      <c r="AI397" t="str">
        <f t="shared" si="105"/>
        <v>01</v>
      </c>
      <c r="AJ397" t="str">
        <f t="shared" si="100"/>
        <v>1</v>
      </c>
      <c r="AK397" t="s">
        <v>207</v>
      </c>
      <c r="AL397" t="s">
        <v>162</v>
      </c>
      <c r="AM397" t="s">
        <v>208</v>
      </c>
      <c r="AN397" t="str">
        <f t="shared" si="109"/>
        <v>.9700</v>
      </c>
      <c r="AO397" t="str">
        <f>"5.99"</f>
        <v>5.99</v>
      </c>
      <c r="AP397" t="s">
        <v>209</v>
      </c>
      <c r="AQ397" t="str">
        <f>"5.99"</f>
        <v>5.99</v>
      </c>
      <c r="AR397">
        <v>18</v>
      </c>
      <c r="AS397">
        <v>0</v>
      </c>
      <c r="AT397">
        <v>18</v>
      </c>
      <c r="AU397">
        <v>107.8</v>
      </c>
      <c r="AV397">
        <v>10.3</v>
      </c>
      <c r="AW397">
        <v>97.5</v>
      </c>
      <c r="AX397">
        <v>0</v>
      </c>
      <c r="AY397">
        <v>97.5</v>
      </c>
      <c r="AZ397">
        <v>0</v>
      </c>
    </row>
    <row r="398" spans="1:52">
      <c r="A398" t="s">
        <v>65</v>
      </c>
      <c r="B398" t="s">
        <v>66</v>
      </c>
      <c r="C398" t="s">
        <v>67</v>
      </c>
      <c r="D398" t="s">
        <v>68</v>
      </c>
      <c r="E398" t="s">
        <v>69</v>
      </c>
      <c r="F398" t="s">
        <v>70</v>
      </c>
      <c r="G398" t="s">
        <v>71</v>
      </c>
      <c r="H398" t="s">
        <v>70</v>
      </c>
      <c r="I398" t="str">
        <f t="shared" si="107"/>
        <v>1010</v>
      </c>
      <c r="J398" t="str">
        <f t="shared" si="108"/>
        <v>05</v>
      </c>
      <c r="K398" t="s">
        <v>68</v>
      </c>
      <c r="L398" t="s">
        <v>72</v>
      </c>
      <c r="M398" t="s">
        <v>68</v>
      </c>
      <c r="N398" t="s">
        <v>681</v>
      </c>
      <c r="O398" t="s">
        <v>149</v>
      </c>
      <c r="P398" t="str">
        <f>"3020618402"</f>
        <v>3020618402</v>
      </c>
      <c r="R398" t="str">
        <f>"00030206184020"</f>
        <v>00030206184020</v>
      </c>
      <c r="S398" s="1">
        <v>40379</v>
      </c>
      <c r="T398" s="1">
        <v>40379</v>
      </c>
      <c r="U398" t="str">
        <f>"3020618402"</f>
        <v>3020618402</v>
      </c>
      <c r="V398" t="str">
        <f t="shared" si="106"/>
        <v>1510</v>
      </c>
      <c r="W398" t="str">
        <f t="shared" si="104"/>
        <v>11</v>
      </c>
      <c r="X398" t="s">
        <v>75</v>
      </c>
      <c r="Y398" t="s">
        <v>76</v>
      </c>
      <c r="Z398" t="s">
        <v>282</v>
      </c>
      <c r="AA398" t="s">
        <v>283</v>
      </c>
      <c r="AB398" t="s">
        <v>79</v>
      </c>
      <c r="AD398" t="s">
        <v>80</v>
      </c>
      <c r="AE398" t="s">
        <v>81</v>
      </c>
      <c r="AF398" t="s">
        <v>82</v>
      </c>
      <c r="AG398" t="s">
        <v>83</v>
      </c>
      <c r="AH398" t="s">
        <v>84</v>
      </c>
      <c r="AI398" t="str">
        <f t="shared" si="105"/>
        <v>01</v>
      </c>
      <c r="AJ398" t="str">
        <f t="shared" si="100"/>
        <v>1</v>
      </c>
      <c r="AK398" t="s">
        <v>154</v>
      </c>
      <c r="AL398" t="s">
        <v>86</v>
      </c>
      <c r="AM398" t="s">
        <v>87</v>
      </c>
      <c r="AN398" t="str">
        <f t="shared" si="109"/>
        <v>.9700</v>
      </c>
      <c r="AO398" t="str">
        <f>"7.25"</f>
        <v>7.25</v>
      </c>
      <c r="AP398" t="s">
        <v>156</v>
      </c>
      <c r="AQ398" t="str">
        <f>"7.25"</f>
        <v>7.25</v>
      </c>
      <c r="AR398">
        <v>31</v>
      </c>
      <c r="AS398">
        <v>-4</v>
      </c>
      <c r="AT398">
        <v>27</v>
      </c>
      <c r="AU398">
        <v>223.83</v>
      </c>
      <c r="AV398">
        <v>21.77</v>
      </c>
      <c r="AW398">
        <v>202.06</v>
      </c>
      <c r="AX398">
        <v>-25.34</v>
      </c>
      <c r="AY398">
        <v>176.72</v>
      </c>
      <c r="AZ398">
        <v>0</v>
      </c>
    </row>
    <row r="399" spans="1:52">
      <c r="A399" t="s">
        <v>65</v>
      </c>
      <c r="B399" t="s">
        <v>66</v>
      </c>
      <c r="C399" t="s">
        <v>67</v>
      </c>
      <c r="D399" t="s">
        <v>68</v>
      </c>
      <c r="E399" t="s">
        <v>69</v>
      </c>
      <c r="F399" t="s">
        <v>70</v>
      </c>
      <c r="G399" t="s">
        <v>71</v>
      </c>
      <c r="H399" t="s">
        <v>70</v>
      </c>
      <c r="I399" t="str">
        <f t="shared" si="107"/>
        <v>1010</v>
      </c>
      <c r="J399" t="str">
        <f t="shared" si="108"/>
        <v>05</v>
      </c>
      <c r="K399" t="s">
        <v>68</v>
      </c>
      <c r="L399" t="s">
        <v>72</v>
      </c>
      <c r="M399" t="s">
        <v>68</v>
      </c>
      <c r="N399" t="s">
        <v>682</v>
      </c>
      <c r="O399" t="s">
        <v>300</v>
      </c>
      <c r="P399" t="str">
        <f>"3020665752"</f>
        <v>3020665752</v>
      </c>
      <c r="R399" t="str">
        <f>"00030206657524"</f>
        <v>00030206657524</v>
      </c>
      <c r="S399" s="1">
        <v>38209</v>
      </c>
      <c r="T399" s="1">
        <v>38209</v>
      </c>
      <c r="U399" t="str">
        <f>"3020665752"</f>
        <v>3020665752</v>
      </c>
      <c r="V399" t="str">
        <f t="shared" si="106"/>
        <v>1510</v>
      </c>
      <c r="W399" t="str">
        <f t="shared" si="104"/>
        <v>11</v>
      </c>
      <c r="X399" t="s">
        <v>75</v>
      </c>
      <c r="Y399" t="s">
        <v>76</v>
      </c>
      <c r="Z399" t="s">
        <v>126</v>
      </c>
      <c r="AA399" t="s">
        <v>127</v>
      </c>
      <c r="AB399" t="s">
        <v>79</v>
      </c>
      <c r="AD399" t="s">
        <v>80</v>
      </c>
      <c r="AE399" t="s">
        <v>81</v>
      </c>
      <c r="AF399" t="s">
        <v>82</v>
      </c>
      <c r="AG399" t="s">
        <v>83</v>
      </c>
      <c r="AH399" t="s">
        <v>84</v>
      </c>
      <c r="AI399" t="str">
        <f t="shared" si="105"/>
        <v>01</v>
      </c>
      <c r="AJ399" t="str">
        <f t="shared" si="100"/>
        <v>1</v>
      </c>
      <c r="AK399" t="s">
        <v>101</v>
      </c>
      <c r="AL399" t="s">
        <v>94</v>
      </c>
      <c r="AM399" t="s">
        <v>95</v>
      </c>
      <c r="AN399" t="str">
        <f t="shared" si="109"/>
        <v>.9700</v>
      </c>
      <c r="AO399" t="str">
        <f>"9.07"</f>
        <v>9.07</v>
      </c>
      <c r="AP399" t="s">
        <v>102</v>
      </c>
      <c r="AQ399" t="str">
        <f>"9.07"</f>
        <v>9.07</v>
      </c>
      <c r="AR399">
        <v>18</v>
      </c>
      <c r="AS399">
        <v>0</v>
      </c>
      <c r="AT399">
        <v>18</v>
      </c>
      <c r="AU399">
        <v>163.22999999999999</v>
      </c>
      <c r="AV399">
        <v>18.5</v>
      </c>
      <c r="AW399">
        <v>144.72999999999999</v>
      </c>
      <c r="AX399">
        <v>0</v>
      </c>
      <c r="AY399">
        <v>144.72999999999999</v>
      </c>
      <c r="AZ399">
        <v>0</v>
      </c>
    </row>
    <row r="400" spans="1:52">
      <c r="A400" t="s">
        <v>65</v>
      </c>
      <c r="B400" t="s">
        <v>66</v>
      </c>
      <c r="C400" t="s">
        <v>67</v>
      </c>
      <c r="D400" t="s">
        <v>68</v>
      </c>
      <c r="E400" t="s">
        <v>69</v>
      </c>
      <c r="F400" t="s">
        <v>70</v>
      </c>
      <c r="G400" t="s">
        <v>71</v>
      </c>
      <c r="H400" t="s">
        <v>70</v>
      </c>
      <c r="I400" t="str">
        <f t="shared" si="107"/>
        <v>1010</v>
      </c>
      <c r="J400" t="str">
        <f t="shared" si="108"/>
        <v>05</v>
      </c>
      <c r="K400" t="s">
        <v>68</v>
      </c>
      <c r="L400" t="s">
        <v>72</v>
      </c>
      <c r="M400" t="s">
        <v>68</v>
      </c>
      <c r="N400" t="s">
        <v>683</v>
      </c>
      <c r="O400" t="s">
        <v>684</v>
      </c>
      <c r="P400" t="str">
        <f>"3020619192"</f>
        <v>3020619192</v>
      </c>
      <c r="R400" t="str">
        <f>"00030206191929"</f>
        <v>00030206191929</v>
      </c>
      <c r="S400" s="1">
        <v>41107</v>
      </c>
      <c r="T400" s="1">
        <v>41107</v>
      </c>
      <c r="U400" t="str">
        <f>"3020619192"</f>
        <v>3020619192</v>
      </c>
      <c r="V400" t="str">
        <f t="shared" si="106"/>
        <v>1510</v>
      </c>
      <c r="W400" t="str">
        <f t="shared" si="104"/>
        <v>11</v>
      </c>
      <c r="X400" t="s">
        <v>75</v>
      </c>
      <c r="Y400" t="s">
        <v>76</v>
      </c>
      <c r="Z400" t="s">
        <v>121</v>
      </c>
      <c r="AA400" t="s">
        <v>122</v>
      </c>
      <c r="AB400" t="s">
        <v>79</v>
      </c>
      <c r="AD400" t="s">
        <v>80</v>
      </c>
      <c r="AE400" t="s">
        <v>81</v>
      </c>
      <c r="AF400" t="s">
        <v>82</v>
      </c>
      <c r="AG400" t="s">
        <v>83</v>
      </c>
      <c r="AH400" t="s">
        <v>84</v>
      </c>
      <c r="AI400" t="str">
        <f t="shared" si="105"/>
        <v>01</v>
      </c>
      <c r="AJ400" t="str">
        <f t="shared" si="100"/>
        <v>1</v>
      </c>
      <c r="AK400" t="s">
        <v>101</v>
      </c>
      <c r="AL400" t="s">
        <v>94</v>
      </c>
      <c r="AM400" t="s">
        <v>95</v>
      </c>
      <c r="AN400" t="str">
        <f t="shared" si="109"/>
        <v>.9700</v>
      </c>
      <c r="AO400" t="str">
        <f>"9.07"</f>
        <v>9.07</v>
      </c>
      <c r="AP400" t="s">
        <v>102</v>
      </c>
      <c r="AQ400" t="str">
        <f>"9.07"</f>
        <v>9.07</v>
      </c>
      <c r="AR400">
        <v>0</v>
      </c>
      <c r="AS400">
        <v>-3</v>
      </c>
      <c r="AT400">
        <v>-3</v>
      </c>
      <c r="AU400">
        <v>0</v>
      </c>
      <c r="AV400">
        <v>0</v>
      </c>
      <c r="AW400">
        <v>0</v>
      </c>
      <c r="AX400">
        <v>-20.39</v>
      </c>
      <c r="AY400">
        <v>-20.39</v>
      </c>
      <c r="AZ400">
        <v>0</v>
      </c>
    </row>
    <row r="401" spans="1:52">
      <c r="A401" t="s">
        <v>65</v>
      </c>
      <c r="B401" t="s">
        <v>66</v>
      </c>
      <c r="C401" t="s">
        <v>67</v>
      </c>
      <c r="D401" t="s">
        <v>68</v>
      </c>
      <c r="E401" t="s">
        <v>69</v>
      </c>
      <c r="F401" t="s">
        <v>70</v>
      </c>
      <c r="G401" t="s">
        <v>71</v>
      </c>
      <c r="H401" t="s">
        <v>70</v>
      </c>
      <c r="I401" t="str">
        <f t="shared" si="107"/>
        <v>1010</v>
      </c>
      <c r="J401" t="str">
        <f t="shared" si="108"/>
        <v>05</v>
      </c>
      <c r="K401" t="s">
        <v>68</v>
      </c>
      <c r="L401" t="s">
        <v>72</v>
      </c>
      <c r="M401" t="s">
        <v>68</v>
      </c>
      <c r="N401" t="s">
        <v>685</v>
      </c>
      <c r="O401" t="s">
        <v>686</v>
      </c>
      <c r="P401" t="str">
        <f>"3020619582"</f>
        <v>3020619582</v>
      </c>
      <c r="R401" t="str">
        <f>"00030206195828"</f>
        <v>00030206195828</v>
      </c>
      <c r="S401" s="1">
        <v>41450</v>
      </c>
      <c r="T401" s="1">
        <v>41436</v>
      </c>
      <c r="U401" t="str">
        <f>"3020619582"</f>
        <v>3020619582</v>
      </c>
      <c r="V401" t="str">
        <f>"1010"</f>
        <v>1010</v>
      </c>
      <c r="W401" t="str">
        <f t="shared" si="104"/>
        <v>11</v>
      </c>
      <c r="X401" t="s">
        <v>75</v>
      </c>
      <c r="Y401" t="s">
        <v>173</v>
      </c>
      <c r="Z401" t="s">
        <v>105</v>
      </c>
      <c r="AA401" t="s">
        <v>106</v>
      </c>
      <c r="AB401" t="s">
        <v>79</v>
      </c>
      <c r="AD401" t="s">
        <v>80</v>
      </c>
      <c r="AE401" t="s">
        <v>81</v>
      </c>
      <c r="AF401" t="s">
        <v>82</v>
      </c>
      <c r="AG401" t="s">
        <v>83</v>
      </c>
      <c r="AH401" t="s">
        <v>84</v>
      </c>
      <c r="AJ401" t="str">
        <f t="shared" si="100"/>
        <v>1</v>
      </c>
      <c r="AK401" t="s">
        <v>85</v>
      </c>
      <c r="AL401" t="s">
        <v>86</v>
      </c>
      <c r="AM401" t="s">
        <v>87</v>
      </c>
      <c r="AN401" t="str">
        <f t="shared" si="109"/>
        <v>.9700</v>
      </c>
      <c r="AO401" t="str">
        <f>"7.50"</f>
        <v>7.50</v>
      </c>
      <c r="AP401" t="s">
        <v>88</v>
      </c>
      <c r="AQ401" t="str">
        <f>"7.50"</f>
        <v>7.50</v>
      </c>
      <c r="AR401">
        <v>10</v>
      </c>
      <c r="AS401">
        <v>-3</v>
      </c>
      <c r="AT401">
        <v>7</v>
      </c>
      <c r="AU401">
        <v>75</v>
      </c>
      <c r="AV401">
        <v>6</v>
      </c>
      <c r="AW401">
        <v>69</v>
      </c>
      <c r="AX401">
        <v>-18.329999999999998</v>
      </c>
      <c r="AY401">
        <v>50.67</v>
      </c>
      <c r="AZ401">
        <v>0</v>
      </c>
    </row>
    <row r="402" spans="1:52">
      <c r="A402" t="s">
        <v>65</v>
      </c>
      <c r="B402" t="s">
        <v>66</v>
      </c>
      <c r="C402" t="s">
        <v>67</v>
      </c>
      <c r="D402" t="s">
        <v>68</v>
      </c>
      <c r="E402" t="s">
        <v>69</v>
      </c>
      <c r="F402" t="s">
        <v>70</v>
      </c>
      <c r="G402" t="s">
        <v>71</v>
      </c>
      <c r="H402" t="s">
        <v>70</v>
      </c>
      <c r="I402" t="str">
        <f t="shared" si="107"/>
        <v>1010</v>
      </c>
      <c r="J402" t="str">
        <f t="shared" si="108"/>
        <v>05</v>
      </c>
      <c r="K402" t="s">
        <v>68</v>
      </c>
      <c r="L402" t="s">
        <v>72</v>
      </c>
      <c r="M402" t="s">
        <v>68</v>
      </c>
      <c r="N402" t="s">
        <v>687</v>
      </c>
      <c r="O402" t="s">
        <v>688</v>
      </c>
      <c r="P402" t="str">
        <f>"3020618952"</f>
        <v>3020618952</v>
      </c>
      <c r="R402" t="str">
        <f>"00030206189520"</f>
        <v>00030206189520</v>
      </c>
      <c r="S402" s="1">
        <v>40834</v>
      </c>
      <c r="T402" s="1">
        <v>40834</v>
      </c>
      <c r="U402" t="str">
        <f>"3020618952"</f>
        <v>3020618952</v>
      </c>
      <c r="V402" t="str">
        <f>"1510"</f>
        <v>1510</v>
      </c>
      <c r="W402" t="str">
        <f t="shared" si="104"/>
        <v>11</v>
      </c>
      <c r="X402" t="s">
        <v>75</v>
      </c>
      <c r="Y402" t="s">
        <v>76</v>
      </c>
      <c r="Z402" t="s">
        <v>121</v>
      </c>
      <c r="AA402" t="s">
        <v>122</v>
      </c>
      <c r="AB402" t="s">
        <v>79</v>
      </c>
      <c r="AD402" t="s">
        <v>80</v>
      </c>
      <c r="AE402" t="s">
        <v>81</v>
      </c>
      <c r="AF402" t="s">
        <v>82</v>
      </c>
      <c r="AG402" t="s">
        <v>83</v>
      </c>
      <c r="AH402" t="s">
        <v>84</v>
      </c>
      <c r="AI402" t="str">
        <f>"01"</f>
        <v>01</v>
      </c>
      <c r="AJ402" t="str">
        <f t="shared" si="100"/>
        <v>1</v>
      </c>
      <c r="AK402" t="s">
        <v>114</v>
      </c>
      <c r="AL402" t="s">
        <v>86</v>
      </c>
      <c r="AM402" t="s">
        <v>87</v>
      </c>
      <c r="AN402" t="str">
        <f t="shared" si="109"/>
        <v>.9700</v>
      </c>
      <c r="AO402" t="str">
        <f>"7.00"</f>
        <v>7.00</v>
      </c>
      <c r="AP402" t="s">
        <v>115</v>
      </c>
      <c r="AQ402" t="str">
        <f>"7.00"</f>
        <v>7.00</v>
      </c>
      <c r="AR402">
        <v>19</v>
      </c>
      <c r="AS402">
        <v>-6</v>
      </c>
      <c r="AT402">
        <v>13</v>
      </c>
      <c r="AU402">
        <v>133</v>
      </c>
      <c r="AV402">
        <v>11.9</v>
      </c>
      <c r="AW402">
        <v>121.1</v>
      </c>
      <c r="AX402">
        <v>-35.700000000000003</v>
      </c>
      <c r="AY402">
        <v>85.4</v>
      </c>
      <c r="AZ402">
        <v>0</v>
      </c>
    </row>
    <row r="403" spans="1:52">
      <c r="A403" t="s">
        <v>65</v>
      </c>
      <c r="B403" t="s">
        <v>66</v>
      </c>
      <c r="C403" t="s">
        <v>67</v>
      </c>
      <c r="D403" t="s">
        <v>68</v>
      </c>
      <c r="E403" t="s">
        <v>69</v>
      </c>
      <c r="F403" t="s">
        <v>70</v>
      </c>
      <c r="G403" t="s">
        <v>71</v>
      </c>
      <c r="H403" t="s">
        <v>70</v>
      </c>
      <c r="I403" t="str">
        <f t="shared" si="107"/>
        <v>1010</v>
      </c>
      <c r="J403" t="str">
        <f t="shared" si="108"/>
        <v>05</v>
      </c>
      <c r="K403" t="s">
        <v>68</v>
      </c>
      <c r="L403" t="s">
        <v>72</v>
      </c>
      <c r="M403" t="s">
        <v>68</v>
      </c>
      <c r="N403" t="s">
        <v>689</v>
      </c>
      <c r="O403" t="s">
        <v>185</v>
      </c>
      <c r="P403" t="str">
        <f>"3020662102"</f>
        <v>3020662102</v>
      </c>
      <c r="R403" t="str">
        <f>"00030206621020"</f>
        <v>00030206621020</v>
      </c>
      <c r="S403" s="1">
        <v>36984</v>
      </c>
      <c r="T403" s="1">
        <v>36984</v>
      </c>
      <c r="U403" t="str">
        <f>"3020662102"</f>
        <v>3020662102</v>
      </c>
      <c r="V403" t="str">
        <f>"1510"</f>
        <v>1510</v>
      </c>
      <c r="W403" t="str">
        <f t="shared" si="104"/>
        <v>11</v>
      </c>
      <c r="X403" t="s">
        <v>75</v>
      </c>
      <c r="Y403" t="s">
        <v>76</v>
      </c>
      <c r="Z403" t="s">
        <v>105</v>
      </c>
      <c r="AA403" t="s">
        <v>106</v>
      </c>
      <c r="AB403" t="s">
        <v>79</v>
      </c>
      <c r="AD403" t="s">
        <v>80</v>
      </c>
      <c r="AE403" t="s">
        <v>81</v>
      </c>
      <c r="AF403" t="s">
        <v>82</v>
      </c>
      <c r="AG403" t="s">
        <v>83</v>
      </c>
      <c r="AH403" t="s">
        <v>84</v>
      </c>
      <c r="AI403" t="str">
        <f>"01"</f>
        <v>01</v>
      </c>
      <c r="AJ403" t="str">
        <f t="shared" si="100"/>
        <v>1</v>
      </c>
      <c r="AK403" t="s">
        <v>93</v>
      </c>
      <c r="AL403" t="s">
        <v>94</v>
      </c>
      <c r="AM403" t="s">
        <v>95</v>
      </c>
      <c r="AN403" t="str">
        <f t="shared" si="109"/>
        <v>.9700</v>
      </c>
      <c r="AO403" t="str">
        <f>"11.41"</f>
        <v>11.41</v>
      </c>
      <c r="AP403" t="s">
        <v>96</v>
      </c>
      <c r="AQ403" t="str">
        <f>"11.41"</f>
        <v>11.41</v>
      </c>
      <c r="AR403">
        <v>152</v>
      </c>
      <c r="AS403">
        <v>-2</v>
      </c>
      <c r="AT403">
        <v>150</v>
      </c>
      <c r="AU403">
        <v>1734.21</v>
      </c>
      <c r="AV403">
        <v>175.25</v>
      </c>
      <c r="AW403">
        <v>1558.96</v>
      </c>
      <c r="AX403">
        <v>-20.53</v>
      </c>
      <c r="AY403">
        <v>1538.43</v>
      </c>
      <c r="AZ403">
        <v>0</v>
      </c>
    </row>
    <row r="404" spans="1:52">
      <c r="A404" t="s">
        <v>65</v>
      </c>
      <c r="B404" t="s">
        <v>66</v>
      </c>
      <c r="C404" t="s">
        <v>67</v>
      </c>
      <c r="D404" t="s">
        <v>68</v>
      </c>
      <c r="E404" t="s">
        <v>69</v>
      </c>
      <c r="F404" t="s">
        <v>70</v>
      </c>
      <c r="G404" t="s">
        <v>71</v>
      </c>
      <c r="H404" t="s">
        <v>70</v>
      </c>
      <c r="I404" t="str">
        <f t="shared" si="107"/>
        <v>1010</v>
      </c>
      <c r="J404" t="str">
        <f t="shared" si="108"/>
        <v>05</v>
      </c>
      <c r="K404" t="s">
        <v>68</v>
      </c>
      <c r="L404" t="s">
        <v>72</v>
      </c>
      <c r="M404" t="s">
        <v>68</v>
      </c>
      <c r="N404" t="s">
        <v>690</v>
      </c>
      <c r="O404" t="s">
        <v>691</v>
      </c>
      <c r="P404" t="str">
        <f>"3020619302"</f>
        <v>3020619302</v>
      </c>
      <c r="R404" t="str">
        <f>"00030206193022"</f>
        <v>00030206193022</v>
      </c>
      <c r="S404" s="1">
        <v>41142</v>
      </c>
      <c r="T404" s="1">
        <v>41142</v>
      </c>
      <c r="U404" t="str">
        <f>"3020619302"</f>
        <v>3020619302</v>
      </c>
      <c r="V404" t="str">
        <f>"1510"</f>
        <v>1510</v>
      </c>
      <c r="W404" t="str">
        <f t="shared" si="104"/>
        <v>11</v>
      </c>
      <c r="X404" t="s">
        <v>75</v>
      </c>
      <c r="Y404" t="s">
        <v>76</v>
      </c>
      <c r="Z404" t="s">
        <v>105</v>
      </c>
      <c r="AA404" t="s">
        <v>106</v>
      </c>
      <c r="AB404" t="s">
        <v>79</v>
      </c>
      <c r="AD404" t="s">
        <v>80</v>
      </c>
      <c r="AE404" t="s">
        <v>81</v>
      </c>
      <c r="AF404" t="s">
        <v>82</v>
      </c>
      <c r="AG404" t="s">
        <v>83</v>
      </c>
      <c r="AH404" t="s">
        <v>84</v>
      </c>
      <c r="AI404" t="str">
        <f>"01"</f>
        <v>01</v>
      </c>
      <c r="AJ404" t="str">
        <f t="shared" si="100"/>
        <v>1</v>
      </c>
      <c r="AK404" t="s">
        <v>114</v>
      </c>
      <c r="AL404" t="s">
        <v>162</v>
      </c>
      <c r="AM404" t="s">
        <v>87</v>
      </c>
      <c r="AN404" t="str">
        <f t="shared" si="109"/>
        <v>.9700</v>
      </c>
      <c r="AO404" t="str">
        <f>"7.00"</f>
        <v>7.00</v>
      </c>
      <c r="AP404" t="s">
        <v>115</v>
      </c>
      <c r="AQ404" t="str">
        <f>"7.00"</f>
        <v>7.00</v>
      </c>
      <c r="AR404">
        <v>0</v>
      </c>
      <c r="AS404">
        <v>-1</v>
      </c>
      <c r="AT404">
        <v>-1</v>
      </c>
      <c r="AU404">
        <v>0</v>
      </c>
      <c r="AV404">
        <v>0</v>
      </c>
      <c r="AW404">
        <v>0</v>
      </c>
      <c r="AX404">
        <v>-5.6</v>
      </c>
      <c r="AY404">
        <v>-5.6</v>
      </c>
      <c r="AZ404">
        <v>0</v>
      </c>
    </row>
    <row r="405" spans="1:52">
      <c r="A405" t="s">
        <v>65</v>
      </c>
      <c r="B405" t="s">
        <v>66</v>
      </c>
      <c r="C405" t="s">
        <v>67</v>
      </c>
      <c r="D405" t="s">
        <v>68</v>
      </c>
      <c r="E405" t="s">
        <v>69</v>
      </c>
      <c r="F405" t="s">
        <v>70</v>
      </c>
      <c r="G405" t="s">
        <v>71</v>
      </c>
      <c r="H405" t="s">
        <v>70</v>
      </c>
      <c r="I405" t="str">
        <f t="shared" si="107"/>
        <v>1010</v>
      </c>
      <c r="J405" t="str">
        <f t="shared" si="108"/>
        <v>05</v>
      </c>
      <c r="K405" t="s">
        <v>68</v>
      </c>
      <c r="L405" t="s">
        <v>72</v>
      </c>
      <c r="M405" t="s">
        <v>68</v>
      </c>
      <c r="N405" t="s">
        <v>692</v>
      </c>
      <c r="O405" t="s">
        <v>245</v>
      </c>
      <c r="P405" t="str">
        <f>"3020618332"</f>
        <v>3020618332</v>
      </c>
      <c r="R405" t="str">
        <f>"00030206183320"</f>
        <v>00030206183320</v>
      </c>
      <c r="S405" s="1">
        <v>40350</v>
      </c>
      <c r="T405" s="1">
        <v>40344</v>
      </c>
      <c r="U405" t="str">
        <f>"3020618332"</f>
        <v>3020618332</v>
      </c>
      <c r="V405" t="str">
        <f>"1510"</f>
        <v>1510</v>
      </c>
      <c r="W405" t="str">
        <f t="shared" si="104"/>
        <v>11</v>
      </c>
      <c r="X405" t="s">
        <v>75</v>
      </c>
      <c r="Y405" t="s">
        <v>76</v>
      </c>
      <c r="Z405" t="s">
        <v>282</v>
      </c>
      <c r="AA405" t="s">
        <v>283</v>
      </c>
      <c r="AB405" t="s">
        <v>79</v>
      </c>
      <c r="AD405" t="s">
        <v>80</v>
      </c>
      <c r="AE405" t="s">
        <v>81</v>
      </c>
      <c r="AF405" t="s">
        <v>82</v>
      </c>
      <c r="AG405" t="s">
        <v>83</v>
      </c>
      <c r="AH405" t="s">
        <v>84</v>
      </c>
      <c r="AI405" t="str">
        <f>"01"</f>
        <v>01</v>
      </c>
      <c r="AJ405" t="str">
        <f t="shared" si="100"/>
        <v>1</v>
      </c>
      <c r="AK405" t="s">
        <v>85</v>
      </c>
      <c r="AL405" t="s">
        <v>86</v>
      </c>
      <c r="AM405" t="s">
        <v>87</v>
      </c>
      <c r="AN405" t="str">
        <f t="shared" si="109"/>
        <v>.9700</v>
      </c>
      <c r="AO405" t="str">
        <f>"7.50"</f>
        <v>7.50</v>
      </c>
      <c r="AP405" t="s">
        <v>88</v>
      </c>
      <c r="AQ405" t="str">
        <f>"7.50"</f>
        <v>7.50</v>
      </c>
      <c r="AR405">
        <v>0</v>
      </c>
      <c r="AS405">
        <v>-4</v>
      </c>
      <c r="AT405">
        <v>-4</v>
      </c>
      <c r="AU405">
        <v>0</v>
      </c>
      <c r="AV405">
        <v>0</v>
      </c>
      <c r="AW405">
        <v>0</v>
      </c>
      <c r="AX405">
        <v>-24.75</v>
      </c>
      <c r="AY405">
        <v>-24.75</v>
      </c>
      <c r="AZ405">
        <v>0</v>
      </c>
    </row>
    <row r="406" spans="1:52">
      <c r="A406" t="s">
        <v>65</v>
      </c>
      <c r="B406" t="s">
        <v>66</v>
      </c>
      <c r="C406" t="s">
        <v>67</v>
      </c>
      <c r="D406" t="s">
        <v>68</v>
      </c>
      <c r="E406" t="s">
        <v>69</v>
      </c>
      <c r="F406" t="s">
        <v>70</v>
      </c>
      <c r="G406" t="s">
        <v>71</v>
      </c>
      <c r="H406" t="s">
        <v>70</v>
      </c>
      <c r="I406" t="str">
        <f t="shared" si="107"/>
        <v>1010</v>
      </c>
      <c r="J406" t="str">
        <f t="shared" si="108"/>
        <v>05</v>
      </c>
      <c r="K406" t="s">
        <v>68</v>
      </c>
      <c r="L406" t="s">
        <v>72</v>
      </c>
      <c r="M406" t="s">
        <v>68</v>
      </c>
      <c r="N406" t="s">
        <v>693</v>
      </c>
      <c r="O406" t="s">
        <v>206</v>
      </c>
      <c r="P406" t="str">
        <f>"3020619452"</f>
        <v>3020619452</v>
      </c>
      <c r="R406" t="str">
        <f>"00030206194524"</f>
        <v>00030206194524</v>
      </c>
      <c r="S406" s="1">
        <v>41310</v>
      </c>
      <c r="T406" s="1">
        <v>41303</v>
      </c>
      <c r="U406" t="str">
        <f>"3020619452"</f>
        <v>3020619452</v>
      </c>
      <c r="V406" t="str">
        <f>"1010"</f>
        <v>1010</v>
      </c>
      <c r="W406" t="str">
        <f t="shared" si="104"/>
        <v>11</v>
      </c>
      <c r="X406" t="s">
        <v>75</v>
      </c>
      <c r="Y406" t="s">
        <v>173</v>
      </c>
      <c r="Z406" t="s">
        <v>105</v>
      </c>
      <c r="AA406" t="s">
        <v>106</v>
      </c>
      <c r="AB406" t="s">
        <v>79</v>
      </c>
      <c r="AD406" t="s">
        <v>80</v>
      </c>
      <c r="AE406" t="s">
        <v>81</v>
      </c>
      <c r="AF406" t="s">
        <v>82</v>
      </c>
      <c r="AG406" t="s">
        <v>83</v>
      </c>
      <c r="AH406" t="s">
        <v>84</v>
      </c>
      <c r="AJ406" t="str">
        <f t="shared" si="100"/>
        <v>1</v>
      </c>
      <c r="AK406" t="s">
        <v>114</v>
      </c>
      <c r="AL406" t="s">
        <v>86</v>
      </c>
      <c r="AM406" t="s">
        <v>87</v>
      </c>
      <c r="AN406" t="str">
        <f t="shared" si="109"/>
        <v>.9700</v>
      </c>
      <c r="AO406" t="str">
        <f>"7.00"</f>
        <v>7.00</v>
      </c>
      <c r="AP406" t="s">
        <v>115</v>
      </c>
      <c r="AQ406" t="str">
        <f>"7.00"</f>
        <v>7.00</v>
      </c>
      <c r="AR406">
        <v>5</v>
      </c>
      <c r="AS406">
        <v>-6</v>
      </c>
      <c r="AT406">
        <v>-1</v>
      </c>
      <c r="AU406">
        <v>35</v>
      </c>
      <c r="AV406">
        <v>2.1</v>
      </c>
      <c r="AW406">
        <v>32.9</v>
      </c>
      <c r="AX406">
        <v>-34.58</v>
      </c>
      <c r="AY406">
        <v>-1.68</v>
      </c>
      <c r="AZ406">
        <v>0</v>
      </c>
    </row>
    <row r="407" spans="1:52">
      <c r="A407" t="s">
        <v>65</v>
      </c>
      <c r="B407" t="s">
        <v>66</v>
      </c>
      <c r="C407" t="s">
        <v>67</v>
      </c>
      <c r="D407" t="s">
        <v>68</v>
      </c>
      <c r="E407" t="s">
        <v>69</v>
      </c>
      <c r="F407" t="s">
        <v>70</v>
      </c>
      <c r="G407" t="s">
        <v>71</v>
      </c>
      <c r="H407" t="s">
        <v>70</v>
      </c>
      <c r="I407" t="str">
        <f t="shared" si="107"/>
        <v>1010</v>
      </c>
      <c r="J407" t="str">
        <f t="shared" si="108"/>
        <v>05</v>
      </c>
      <c r="K407" t="s">
        <v>68</v>
      </c>
      <c r="L407" t="s">
        <v>72</v>
      </c>
      <c r="M407" t="s">
        <v>68</v>
      </c>
      <c r="N407" t="s">
        <v>694</v>
      </c>
      <c r="O407" t="s">
        <v>104</v>
      </c>
      <c r="P407" t="str">
        <f>"3020619462"</f>
        <v>3020619462</v>
      </c>
      <c r="R407" t="str">
        <f>"00030206194623"</f>
        <v>00030206194623</v>
      </c>
      <c r="S407" s="1">
        <v>41310</v>
      </c>
      <c r="T407" s="1">
        <v>41303</v>
      </c>
      <c r="U407" t="str">
        <f>"3020619462"</f>
        <v>3020619462</v>
      </c>
      <c r="V407" t="str">
        <f>"1010"</f>
        <v>1010</v>
      </c>
      <c r="W407" t="str">
        <f t="shared" si="104"/>
        <v>11</v>
      </c>
      <c r="X407" t="s">
        <v>75</v>
      </c>
      <c r="Y407" t="s">
        <v>173</v>
      </c>
      <c r="Z407" t="s">
        <v>105</v>
      </c>
      <c r="AA407" t="s">
        <v>106</v>
      </c>
      <c r="AB407" t="s">
        <v>79</v>
      </c>
      <c r="AD407" t="s">
        <v>80</v>
      </c>
      <c r="AE407" t="s">
        <v>81</v>
      </c>
      <c r="AF407" t="s">
        <v>82</v>
      </c>
      <c r="AG407" t="s">
        <v>83</v>
      </c>
      <c r="AH407" t="s">
        <v>84</v>
      </c>
      <c r="AJ407" t="str">
        <f t="shared" si="100"/>
        <v>1</v>
      </c>
      <c r="AK407" t="s">
        <v>85</v>
      </c>
      <c r="AL407" t="s">
        <v>86</v>
      </c>
      <c r="AM407" t="s">
        <v>87</v>
      </c>
      <c r="AN407" t="str">
        <f t="shared" si="109"/>
        <v>.9700</v>
      </c>
      <c r="AO407" t="str">
        <f>"7.50"</f>
        <v>7.50</v>
      </c>
      <c r="AP407" t="s">
        <v>88</v>
      </c>
      <c r="AQ407" t="str">
        <f>"7.50"</f>
        <v>7.50</v>
      </c>
      <c r="AR407">
        <v>31</v>
      </c>
      <c r="AS407">
        <v>-2</v>
      </c>
      <c r="AT407">
        <v>29</v>
      </c>
      <c r="AU407">
        <v>228.6</v>
      </c>
      <c r="AV407">
        <v>17.25</v>
      </c>
      <c r="AW407">
        <v>211.35</v>
      </c>
      <c r="AX407">
        <v>-12.35</v>
      </c>
      <c r="AY407">
        <v>199</v>
      </c>
      <c r="AZ407">
        <v>0</v>
      </c>
    </row>
    <row r="408" spans="1:52">
      <c r="A408" t="s">
        <v>65</v>
      </c>
      <c r="B408" t="s">
        <v>66</v>
      </c>
      <c r="C408" t="s">
        <v>67</v>
      </c>
      <c r="D408" t="s">
        <v>68</v>
      </c>
      <c r="E408" t="s">
        <v>69</v>
      </c>
      <c r="F408" t="s">
        <v>70</v>
      </c>
      <c r="G408" t="s">
        <v>71</v>
      </c>
      <c r="H408" t="s">
        <v>70</v>
      </c>
      <c r="I408" t="str">
        <f t="shared" si="107"/>
        <v>1010</v>
      </c>
      <c r="J408" t="str">
        <f t="shared" si="108"/>
        <v>05</v>
      </c>
      <c r="K408" t="s">
        <v>68</v>
      </c>
      <c r="L408" t="s">
        <v>72</v>
      </c>
      <c r="M408" t="s">
        <v>68</v>
      </c>
      <c r="N408" t="s">
        <v>695</v>
      </c>
      <c r="O408" t="s">
        <v>696</v>
      </c>
      <c r="P408" t="s">
        <v>697</v>
      </c>
      <c r="R408" t="str">
        <f>"00030206582321"</f>
        <v>00030206582321</v>
      </c>
      <c r="S408" s="1">
        <v>35836</v>
      </c>
      <c r="T408" s="1">
        <v>35836</v>
      </c>
      <c r="U408" t="s">
        <v>697</v>
      </c>
      <c r="V408" t="str">
        <f t="shared" ref="V408:V414" si="110">"1510"</f>
        <v>1510</v>
      </c>
      <c r="W408" t="str">
        <f t="shared" si="104"/>
        <v>11</v>
      </c>
      <c r="X408" t="s">
        <v>75</v>
      </c>
      <c r="Y408" t="s">
        <v>76</v>
      </c>
      <c r="Z408" t="s">
        <v>169</v>
      </c>
      <c r="AA408" t="s">
        <v>170</v>
      </c>
      <c r="AB408" t="s">
        <v>79</v>
      </c>
      <c r="AD408" t="s">
        <v>80</v>
      </c>
      <c r="AE408" t="s">
        <v>81</v>
      </c>
      <c r="AF408" t="s">
        <v>82</v>
      </c>
      <c r="AG408" t="s">
        <v>83</v>
      </c>
      <c r="AH408" t="s">
        <v>84</v>
      </c>
      <c r="AI408" t="str">
        <f t="shared" ref="AI408:AI413" si="111">"01"</f>
        <v>01</v>
      </c>
      <c r="AJ408" t="str">
        <f t="shared" si="100"/>
        <v>1</v>
      </c>
      <c r="AK408" t="s">
        <v>101</v>
      </c>
      <c r="AL408" t="s">
        <v>94</v>
      </c>
      <c r="AM408" t="s">
        <v>95</v>
      </c>
      <c r="AN408" t="str">
        <f t="shared" si="109"/>
        <v>.9700</v>
      </c>
      <c r="AO408" t="str">
        <f>"9.07"</f>
        <v>9.07</v>
      </c>
      <c r="AP408" t="s">
        <v>102</v>
      </c>
      <c r="AQ408" t="str">
        <f>"9.07"</f>
        <v>9.07</v>
      </c>
      <c r="AR408">
        <v>0</v>
      </c>
      <c r="AS408">
        <v>-1</v>
      </c>
      <c r="AT408">
        <v>-1</v>
      </c>
      <c r="AU408">
        <v>0</v>
      </c>
      <c r="AV408">
        <v>0</v>
      </c>
      <c r="AW408">
        <v>0</v>
      </c>
      <c r="AX408">
        <v>-8.3800000000000008</v>
      </c>
      <c r="AY408">
        <v>-8.3800000000000008</v>
      </c>
      <c r="AZ408">
        <v>0</v>
      </c>
    </row>
    <row r="409" spans="1:52">
      <c r="A409" t="s">
        <v>65</v>
      </c>
      <c r="B409" t="s">
        <v>66</v>
      </c>
      <c r="C409" t="s">
        <v>67</v>
      </c>
      <c r="D409" t="s">
        <v>68</v>
      </c>
      <c r="E409" t="s">
        <v>69</v>
      </c>
      <c r="F409" t="s">
        <v>70</v>
      </c>
      <c r="G409" t="s">
        <v>71</v>
      </c>
      <c r="H409" t="s">
        <v>70</v>
      </c>
      <c r="I409" t="str">
        <f t="shared" si="107"/>
        <v>1010</v>
      </c>
      <c r="J409" t="str">
        <f t="shared" si="108"/>
        <v>05</v>
      </c>
      <c r="K409" t="s">
        <v>68</v>
      </c>
      <c r="L409" t="s">
        <v>72</v>
      </c>
      <c r="M409" t="s">
        <v>68</v>
      </c>
      <c r="N409" t="s">
        <v>698</v>
      </c>
      <c r="O409" t="s">
        <v>699</v>
      </c>
      <c r="P409" t="str">
        <f>"3020618942"</f>
        <v>3020618942</v>
      </c>
      <c r="R409" t="str">
        <f>"00030206189421"</f>
        <v>00030206189421</v>
      </c>
      <c r="S409" s="1">
        <v>40834</v>
      </c>
      <c r="T409" s="1">
        <v>40834</v>
      </c>
      <c r="U409" t="str">
        <f>"3020618942"</f>
        <v>3020618942</v>
      </c>
      <c r="V409" t="str">
        <f t="shared" si="110"/>
        <v>1510</v>
      </c>
      <c r="W409" t="str">
        <f t="shared" si="104"/>
        <v>11</v>
      </c>
      <c r="X409" t="s">
        <v>75</v>
      </c>
      <c r="Y409" t="s">
        <v>76</v>
      </c>
      <c r="Z409" t="s">
        <v>91</v>
      </c>
      <c r="AA409" t="s">
        <v>92</v>
      </c>
      <c r="AB409" t="s">
        <v>79</v>
      </c>
      <c r="AD409" t="s">
        <v>80</v>
      </c>
      <c r="AE409" t="s">
        <v>81</v>
      </c>
      <c r="AF409" t="s">
        <v>82</v>
      </c>
      <c r="AG409" t="s">
        <v>83</v>
      </c>
      <c r="AH409" t="s">
        <v>84</v>
      </c>
      <c r="AI409" t="str">
        <f t="shared" si="111"/>
        <v>01</v>
      </c>
      <c r="AJ409" t="str">
        <f t="shared" si="100"/>
        <v>1</v>
      </c>
      <c r="AK409" t="s">
        <v>114</v>
      </c>
      <c r="AL409" t="s">
        <v>86</v>
      </c>
      <c r="AM409" t="s">
        <v>87</v>
      </c>
      <c r="AN409" t="str">
        <f t="shared" si="109"/>
        <v>.9700</v>
      </c>
      <c r="AO409" t="str">
        <f>"7.00"</f>
        <v>7.00</v>
      </c>
      <c r="AP409" t="s">
        <v>115</v>
      </c>
      <c r="AQ409" t="str">
        <f>"7.00"</f>
        <v>7.00</v>
      </c>
      <c r="AR409">
        <v>32</v>
      </c>
      <c r="AS409">
        <v>-2</v>
      </c>
      <c r="AT409">
        <v>30</v>
      </c>
      <c r="AU409">
        <v>224</v>
      </c>
      <c r="AV409">
        <v>22.54</v>
      </c>
      <c r="AW409">
        <v>201.46</v>
      </c>
      <c r="AX409">
        <v>-12.09</v>
      </c>
      <c r="AY409">
        <v>189.37</v>
      </c>
      <c r="AZ409">
        <v>0</v>
      </c>
    </row>
    <row r="410" spans="1:52">
      <c r="A410" t="s">
        <v>65</v>
      </c>
      <c r="B410" t="s">
        <v>66</v>
      </c>
      <c r="C410" t="s">
        <v>67</v>
      </c>
      <c r="D410" t="s">
        <v>68</v>
      </c>
      <c r="E410" t="s">
        <v>69</v>
      </c>
      <c r="F410" t="s">
        <v>70</v>
      </c>
      <c r="G410" t="s">
        <v>71</v>
      </c>
      <c r="H410" t="s">
        <v>70</v>
      </c>
      <c r="I410" t="str">
        <f t="shared" si="107"/>
        <v>1010</v>
      </c>
      <c r="J410" t="str">
        <f t="shared" si="108"/>
        <v>05</v>
      </c>
      <c r="K410" t="s">
        <v>68</v>
      </c>
      <c r="L410" t="s">
        <v>72</v>
      </c>
      <c r="M410" t="s">
        <v>68</v>
      </c>
      <c r="N410" t="s">
        <v>700</v>
      </c>
      <c r="O410" t="s">
        <v>701</v>
      </c>
      <c r="P410" t="str">
        <f>"3020619042"</f>
        <v>3020619042</v>
      </c>
      <c r="R410" t="str">
        <f>"00030206190427"</f>
        <v>00030206190427</v>
      </c>
      <c r="S410" s="1">
        <v>40932</v>
      </c>
      <c r="T410" s="1">
        <v>40932</v>
      </c>
      <c r="U410" t="str">
        <f>"3020619042"</f>
        <v>3020619042</v>
      </c>
      <c r="V410" t="str">
        <f t="shared" si="110"/>
        <v>1510</v>
      </c>
      <c r="W410" t="str">
        <f t="shared" si="104"/>
        <v>11</v>
      </c>
      <c r="X410" t="s">
        <v>75</v>
      </c>
      <c r="Y410" t="s">
        <v>76</v>
      </c>
      <c r="Z410" t="s">
        <v>91</v>
      </c>
      <c r="AA410" t="s">
        <v>92</v>
      </c>
      <c r="AB410" t="s">
        <v>79</v>
      </c>
      <c r="AD410" t="s">
        <v>80</v>
      </c>
      <c r="AE410" t="s">
        <v>81</v>
      </c>
      <c r="AF410" t="s">
        <v>82</v>
      </c>
      <c r="AG410" t="s">
        <v>83</v>
      </c>
      <c r="AH410" t="s">
        <v>84</v>
      </c>
      <c r="AI410" t="str">
        <f t="shared" si="111"/>
        <v>01</v>
      </c>
      <c r="AJ410" t="str">
        <f t="shared" si="100"/>
        <v>1</v>
      </c>
      <c r="AK410" t="s">
        <v>107</v>
      </c>
      <c r="AL410" t="s">
        <v>94</v>
      </c>
      <c r="AM410" t="s">
        <v>95</v>
      </c>
      <c r="AN410" t="str">
        <f t="shared" si="109"/>
        <v>.9700</v>
      </c>
      <c r="AO410" t="str">
        <f>"10.78"</f>
        <v>10.78</v>
      </c>
      <c r="AP410" t="s">
        <v>108</v>
      </c>
      <c r="AQ410" t="str">
        <f>"10.78"</f>
        <v>10.78</v>
      </c>
      <c r="AR410">
        <v>35</v>
      </c>
      <c r="AS410">
        <v>-1</v>
      </c>
      <c r="AT410">
        <v>34</v>
      </c>
      <c r="AU410">
        <v>374.59</v>
      </c>
      <c r="AV410">
        <v>35.57</v>
      </c>
      <c r="AW410">
        <v>339.02</v>
      </c>
      <c r="AX410">
        <v>-9.7899999999999991</v>
      </c>
      <c r="AY410">
        <v>329.23</v>
      </c>
      <c r="AZ410">
        <v>0</v>
      </c>
    </row>
    <row r="411" spans="1:52">
      <c r="A411" t="s">
        <v>65</v>
      </c>
      <c r="B411" t="s">
        <v>66</v>
      </c>
      <c r="C411" t="s">
        <v>67</v>
      </c>
      <c r="D411" t="s">
        <v>68</v>
      </c>
      <c r="E411" t="s">
        <v>69</v>
      </c>
      <c r="F411" t="s">
        <v>70</v>
      </c>
      <c r="G411" t="s">
        <v>71</v>
      </c>
      <c r="H411" t="s">
        <v>70</v>
      </c>
      <c r="I411" t="str">
        <f t="shared" si="107"/>
        <v>1010</v>
      </c>
      <c r="J411" t="str">
        <f t="shared" si="108"/>
        <v>05</v>
      </c>
      <c r="K411" t="s">
        <v>68</v>
      </c>
      <c r="L411" t="s">
        <v>72</v>
      </c>
      <c r="M411" t="s">
        <v>68</v>
      </c>
      <c r="N411" t="s">
        <v>702</v>
      </c>
      <c r="O411" t="s">
        <v>703</v>
      </c>
      <c r="P411" t="str">
        <f>"3020664672"</f>
        <v>3020664672</v>
      </c>
      <c r="R411" t="str">
        <f>"00030206646726"</f>
        <v>00030206646726</v>
      </c>
      <c r="S411" s="1">
        <v>37775</v>
      </c>
      <c r="T411" s="1">
        <v>37775</v>
      </c>
      <c r="U411" t="str">
        <f>"3020664672"</f>
        <v>3020664672</v>
      </c>
      <c r="V411" t="str">
        <f t="shared" si="110"/>
        <v>1510</v>
      </c>
      <c r="W411" t="str">
        <f t="shared" si="104"/>
        <v>11</v>
      </c>
      <c r="X411" t="s">
        <v>75</v>
      </c>
      <c r="Y411" t="s">
        <v>76</v>
      </c>
      <c r="Z411" t="s">
        <v>105</v>
      </c>
      <c r="AA411" t="s">
        <v>106</v>
      </c>
      <c r="AB411" t="s">
        <v>79</v>
      </c>
      <c r="AD411" t="s">
        <v>80</v>
      </c>
      <c r="AE411" t="s">
        <v>81</v>
      </c>
      <c r="AF411" t="s">
        <v>82</v>
      </c>
      <c r="AG411" t="s">
        <v>83</v>
      </c>
      <c r="AH411" t="s">
        <v>84</v>
      </c>
      <c r="AI411" t="str">
        <f t="shared" si="111"/>
        <v>01</v>
      </c>
      <c r="AJ411" t="str">
        <f t="shared" si="100"/>
        <v>1</v>
      </c>
      <c r="AK411" t="s">
        <v>93</v>
      </c>
      <c r="AL411" t="s">
        <v>94</v>
      </c>
      <c r="AM411" t="s">
        <v>95</v>
      </c>
      <c r="AN411" t="str">
        <f t="shared" si="109"/>
        <v>.9700</v>
      </c>
      <c r="AO411" t="str">
        <f>"11.41"</f>
        <v>11.41</v>
      </c>
      <c r="AP411" t="s">
        <v>96</v>
      </c>
      <c r="AQ411" t="str">
        <f>"11.41"</f>
        <v>11.41</v>
      </c>
      <c r="AR411">
        <v>257</v>
      </c>
      <c r="AS411">
        <v>0</v>
      </c>
      <c r="AT411">
        <v>257</v>
      </c>
      <c r="AU411">
        <v>2932.21</v>
      </c>
      <c r="AV411">
        <v>251.92</v>
      </c>
      <c r="AW411">
        <v>2680.29</v>
      </c>
      <c r="AX411">
        <v>0</v>
      </c>
      <c r="AY411">
        <v>2680.29</v>
      </c>
      <c r="AZ411">
        <v>0</v>
      </c>
    </row>
    <row r="412" spans="1:52">
      <c r="A412" t="s">
        <v>65</v>
      </c>
      <c r="B412" t="s">
        <v>66</v>
      </c>
      <c r="C412" t="s">
        <v>67</v>
      </c>
      <c r="D412" t="s">
        <v>68</v>
      </c>
      <c r="E412" t="s">
        <v>69</v>
      </c>
      <c r="F412" t="s">
        <v>70</v>
      </c>
      <c r="G412" t="s">
        <v>71</v>
      </c>
      <c r="H412" t="s">
        <v>70</v>
      </c>
      <c r="I412" t="str">
        <f t="shared" si="107"/>
        <v>1010</v>
      </c>
      <c r="J412" t="str">
        <f t="shared" si="108"/>
        <v>05</v>
      </c>
      <c r="K412" t="s">
        <v>68</v>
      </c>
      <c r="L412" t="s">
        <v>72</v>
      </c>
      <c r="M412" t="s">
        <v>68</v>
      </c>
      <c r="N412" t="s">
        <v>702</v>
      </c>
      <c r="O412" t="s">
        <v>704</v>
      </c>
      <c r="P412" t="str">
        <f>"3020617782"</f>
        <v>3020617782</v>
      </c>
      <c r="R412" t="str">
        <f>"00030206177824"</f>
        <v>00030206177824</v>
      </c>
      <c r="S412" s="1">
        <v>40015</v>
      </c>
      <c r="T412" s="1">
        <v>40001</v>
      </c>
      <c r="U412" t="str">
        <f>"3020617782"</f>
        <v>3020617782</v>
      </c>
      <c r="V412" t="str">
        <f t="shared" si="110"/>
        <v>1510</v>
      </c>
      <c r="W412" t="str">
        <f t="shared" si="104"/>
        <v>11</v>
      </c>
      <c r="X412" t="s">
        <v>75</v>
      </c>
      <c r="Y412" t="s">
        <v>76</v>
      </c>
      <c r="Z412" t="s">
        <v>105</v>
      </c>
      <c r="AA412" t="s">
        <v>106</v>
      </c>
      <c r="AB412" t="s">
        <v>79</v>
      </c>
      <c r="AD412" t="s">
        <v>80</v>
      </c>
      <c r="AE412" t="s">
        <v>81</v>
      </c>
      <c r="AF412" t="s">
        <v>82</v>
      </c>
      <c r="AG412" t="s">
        <v>83</v>
      </c>
      <c r="AH412" t="s">
        <v>84</v>
      </c>
      <c r="AI412" t="str">
        <f t="shared" si="111"/>
        <v>01</v>
      </c>
      <c r="AJ412" t="str">
        <f t="shared" si="100"/>
        <v>1</v>
      </c>
      <c r="AK412" t="s">
        <v>154</v>
      </c>
      <c r="AL412" t="s">
        <v>94</v>
      </c>
      <c r="AM412" t="s">
        <v>87</v>
      </c>
      <c r="AN412" t="str">
        <f t="shared" si="109"/>
        <v>.9700</v>
      </c>
      <c r="AO412" t="str">
        <f>"7.25"</f>
        <v>7.25</v>
      </c>
      <c r="AP412" t="s">
        <v>156</v>
      </c>
      <c r="AQ412" t="str">
        <f>"7.25"</f>
        <v>7.25</v>
      </c>
      <c r="AR412">
        <v>30</v>
      </c>
      <c r="AS412">
        <v>-4</v>
      </c>
      <c r="AT412">
        <v>26</v>
      </c>
      <c r="AU412">
        <v>217.5</v>
      </c>
      <c r="AV412">
        <v>26.1</v>
      </c>
      <c r="AW412">
        <v>191.4</v>
      </c>
      <c r="AX412">
        <v>-22.69</v>
      </c>
      <c r="AY412">
        <v>168.71</v>
      </c>
      <c r="AZ412">
        <v>0</v>
      </c>
    </row>
    <row r="413" spans="1:52">
      <c r="A413" t="s">
        <v>65</v>
      </c>
      <c r="B413" t="s">
        <v>66</v>
      </c>
      <c r="C413" t="s">
        <v>67</v>
      </c>
      <c r="D413" t="s">
        <v>68</v>
      </c>
      <c r="E413" t="s">
        <v>69</v>
      </c>
      <c r="F413" t="s">
        <v>70</v>
      </c>
      <c r="G413" t="s">
        <v>71</v>
      </c>
      <c r="H413" t="s">
        <v>70</v>
      </c>
      <c r="I413" t="str">
        <f t="shared" si="107"/>
        <v>1010</v>
      </c>
      <c r="J413" t="str">
        <f t="shared" si="108"/>
        <v>05</v>
      </c>
      <c r="K413" t="s">
        <v>68</v>
      </c>
      <c r="L413" t="s">
        <v>72</v>
      </c>
      <c r="M413" t="s">
        <v>68</v>
      </c>
      <c r="N413" t="s">
        <v>702</v>
      </c>
      <c r="O413" t="s">
        <v>705</v>
      </c>
      <c r="P413" t="str">
        <f>"3020618682"</f>
        <v>3020618682</v>
      </c>
      <c r="R413" t="str">
        <f>"00030206186826"</f>
        <v>00030206186826</v>
      </c>
      <c r="S413" s="1">
        <v>40589</v>
      </c>
      <c r="T413" s="1">
        <v>40589</v>
      </c>
      <c r="U413" t="str">
        <f>"3020618682"</f>
        <v>3020618682</v>
      </c>
      <c r="V413" t="str">
        <f t="shared" si="110"/>
        <v>1510</v>
      </c>
      <c r="W413" t="str">
        <f t="shared" si="104"/>
        <v>11</v>
      </c>
      <c r="X413" t="s">
        <v>75</v>
      </c>
      <c r="Y413" t="s">
        <v>76</v>
      </c>
      <c r="Z413" t="s">
        <v>91</v>
      </c>
      <c r="AA413" t="s">
        <v>92</v>
      </c>
      <c r="AB413" t="s">
        <v>79</v>
      </c>
      <c r="AD413" t="s">
        <v>80</v>
      </c>
      <c r="AE413" t="s">
        <v>81</v>
      </c>
      <c r="AF413" t="s">
        <v>82</v>
      </c>
      <c r="AG413" t="s">
        <v>83</v>
      </c>
      <c r="AH413" t="s">
        <v>84</v>
      </c>
      <c r="AI413" t="str">
        <f t="shared" si="111"/>
        <v>01</v>
      </c>
      <c r="AJ413" t="str">
        <f t="shared" si="100"/>
        <v>1</v>
      </c>
      <c r="AK413" t="s">
        <v>98</v>
      </c>
      <c r="AL413" t="s">
        <v>86</v>
      </c>
      <c r="AM413" t="s">
        <v>95</v>
      </c>
      <c r="AN413" t="str">
        <f t="shared" si="109"/>
        <v>.9700</v>
      </c>
      <c r="AO413" t="str">
        <f>"8.00"</f>
        <v>8.00</v>
      </c>
      <c r="AP413" t="s">
        <v>99</v>
      </c>
      <c r="AQ413" t="str">
        <f>"8.00"</f>
        <v>8.00</v>
      </c>
      <c r="AR413">
        <v>7</v>
      </c>
      <c r="AS413">
        <v>0</v>
      </c>
      <c r="AT413">
        <v>7</v>
      </c>
      <c r="AU413">
        <v>56</v>
      </c>
      <c r="AV413">
        <v>5.6</v>
      </c>
      <c r="AW413">
        <v>50.4</v>
      </c>
      <c r="AX413">
        <v>0</v>
      </c>
      <c r="AY413">
        <v>50.4</v>
      </c>
      <c r="AZ413">
        <v>0</v>
      </c>
    </row>
    <row r="414" spans="1:52">
      <c r="A414" t="s">
        <v>65</v>
      </c>
      <c r="B414" t="s">
        <v>66</v>
      </c>
      <c r="C414" t="s">
        <v>67</v>
      </c>
      <c r="D414" t="s">
        <v>68</v>
      </c>
      <c r="E414" t="s">
        <v>69</v>
      </c>
      <c r="F414" t="s">
        <v>70</v>
      </c>
      <c r="G414" t="s">
        <v>71</v>
      </c>
      <c r="H414" t="s">
        <v>70</v>
      </c>
      <c r="I414" t="str">
        <f t="shared" si="107"/>
        <v>1010</v>
      </c>
      <c r="J414" t="str">
        <f t="shared" si="108"/>
        <v>05</v>
      </c>
      <c r="K414" t="s">
        <v>68</v>
      </c>
      <c r="L414" t="s">
        <v>72</v>
      </c>
      <c r="M414" t="s">
        <v>68</v>
      </c>
      <c r="N414" t="s">
        <v>702</v>
      </c>
      <c r="O414" t="s">
        <v>706</v>
      </c>
      <c r="P414" t="str">
        <f>"3020619152"</f>
        <v>3020619152</v>
      </c>
      <c r="R414" t="str">
        <f>"00030206191523"</f>
        <v>00030206191523</v>
      </c>
      <c r="S414" s="1">
        <v>41072</v>
      </c>
      <c r="T414" s="1">
        <v>41058</v>
      </c>
      <c r="U414" t="str">
        <f>"3020619152"</f>
        <v>3020619152</v>
      </c>
      <c r="V414" t="str">
        <f t="shared" si="110"/>
        <v>1510</v>
      </c>
      <c r="W414" t="str">
        <f t="shared" si="104"/>
        <v>11</v>
      </c>
      <c r="X414" t="s">
        <v>75</v>
      </c>
      <c r="Y414" t="s">
        <v>76</v>
      </c>
      <c r="Z414" t="s">
        <v>121</v>
      </c>
      <c r="AA414" t="s">
        <v>122</v>
      </c>
      <c r="AB414" t="s">
        <v>79</v>
      </c>
      <c r="AD414" t="s">
        <v>80</v>
      </c>
      <c r="AE414" t="s">
        <v>81</v>
      </c>
      <c r="AF414" t="s">
        <v>82</v>
      </c>
      <c r="AG414" t="s">
        <v>83</v>
      </c>
      <c r="AH414" t="s">
        <v>84</v>
      </c>
      <c r="AI414" t="str">
        <f>"02"</f>
        <v>02</v>
      </c>
      <c r="AJ414" t="str">
        <f>"2"</f>
        <v>2</v>
      </c>
      <c r="AK414" t="s">
        <v>107</v>
      </c>
      <c r="AL414" t="s">
        <v>94</v>
      </c>
      <c r="AM414" t="s">
        <v>95</v>
      </c>
      <c r="AN414" t="str">
        <f t="shared" si="109"/>
        <v>.9700</v>
      </c>
      <c r="AO414" t="str">
        <f>"10.78"</f>
        <v>10.78</v>
      </c>
      <c r="AP414" t="s">
        <v>108</v>
      </c>
      <c r="AQ414" t="str">
        <f>"10.78"</f>
        <v>10.78</v>
      </c>
      <c r="AR414">
        <v>3</v>
      </c>
      <c r="AS414">
        <v>-10</v>
      </c>
      <c r="AT414">
        <v>-7</v>
      </c>
      <c r="AU414">
        <v>29.67</v>
      </c>
      <c r="AV414">
        <v>0</v>
      </c>
      <c r="AW414">
        <v>29.67</v>
      </c>
      <c r="AX414">
        <v>-92.8</v>
      </c>
      <c r="AY414">
        <v>-63.13</v>
      </c>
      <c r="AZ414">
        <v>0</v>
      </c>
    </row>
    <row r="415" spans="1:52">
      <c r="A415" t="s">
        <v>65</v>
      </c>
      <c r="B415" t="s">
        <v>66</v>
      </c>
      <c r="C415" t="s">
        <v>67</v>
      </c>
      <c r="D415" t="s">
        <v>68</v>
      </c>
      <c r="E415" t="s">
        <v>69</v>
      </c>
      <c r="F415" t="s">
        <v>70</v>
      </c>
      <c r="G415" t="s">
        <v>71</v>
      </c>
      <c r="H415" t="s">
        <v>70</v>
      </c>
      <c r="I415" t="str">
        <f t="shared" si="107"/>
        <v>1010</v>
      </c>
      <c r="J415" t="str">
        <f t="shared" si="108"/>
        <v>05</v>
      </c>
      <c r="K415" t="s">
        <v>68</v>
      </c>
      <c r="L415" t="s">
        <v>72</v>
      </c>
      <c r="M415" t="s">
        <v>68</v>
      </c>
      <c r="N415" t="s">
        <v>702</v>
      </c>
      <c r="O415" t="s">
        <v>707</v>
      </c>
      <c r="P415" t="str">
        <f>"3020619552"</f>
        <v>3020619552</v>
      </c>
      <c r="R415" t="str">
        <f>"00030206195521"</f>
        <v>00030206195521</v>
      </c>
      <c r="S415" s="1">
        <v>41408</v>
      </c>
      <c r="T415" s="1">
        <v>41408</v>
      </c>
      <c r="U415" t="str">
        <f>"3020619552"</f>
        <v>3020619552</v>
      </c>
      <c r="V415" t="str">
        <f>"1010"</f>
        <v>1010</v>
      </c>
      <c r="W415" t="str">
        <f t="shared" si="104"/>
        <v>11</v>
      </c>
      <c r="X415" t="s">
        <v>75</v>
      </c>
      <c r="Y415" t="s">
        <v>173</v>
      </c>
      <c r="Z415" t="s">
        <v>105</v>
      </c>
      <c r="AA415" t="s">
        <v>106</v>
      </c>
      <c r="AB415" t="s">
        <v>79</v>
      </c>
      <c r="AD415" t="s">
        <v>80</v>
      </c>
      <c r="AE415" t="s">
        <v>81</v>
      </c>
      <c r="AF415" t="s">
        <v>82</v>
      </c>
      <c r="AG415" t="s">
        <v>83</v>
      </c>
      <c r="AH415" t="s">
        <v>84</v>
      </c>
      <c r="AJ415" t="str">
        <f t="shared" ref="AJ415:AJ421" si="112">"1"</f>
        <v>1</v>
      </c>
      <c r="AK415" t="s">
        <v>207</v>
      </c>
      <c r="AL415" t="s">
        <v>162</v>
      </c>
      <c r="AM415" t="s">
        <v>208</v>
      </c>
      <c r="AN415" t="str">
        <f t="shared" si="109"/>
        <v>.9700</v>
      </c>
      <c r="AO415" t="str">
        <f>"5.99"</f>
        <v>5.99</v>
      </c>
      <c r="AP415" t="s">
        <v>209</v>
      </c>
      <c r="AQ415" t="str">
        <f>"5.99"</f>
        <v>5.99</v>
      </c>
      <c r="AR415">
        <v>8</v>
      </c>
      <c r="AS415">
        <v>-1</v>
      </c>
      <c r="AT415">
        <v>7</v>
      </c>
      <c r="AU415">
        <v>47.91</v>
      </c>
      <c r="AV415">
        <v>4.1900000000000004</v>
      </c>
      <c r="AW415">
        <v>43.72</v>
      </c>
      <c r="AX415">
        <v>-5.0599999999999996</v>
      </c>
      <c r="AY415">
        <v>38.659999999999997</v>
      </c>
      <c r="AZ415">
        <v>0</v>
      </c>
    </row>
    <row r="416" spans="1:52">
      <c r="A416" t="s">
        <v>65</v>
      </c>
      <c r="B416" t="s">
        <v>66</v>
      </c>
      <c r="C416" t="s">
        <v>67</v>
      </c>
      <c r="D416" t="s">
        <v>68</v>
      </c>
      <c r="E416" t="s">
        <v>69</v>
      </c>
      <c r="F416" t="s">
        <v>70</v>
      </c>
      <c r="G416" t="s">
        <v>71</v>
      </c>
      <c r="H416" t="s">
        <v>70</v>
      </c>
      <c r="I416" t="str">
        <f t="shared" si="107"/>
        <v>1010</v>
      </c>
      <c r="J416" t="str">
        <f t="shared" si="108"/>
        <v>05</v>
      </c>
      <c r="K416" t="s">
        <v>68</v>
      </c>
      <c r="L416" t="s">
        <v>72</v>
      </c>
      <c r="M416" t="s">
        <v>68</v>
      </c>
      <c r="N416" t="s">
        <v>702</v>
      </c>
      <c r="O416" t="s">
        <v>708</v>
      </c>
      <c r="P416" t="str">
        <f>"3020667242"</f>
        <v>3020667242</v>
      </c>
      <c r="R416" t="str">
        <f>"00030206672428"</f>
        <v>00030206672428</v>
      </c>
      <c r="S416" s="1">
        <v>38804</v>
      </c>
      <c r="T416" s="1">
        <v>38804</v>
      </c>
      <c r="U416" t="str">
        <f>"3020667242"</f>
        <v>3020667242</v>
      </c>
      <c r="V416" t="str">
        <f>"1510"</f>
        <v>1510</v>
      </c>
      <c r="W416" t="str">
        <f t="shared" si="104"/>
        <v>11</v>
      </c>
      <c r="X416" t="s">
        <v>75</v>
      </c>
      <c r="Y416" t="s">
        <v>76</v>
      </c>
      <c r="Z416" t="s">
        <v>105</v>
      </c>
      <c r="AA416" t="s">
        <v>106</v>
      </c>
      <c r="AB416" t="s">
        <v>79</v>
      </c>
      <c r="AD416" t="s">
        <v>80</v>
      </c>
      <c r="AE416" t="s">
        <v>81</v>
      </c>
      <c r="AF416" t="s">
        <v>82</v>
      </c>
      <c r="AG416" t="s">
        <v>83</v>
      </c>
      <c r="AH416" t="s">
        <v>84</v>
      </c>
      <c r="AI416" t="str">
        <f>"01"</f>
        <v>01</v>
      </c>
      <c r="AJ416" t="str">
        <f t="shared" si="112"/>
        <v>1</v>
      </c>
      <c r="AK416" t="s">
        <v>93</v>
      </c>
      <c r="AL416" t="s">
        <v>94</v>
      </c>
      <c r="AM416" t="s">
        <v>95</v>
      </c>
      <c r="AN416" t="str">
        <f t="shared" si="109"/>
        <v>.9700</v>
      </c>
      <c r="AO416" t="str">
        <f>"11.41"</f>
        <v>11.41</v>
      </c>
      <c r="AP416" t="s">
        <v>96</v>
      </c>
      <c r="AQ416" t="str">
        <f>"11.41"</f>
        <v>11.41</v>
      </c>
      <c r="AR416">
        <v>96</v>
      </c>
      <c r="AS416">
        <v>0</v>
      </c>
      <c r="AT416">
        <v>96</v>
      </c>
      <c r="AU416">
        <v>1095.28</v>
      </c>
      <c r="AV416">
        <v>127.33</v>
      </c>
      <c r="AW416">
        <v>967.95</v>
      </c>
      <c r="AX416">
        <v>0</v>
      </c>
      <c r="AY416">
        <v>967.95</v>
      </c>
      <c r="AZ416">
        <v>0</v>
      </c>
    </row>
    <row r="417" spans="1:52">
      <c r="A417" t="s">
        <v>65</v>
      </c>
      <c r="B417" t="s">
        <v>66</v>
      </c>
      <c r="C417" t="s">
        <v>67</v>
      </c>
      <c r="D417" t="s">
        <v>68</v>
      </c>
      <c r="E417" t="s">
        <v>69</v>
      </c>
      <c r="F417" t="s">
        <v>70</v>
      </c>
      <c r="G417" t="s">
        <v>71</v>
      </c>
      <c r="H417" t="s">
        <v>70</v>
      </c>
      <c r="I417" t="str">
        <f t="shared" si="107"/>
        <v>1010</v>
      </c>
      <c r="J417" t="str">
        <f t="shared" si="108"/>
        <v>05</v>
      </c>
      <c r="K417" t="s">
        <v>68</v>
      </c>
      <c r="L417" t="s">
        <v>72</v>
      </c>
      <c r="M417" t="s">
        <v>68</v>
      </c>
      <c r="N417" t="s">
        <v>702</v>
      </c>
      <c r="O417" t="s">
        <v>709</v>
      </c>
      <c r="P417" t="str">
        <f>"3020616662"</f>
        <v>3020616662</v>
      </c>
      <c r="R417" t="str">
        <f>"00030206166620"</f>
        <v>00030206166620</v>
      </c>
      <c r="S417" s="1">
        <v>39196</v>
      </c>
      <c r="T417" s="1">
        <v>39196</v>
      </c>
      <c r="U417" t="str">
        <f>"3020616662"</f>
        <v>3020616662</v>
      </c>
      <c r="V417" t="str">
        <f>"1510"</f>
        <v>1510</v>
      </c>
      <c r="W417" t="str">
        <f t="shared" si="104"/>
        <v>11</v>
      </c>
      <c r="X417" t="s">
        <v>75</v>
      </c>
      <c r="Y417" t="s">
        <v>76</v>
      </c>
      <c r="Z417" t="s">
        <v>105</v>
      </c>
      <c r="AA417" t="s">
        <v>106</v>
      </c>
      <c r="AB417" t="s">
        <v>79</v>
      </c>
      <c r="AD417" t="s">
        <v>80</v>
      </c>
      <c r="AE417" t="s">
        <v>81</v>
      </c>
      <c r="AF417" t="s">
        <v>82</v>
      </c>
      <c r="AG417" t="s">
        <v>83</v>
      </c>
      <c r="AH417" t="s">
        <v>84</v>
      </c>
      <c r="AI417" t="str">
        <f>"01"</f>
        <v>01</v>
      </c>
      <c r="AJ417" t="str">
        <f t="shared" si="112"/>
        <v>1</v>
      </c>
      <c r="AK417" t="s">
        <v>198</v>
      </c>
      <c r="AL417" t="s">
        <v>162</v>
      </c>
      <c r="AM417" t="s">
        <v>87</v>
      </c>
      <c r="AN417" t="str">
        <f t="shared" si="109"/>
        <v>.9700</v>
      </c>
      <c r="AO417" t="str">
        <f>"4.40"</f>
        <v>4.40</v>
      </c>
      <c r="AP417" t="s">
        <v>199</v>
      </c>
      <c r="AQ417" t="str">
        <f>"4.40"</f>
        <v>4.40</v>
      </c>
      <c r="AR417">
        <v>214</v>
      </c>
      <c r="AS417">
        <v>-5</v>
      </c>
      <c r="AT417">
        <v>209</v>
      </c>
      <c r="AU417">
        <v>941.12</v>
      </c>
      <c r="AV417">
        <v>112.94</v>
      </c>
      <c r="AW417">
        <v>828.18</v>
      </c>
      <c r="AX417">
        <v>-19.75</v>
      </c>
      <c r="AY417">
        <v>808.43</v>
      </c>
      <c r="AZ417">
        <v>0</v>
      </c>
    </row>
    <row r="418" spans="1:52">
      <c r="A418" t="s">
        <v>65</v>
      </c>
      <c r="B418" t="s">
        <v>66</v>
      </c>
      <c r="C418" t="s">
        <v>67</v>
      </c>
      <c r="D418" t="s">
        <v>68</v>
      </c>
      <c r="E418" t="s">
        <v>69</v>
      </c>
      <c r="F418" t="s">
        <v>70</v>
      </c>
      <c r="G418" t="s">
        <v>71</v>
      </c>
      <c r="H418" t="s">
        <v>70</v>
      </c>
      <c r="I418" t="str">
        <f t="shared" si="107"/>
        <v>1010</v>
      </c>
      <c r="J418" t="str">
        <f t="shared" si="108"/>
        <v>05</v>
      </c>
      <c r="K418" t="s">
        <v>68</v>
      </c>
      <c r="L418" t="s">
        <v>72</v>
      </c>
      <c r="M418" t="s">
        <v>68</v>
      </c>
      <c r="N418" t="s">
        <v>702</v>
      </c>
      <c r="O418" t="s">
        <v>710</v>
      </c>
      <c r="P418" t="str">
        <f>"3020619592"</f>
        <v>3020619592</v>
      </c>
      <c r="R418" t="str">
        <f>"00030206195927"</f>
        <v>00030206195927</v>
      </c>
      <c r="S418" s="1">
        <v>41450</v>
      </c>
      <c r="T418" s="1">
        <v>41450</v>
      </c>
      <c r="U418" t="str">
        <f>"3020619592"</f>
        <v>3020619592</v>
      </c>
      <c r="V418" t="str">
        <f>"1010"</f>
        <v>1010</v>
      </c>
      <c r="W418" t="str">
        <f t="shared" si="104"/>
        <v>11</v>
      </c>
      <c r="X418" t="s">
        <v>75</v>
      </c>
      <c r="Y418" t="s">
        <v>173</v>
      </c>
      <c r="Z418" t="s">
        <v>105</v>
      </c>
      <c r="AA418" t="s">
        <v>106</v>
      </c>
      <c r="AB418" t="s">
        <v>79</v>
      </c>
      <c r="AD418" t="s">
        <v>80</v>
      </c>
      <c r="AE418" t="s">
        <v>81</v>
      </c>
      <c r="AF418" t="s">
        <v>82</v>
      </c>
      <c r="AG418" t="s">
        <v>83</v>
      </c>
      <c r="AH418" t="s">
        <v>84</v>
      </c>
      <c r="AJ418" t="str">
        <f t="shared" si="112"/>
        <v>1</v>
      </c>
      <c r="AK418" t="s">
        <v>85</v>
      </c>
      <c r="AL418" t="s">
        <v>86</v>
      </c>
      <c r="AM418" t="s">
        <v>87</v>
      </c>
      <c r="AN418" t="str">
        <f t="shared" si="109"/>
        <v>.9700</v>
      </c>
      <c r="AO418" t="str">
        <f>"7.50"</f>
        <v>7.50</v>
      </c>
      <c r="AP418" t="s">
        <v>88</v>
      </c>
      <c r="AQ418" t="str">
        <f>"7.50"</f>
        <v>7.50</v>
      </c>
      <c r="AR418">
        <v>5</v>
      </c>
      <c r="AS418">
        <v>-5</v>
      </c>
      <c r="AT418">
        <v>0</v>
      </c>
      <c r="AU418">
        <v>37.5</v>
      </c>
      <c r="AV418">
        <v>0</v>
      </c>
      <c r="AW418">
        <v>37.5</v>
      </c>
      <c r="AX418">
        <v>-32.880000000000003</v>
      </c>
      <c r="AY418">
        <v>4.62</v>
      </c>
      <c r="AZ418">
        <v>0</v>
      </c>
    </row>
    <row r="419" spans="1:52">
      <c r="A419" t="s">
        <v>65</v>
      </c>
      <c r="B419" t="s">
        <v>66</v>
      </c>
      <c r="C419" t="s">
        <v>67</v>
      </c>
      <c r="D419" t="s">
        <v>68</v>
      </c>
      <c r="E419" t="s">
        <v>69</v>
      </c>
      <c r="F419" t="s">
        <v>70</v>
      </c>
      <c r="G419" t="s">
        <v>71</v>
      </c>
      <c r="H419" t="s">
        <v>70</v>
      </c>
      <c r="I419" t="str">
        <f t="shared" si="107"/>
        <v>1010</v>
      </c>
      <c r="J419" t="str">
        <f t="shared" si="108"/>
        <v>05</v>
      </c>
      <c r="K419" t="s">
        <v>68</v>
      </c>
      <c r="L419" t="s">
        <v>72</v>
      </c>
      <c r="M419" t="s">
        <v>68</v>
      </c>
      <c r="N419" t="s">
        <v>702</v>
      </c>
      <c r="O419" t="s">
        <v>711</v>
      </c>
      <c r="P419" t="str">
        <f>"3020616932"</f>
        <v>3020616932</v>
      </c>
      <c r="R419" t="str">
        <f>"00030206169324"</f>
        <v>00030206169324</v>
      </c>
      <c r="S419" s="1">
        <v>39308</v>
      </c>
      <c r="T419" s="1">
        <v>39294</v>
      </c>
      <c r="U419" t="str">
        <f>"3020616932"</f>
        <v>3020616932</v>
      </c>
      <c r="V419" t="str">
        <f>"1510"</f>
        <v>1510</v>
      </c>
      <c r="W419" t="str">
        <f t="shared" ref="W419:W433" si="113">"11"</f>
        <v>11</v>
      </c>
      <c r="X419" t="s">
        <v>75</v>
      </c>
      <c r="Y419" t="s">
        <v>76</v>
      </c>
      <c r="Z419" t="s">
        <v>105</v>
      </c>
      <c r="AA419" t="s">
        <v>106</v>
      </c>
      <c r="AB419" t="s">
        <v>79</v>
      </c>
      <c r="AD419" t="s">
        <v>80</v>
      </c>
      <c r="AE419" t="s">
        <v>81</v>
      </c>
      <c r="AF419" t="s">
        <v>82</v>
      </c>
      <c r="AG419" t="s">
        <v>83</v>
      </c>
      <c r="AH419" t="s">
        <v>84</v>
      </c>
      <c r="AI419" t="str">
        <f>"01"</f>
        <v>01</v>
      </c>
      <c r="AJ419" t="str">
        <f t="shared" si="112"/>
        <v>1</v>
      </c>
      <c r="AK419" t="s">
        <v>114</v>
      </c>
      <c r="AL419" t="s">
        <v>86</v>
      </c>
      <c r="AM419" t="s">
        <v>87</v>
      </c>
      <c r="AN419" t="str">
        <f t="shared" si="109"/>
        <v>.9700</v>
      </c>
      <c r="AO419" t="str">
        <f>"7.00"</f>
        <v>7.00</v>
      </c>
      <c r="AP419" t="s">
        <v>115</v>
      </c>
      <c r="AQ419" t="str">
        <f>"7.00"</f>
        <v>7.00</v>
      </c>
      <c r="AR419">
        <v>71</v>
      </c>
      <c r="AS419">
        <v>-1</v>
      </c>
      <c r="AT419">
        <v>70</v>
      </c>
      <c r="AU419">
        <v>493.5</v>
      </c>
      <c r="AV419">
        <v>42.7</v>
      </c>
      <c r="AW419">
        <v>450.8</v>
      </c>
      <c r="AX419">
        <v>-6.06</v>
      </c>
      <c r="AY419">
        <v>444.74</v>
      </c>
      <c r="AZ419">
        <v>0</v>
      </c>
    </row>
    <row r="420" spans="1:52">
      <c r="A420" t="s">
        <v>65</v>
      </c>
      <c r="B420" t="s">
        <v>66</v>
      </c>
      <c r="C420" t="s">
        <v>67</v>
      </c>
      <c r="D420" t="s">
        <v>68</v>
      </c>
      <c r="E420" t="s">
        <v>69</v>
      </c>
      <c r="F420" t="s">
        <v>70</v>
      </c>
      <c r="G420" t="s">
        <v>71</v>
      </c>
      <c r="H420" t="s">
        <v>70</v>
      </c>
      <c r="I420" t="str">
        <f t="shared" si="107"/>
        <v>1010</v>
      </c>
      <c r="J420" t="str">
        <f t="shared" si="108"/>
        <v>05</v>
      </c>
      <c r="K420" t="s">
        <v>68</v>
      </c>
      <c r="L420" t="s">
        <v>72</v>
      </c>
      <c r="M420" t="s">
        <v>68</v>
      </c>
      <c r="N420" t="s">
        <v>702</v>
      </c>
      <c r="O420" t="s">
        <v>712</v>
      </c>
      <c r="P420" t="str">
        <f>"3020618272"</f>
        <v>3020618272</v>
      </c>
      <c r="R420" t="str">
        <f>"00030206182729"</f>
        <v>00030206182729</v>
      </c>
      <c r="S420" s="1">
        <v>40309</v>
      </c>
      <c r="T420" s="1">
        <v>40309</v>
      </c>
      <c r="U420" t="str">
        <f>"3020618272"</f>
        <v>3020618272</v>
      </c>
      <c r="V420" t="str">
        <f>"1510"</f>
        <v>1510</v>
      </c>
      <c r="W420" t="str">
        <f t="shared" si="113"/>
        <v>11</v>
      </c>
      <c r="X420" t="s">
        <v>75</v>
      </c>
      <c r="Y420" t="s">
        <v>76</v>
      </c>
      <c r="Z420" t="s">
        <v>105</v>
      </c>
      <c r="AA420" t="s">
        <v>106</v>
      </c>
      <c r="AB420" t="s">
        <v>79</v>
      </c>
      <c r="AD420" t="s">
        <v>80</v>
      </c>
      <c r="AE420" t="s">
        <v>81</v>
      </c>
      <c r="AF420" t="s">
        <v>82</v>
      </c>
      <c r="AG420" t="s">
        <v>83</v>
      </c>
      <c r="AH420" t="s">
        <v>84</v>
      </c>
      <c r="AI420" t="str">
        <f>"01"</f>
        <v>01</v>
      </c>
      <c r="AJ420" t="str">
        <f t="shared" si="112"/>
        <v>1</v>
      </c>
      <c r="AK420" t="s">
        <v>114</v>
      </c>
      <c r="AL420" t="s">
        <v>162</v>
      </c>
      <c r="AM420" t="s">
        <v>87</v>
      </c>
      <c r="AN420" t="str">
        <f t="shared" si="109"/>
        <v>.9700</v>
      </c>
      <c r="AO420" t="str">
        <f>"7.00"</f>
        <v>7.00</v>
      </c>
      <c r="AP420" t="s">
        <v>115</v>
      </c>
      <c r="AQ420" t="str">
        <f>"7.00"</f>
        <v>7.00</v>
      </c>
      <c r="AR420">
        <v>249</v>
      </c>
      <c r="AS420">
        <v>-1</v>
      </c>
      <c r="AT420">
        <v>248</v>
      </c>
      <c r="AU420">
        <v>1737.75</v>
      </c>
      <c r="AV420">
        <v>179.76</v>
      </c>
      <c r="AW420">
        <v>1557.99</v>
      </c>
      <c r="AX420">
        <v>-6.19</v>
      </c>
      <c r="AY420">
        <v>1551.8</v>
      </c>
      <c r="AZ420">
        <v>0</v>
      </c>
    </row>
    <row r="421" spans="1:52">
      <c r="A421" t="s">
        <v>65</v>
      </c>
      <c r="B421" t="s">
        <v>66</v>
      </c>
      <c r="C421" t="s">
        <v>67</v>
      </c>
      <c r="D421" t="s">
        <v>68</v>
      </c>
      <c r="E421" t="s">
        <v>69</v>
      </c>
      <c r="F421" t="s">
        <v>70</v>
      </c>
      <c r="G421" t="s">
        <v>71</v>
      </c>
      <c r="H421" t="s">
        <v>70</v>
      </c>
      <c r="I421" t="str">
        <f t="shared" si="107"/>
        <v>1010</v>
      </c>
      <c r="J421" t="str">
        <f t="shared" si="108"/>
        <v>05</v>
      </c>
      <c r="K421" t="s">
        <v>68</v>
      </c>
      <c r="L421" t="s">
        <v>72</v>
      </c>
      <c r="M421" t="s">
        <v>68</v>
      </c>
      <c r="N421" t="s">
        <v>702</v>
      </c>
      <c r="O421" t="s">
        <v>713</v>
      </c>
      <c r="P421" t="str">
        <f>"3020619752"</f>
        <v>3020619752</v>
      </c>
      <c r="R421" t="str">
        <f>"00030206197525"</f>
        <v>00030206197525</v>
      </c>
      <c r="S421" s="1">
        <v>41589</v>
      </c>
      <c r="T421" s="1">
        <v>41590</v>
      </c>
      <c r="U421" t="str">
        <f>"3020619752"</f>
        <v>3020619752</v>
      </c>
      <c r="V421" t="str">
        <f>"1010"</f>
        <v>1010</v>
      </c>
      <c r="W421" t="str">
        <f t="shared" si="113"/>
        <v>11</v>
      </c>
      <c r="X421" t="s">
        <v>75</v>
      </c>
      <c r="Y421" t="s">
        <v>173</v>
      </c>
      <c r="Z421" t="s">
        <v>282</v>
      </c>
      <c r="AA421" t="s">
        <v>283</v>
      </c>
      <c r="AB421" t="s">
        <v>79</v>
      </c>
      <c r="AD421" t="s">
        <v>80</v>
      </c>
      <c r="AE421" t="s">
        <v>81</v>
      </c>
      <c r="AF421" t="s">
        <v>82</v>
      </c>
      <c r="AG421" t="s">
        <v>83</v>
      </c>
      <c r="AH421" t="s">
        <v>84</v>
      </c>
      <c r="AJ421" t="str">
        <f t="shared" si="112"/>
        <v>1</v>
      </c>
      <c r="AK421" t="s">
        <v>85</v>
      </c>
      <c r="AL421" t="s">
        <v>86</v>
      </c>
      <c r="AM421" t="s">
        <v>87</v>
      </c>
      <c r="AN421" t="str">
        <f t="shared" si="109"/>
        <v>.9700</v>
      </c>
      <c r="AO421" t="str">
        <f>"7.50"</f>
        <v>7.50</v>
      </c>
      <c r="AP421" t="s">
        <v>88</v>
      </c>
      <c r="AQ421" t="str">
        <f>"7.50"</f>
        <v>7.50</v>
      </c>
      <c r="AR421">
        <v>0</v>
      </c>
      <c r="AS421">
        <v>-5</v>
      </c>
      <c r="AT421">
        <v>-5</v>
      </c>
      <c r="AU421">
        <v>0</v>
      </c>
      <c r="AV421">
        <v>0</v>
      </c>
      <c r="AW421">
        <v>0</v>
      </c>
      <c r="AX421">
        <v>-30.15</v>
      </c>
      <c r="AY421">
        <v>-30.15</v>
      </c>
      <c r="AZ421">
        <v>0</v>
      </c>
    </row>
    <row r="422" spans="1:52">
      <c r="A422" t="s">
        <v>65</v>
      </c>
      <c r="B422" t="s">
        <v>66</v>
      </c>
      <c r="C422" t="s">
        <v>67</v>
      </c>
      <c r="D422" t="s">
        <v>68</v>
      </c>
      <c r="E422" t="s">
        <v>69</v>
      </c>
      <c r="F422" t="s">
        <v>70</v>
      </c>
      <c r="G422" t="s">
        <v>71</v>
      </c>
      <c r="H422" t="s">
        <v>70</v>
      </c>
      <c r="I422" t="str">
        <f t="shared" si="107"/>
        <v>1010</v>
      </c>
      <c r="J422" t="str">
        <f t="shared" si="108"/>
        <v>05</v>
      </c>
      <c r="K422" t="s">
        <v>68</v>
      </c>
      <c r="L422" t="s">
        <v>72</v>
      </c>
      <c r="M422" t="s">
        <v>68</v>
      </c>
      <c r="N422" t="s">
        <v>702</v>
      </c>
      <c r="O422" t="s">
        <v>714</v>
      </c>
      <c r="P422" t="str">
        <f>"3020618602"</f>
        <v>3020618602</v>
      </c>
      <c r="R422" t="str">
        <f>"00030206186024"</f>
        <v>00030206186024</v>
      </c>
      <c r="S422" s="1">
        <v>40519</v>
      </c>
      <c r="T422" s="1">
        <v>40498</v>
      </c>
      <c r="U422" t="str">
        <f>"3020618602"</f>
        <v>3020618602</v>
      </c>
      <c r="V422" t="str">
        <f>"1510"</f>
        <v>1510</v>
      </c>
      <c r="W422" t="str">
        <f t="shared" si="113"/>
        <v>11</v>
      </c>
      <c r="X422" t="s">
        <v>75</v>
      </c>
      <c r="Y422" t="s">
        <v>76</v>
      </c>
      <c r="Z422" t="s">
        <v>282</v>
      </c>
      <c r="AA422" t="s">
        <v>283</v>
      </c>
      <c r="AB422" t="s">
        <v>79</v>
      </c>
      <c r="AD422" t="s">
        <v>80</v>
      </c>
      <c r="AE422" t="s">
        <v>81</v>
      </c>
      <c r="AF422" t="s">
        <v>82</v>
      </c>
      <c r="AG422" t="s">
        <v>83</v>
      </c>
      <c r="AH422" t="s">
        <v>84</v>
      </c>
      <c r="AI422" t="str">
        <f>"02"</f>
        <v>02</v>
      </c>
      <c r="AJ422" t="str">
        <f>"2"</f>
        <v>2</v>
      </c>
      <c r="AK422" t="s">
        <v>118</v>
      </c>
      <c r="AL422" t="s">
        <v>94</v>
      </c>
      <c r="AM422" t="s">
        <v>95</v>
      </c>
      <c r="AN422" t="str">
        <f t="shared" si="109"/>
        <v>.9700</v>
      </c>
      <c r="AO422" t="str">
        <f>"10.32"</f>
        <v>10.32</v>
      </c>
      <c r="AP422" t="s">
        <v>119</v>
      </c>
      <c r="AQ422" t="str">
        <f>"10.32"</f>
        <v>10.32</v>
      </c>
      <c r="AR422">
        <v>11</v>
      </c>
      <c r="AS422">
        <v>-7</v>
      </c>
      <c r="AT422">
        <v>4</v>
      </c>
      <c r="AU422">
        <v>113.5</v>
      </c>
      <c r="AV422">
        <v>13.62</v>
      </c>
      <c r="AW422">
        <v>99.88</v>
      </c>
      <c r="AX422">
        <v>-64.66</v>
      </c>
      <c r="AY422">
        <v>35.22</v>
      </c>
      <c r="AZ422">
        <v>0</v>
      </c>
    </row>
    <row r="423" spans="1:52">
      <c r="A423" t="s">
        <v>65</v>
      </c>
      <c r="B423" t="s">
        <v>66</v>
      </c>
      <c r="C423" t="s">
        <v>67</v>
      </c>
      <c r="D423" t="s">
        <v>68</v>
      </c>
      <c r="E423" t="s">
        <v>69</v>
      </c>
      <c r="F423" t="s">
        <v>70</v>
      </c>
      <c r="G423" t="s">
        <v>71</v>
      </c>
      <c r="H423" t="s">
        <v>70</v>
      </c>
      <c r="I423" t="str">
        <f t="shared" si="107"/>
        <v>1010</v>
      </c>
      <c r="J423" t="str">
        <f t="shared" si="108"/>
        <v>05</v>
      </c>
      <c r="K423" t="s">
        <v>68</v>
      </c>
      <c r="L423" t="s">
        <v>72</v>
      </c>
      <c r="M423" t="s">
        <v>68</v>
      </c>
      <c r="N423" t="s">
        <v>702</v>
      </c>
      <c r="O423" t="s">
        <v>715</v>
      </c>
      <c r="P423" t="str">
        <f>"3020618082"</f>
        <v>3020618082</v>
      </c>
      <c r="R423" t="str">
        <f>"00030206180824"</f>
        <v>00030206180824</v>
      </c>
      <c r="S423" s="1">
        <v>40211</v>
      </c>
      <c r="T423" s="1">
        <v>40204</v>
      </c>
      <c r="U423" t="str">
        <f>"3020618082"</f>
        <v>3020618082</v>
      </c>
      <c r="V423" t="str">
        <f>"1510"</f>
        <v>1510</v>
      </c>
      <c r="W423" t="str">
        <f t="shared" si="113"/>
        <v>11</v>
      </c>
      <c r="X423" t="s">
        <v>75</v>
      </c>
      <c r="Y423" t="s">
        <v>76</v>
      </c>
      <c r="Z423" t="s">
        <v>105</v>
      </c>
      <c r="AA423" t="s">
        <v>106</v>
      </c>
      <c r="AB423" t="s">
        <v>79</v>
      </c>
      <c r="AD423" t="s">
        <v>80</v>
      </c>
      <c r="AE423" t="s">
        <v>81</v>
      </c>
      <c r="AF423" t="s">
        <v>82</v>
      </c>
      <c r="AG423" t="s">
        <v>83</v>
      </c>
      <c r="AH423" t="s">
        <v>84</v>
      </c>
      <c r="AI423" t="str">
        <f>"01"</f>
        <v>01</v>
      </c>
      <c r="AJ423" t="str">
        <f>"1"</f>
        <v>1</v>
      </c>
      <c r="AK423" t="s">
        <v>85</v>
      </c>
      <c r="AL423" t="s">
        <v>86</v>
      </c>
      <c r="AM423" t="s">
        <v>87</v>
      </c>
      <c r="AN423" t="str">
        <f t="shared" si="109"/>
        <v>.9700</v>
      </c>
      <c r="AO423" t="str">
        <f>"7.50"</f>
        <v>7.50</v>
      </c>
      <c r="AP423" t="s">
        <v>88</v>
      </c>
      <c r="AQ423" t="str">
        <f>"7.50"</f>
        <v>7.50</v>
      </c>
      <c r="AR423">
        <v>0</v>
      </c>
      <c r="AS423">
        <v>-2</v>
      </c>
      <c r="AT423">
        <v>-2</v>
      </c>
      <c r="AU423">
        <v>0</v>
      </c>
      <c r="AV423">
        <v>0</v>
      </c>
      <c r="AW423">
        <v>0</v>
      </c>
      <c r="AX423">
        <v>-13.68</v>
      </c>
      <c r="AY423">
        <v>-13.68</v>
      </c>
      <c r="AZ423">
        <v>0</v>
      </c>
    </row>
    <row r="424" spans="1:52">
      <c r="A424" t="s">
        <v>65</v>
      </c>
      <c r="B424" t="s">
        <v>66</v>
      </c>
      <c r="C424" t="s">
        <v>67</v>
      </c>
      <c r="D424" t="s">
        <v>68</v>
      </c>
      <c r="E424" t="s">
        <v>69</v>
      </c>
      <c r="F424" t="s">
        <v>70</v>
      </c>
      <c r="G424" t="s">
        <v>71</v>
      </c>
      <c r="H424" t="s">
        <v>70</v>
      </c>
      <c r="I424" t="str">
        <f t="shared" si="107"/>
        <v>1010</v>
      </c>
      <c r="J424" t="str">
        <f t="shared" si="108"/>
        <v>05</v>
      </c>
      <c r="K424" t="s">
        <v>68</v>
      </c>
      <c r="L424" t="s">
        <v>72</v>
      </c>
      <c r="M424" t="s">
        <v>68</v>
      </c>
      <c r="N424" t="s">
        <v>702</v>
      </c>
      <c r="O424" t="s">
        <v>716</v>
      </c>
      <c r="P424" t="str">
        <f>"3020618982"</f>
        <v>3020618982</v>
      </c>
      <c r="R424" t="str">
        <f>"00030206189827"</f>
        <v>00030206189827</v>
      </c>
      <c r="S424" s="1">
        <v>40883</v>
      </c>
      <c r="T424" s="1">
        <v>40862</v>
      </c>
      <c r="U424" t="str">
        <f>"3020618982"</f>
        <v>3020618982</v>
      </c>
      <c r="V424" t="str">
        <f>"1510"</f>
        <v>1510</v>
      </c>
      <c r="W424" t="str">
        <f t="shared" si="113"/>
        <v>11</v>
      </c>
      <c r="X424" t="s">
        <v>75</v>
      </c>
      <c r="Y424" t="s">
        <v>76</v>
      </c>
      <c r="Z424" t="s">
        <v>77</v>
      </c>
      <c r="AA424" t="s">
        <v>78</v>
      </c>
      <c r="AB424" t="s">
        <v>79</v>
      </c>
      <c r="AD424" t="s">
        <v>80</v>
      </c>
      <c r="AE424" t="s">
        <v>81</v>
      </c>
      <c r="AF424" t="s">
        <v>82</v>
      </c>
      <c r="AG424" t="s">
        <v>83</v>
      </c>
      <c r="AH424" t="s">
        <v>84</v>
      </c>
      <c r="AI424" t="str">
        <f>"02"</f>
        <v>02</v>
      </c>
      <c r="AJ424" t="str">
        <f>"2"</f>
        <v>2</v>
      </c>
      <c r="AK424" t="s">
        <v>107</v>
      </c>
      <c r="AL424" t="s">
        <v>94</v>
      </c>
      <c r="AM424" t="s">
        <v>95</v>
      </c>
      <c r="AN424" t="str">
        <f t="shared" si="109"/>
        <v>.9700</v>
      </c>
      <c r="AO424" t="str">
        <f>"10.78"</f>
        <v>10.78</v>
      </c>
      <c r="AP424" t="s">
        <v>108</v>
      </c>
      <c r="AQ424" t="str">
        <f>"10.78"</f>
        <v>10.78</v>
      </c>
      <c r="AR424">
        <v>0</v>
      </c>
      <c r="AS424">
        <v>-2</v>
      </c>
      <c r="AT424">
        <v>-2</v>
      </c>
      <c r="AU424">
        <v>0</v>
      </c>
      <c r="AV424">
        <v>0</v>
      </c>
      <c r="AW424">
        <v>0</v>
      </c>
      <c r="AX424">
        <v>-18.7</v>
      </c>
      <c r="AY424">
        <v>-18.7</v>
      </c>
      <c r="AZ424">
        <v>0</v>
      </c>
    </row>
    <row r="425" spans="1:52">
      <c r="A425" t="s">
        <v>65</v>
      </c>
      <c r="B425" t="s">
        <v>66</v>
      </c>
      <c r="C425" t="s">
        <v>67</v>
      </c>
      <c r="D425" t="s">
        <v>68</v>
      </c>
      <c r="E425" t="s">
        <v>69</v>
      </c>
      <c r="F425" t="s">
        <v>70</v>
      </c>
      <c r="G425" t="s">
        <v>71</v>
      </c>
      <c r="H425" t="s">
        <v>70</v>
      </c>
      <c r="I425" t="str">
        <f t="shared" si="107"/>
        <v>1010</v>
      </c>
      <c r="J425" t="str">
        <f t="shared" si="108"/>
        <v>05</v>
      </c>
      <c r="K425" t="s">
        <v>68</v>
      </c>
      <c r="L425" t="s">
        <v>72</v>
      </c>
      <c r="M425" t="s">
        <v>68</v>
      </c>
      <c r="N425" t="s">
        <v>702</v>
      </c>
      <c r="O425" t="s">
        <v>717</v>
      </c>
      <c r="P425" t="str">
        <f>"3020617672"</f>
        <v>3020617672</v>
      </c>
      <c r="R425" t="str">
        <f>"00030206176728"</f>
        <v>00030206176728</v>
      </c>
      <c r="S425" s="1">
        <v>39952</v>
      </c>
      <c r="T425" s="1">
        <v>39945</v>
      </c>
      <c r="U425" t="str">
        <f>"3020617672"</f>
        <v>3020617672</v>
      </c>
      <c r="V425" t="str">
        <f>"1510"</f>
        <v>1510</v>
      </c>
      <c r="W425" t="str">
        <f t="shared" si="113"/>
        <v>11</v>
      </c>
      <c r="X425" t="s">
        <v>75</v>
      </c>
      <c r="Y425" t="s">
        <v>76</v>
      </c>
      <c r="Z425" t="s">
        <v>254</v>
      </c>
      <c r="AA425" t="s">
        <v>255</v>
      </c>
      <c r="AB425" t="s">
        <v>79</v>
      </c>
      <c r="AD425" t="s">
        <v>80</v>
      </c>
      <c r="AE425" t="s">
        <v>81</v>
      </c>
      <c r="AF425" t="s">
        <v>82</v>
      </c>
      <c r="AG425" t="s">
        <v>83</v>
      </c>
      <c r="AH425" t="s">
        <v>84</v>
      </c>
      <c r="AI425" t="str">
        <f>"02"</f>
        <v>02</v>
      </c>
      <c r="AJ425" t="str">
        <f>"2"</f>
        <v>2</v>
      </c>
      <c r="AK425" t="s">
        <v>154</v>
      </c>
      <c r="AL425" t="s">
        <v>94</v>
      </c>
      <c r="AM425" t="s">
        <v>87</v>
      </c>
      <c r="AN425" t="str">
        <f t="shared" si="109"/>
        <v>.9700</v>
      </c>
      <c r="AO425" t="str">
        <f>"7.25"</f>
        <v>7.25</v>
      </c>
      <c r="AP425" t="s">
        <v>156</v>
      </c>
      <c r="AQ425" t="str">
        <f>"7.25"</f>
        <v>7.25</v>
      </c>
      <c r="AR425">
        <v>26</v>
      </c>
      <c r="AS425">
        <v>-5</v>
      </c>
      <c r="AT425">
        <v>21</v>
      </c>
      <c r="AU425">
        <v>188.62</v>
      </c>
      <c r="AV425">
        <v>18.3</v>
      </c>
      <c r="AW425">
        <v>170.32</v>
      </c>
      <c r="AX425">
        <v>-33.1</v>
      </c>
      <c r="AY425">
        <v>137.22</v>
      </c>
      <c r="AZ425">
        <v>0</v>
      </c>
    </row>
    <row r="426" spans="1:52">
      <c r="A426" t="s">
        <v>65</v>
      </c>
      <c r="B426" t="s">
        <v>66</v>
      </c>
      <c r="C426" t="s">
        <v>67</v>
      </c>
      <c r="D426" t="s">
        <v>68</v>
      </c>
      <c r="E426" t="s">
        <v>69</v>
      </c>
      <c r="F426" t="s">
        <v>70</v>
      </c>
      <c r="G426" t="s">
        <v>71</v>
      </c>
      <c r="H426" t="s">
        <v>70</v>
      </c>
      <c r="I426" t="str">
        <f t="shared" si="107"/>
        <v>1010</v>
      </c>
      <c r="J426" t="str">
        <f t="shared" si="108"/>
        <v>05</v>
      </c>
      <c r="K426" t="s">
        <v>68</v>
      </c>
      <c r="L426" t="s">
        <v>72</v>
      </c>
      <c r="M426" t="s">
        <v>68</v>
      </c>
      <c r="N426" t="s">
        <v>702</v>
      </c>
      <c r="O426" t="s">
        <v>718</v>
      </c>
      <c r="P426" t="str">
        <f>"3020619442"</f>
        <v>3020619442</v>
      </c>
      <c r="R426" t="str">
        <f>"00030206194425"</f>
        <v>00030206194425</v>
      </c>
      <c r="S426" s="1">
        <v>41254</v>
      </c>
      <c r="T426" s="1">
        <v>41254</v>
      </c>
      <c r="U426" t="str">
        <f>"3020619442"</f>
        <v>3020619442</v>
      </c>
      <c r="V426" t="str">
        <f>"1010"</f>
        <v>1010</v>
      </c>
      <c r="W426" t="str">
        <f t="shared" si="113"/>
        <v>11</v>
      </c>
      <c r="X426" t="s">
        <v>75</v>
      </c>
      <c r="Y426" t="s">
        <v>76</v>
      </c>
      <c r="Z426" t="s">
        <v>77</v>
      </c>
      <c r="AA426" t="s">
        <v>78</v>
      </c>
      <c r="AB426" t="s">
        <v>79</v>
      </c>
      <c r="AD426" t="s">
        <v>80</v>
      </c>
      <c r="AE426" t="s">
        <v>81</v>
      </c>
      <c r="AF426" t="s">
        <v>82</v>
      </c>
      <c r="AG426" t="s">
        <v>83</v>
      </c>
      <c r="AH426" t="s">
        <v>84</v>
      </c>
      <c r="AI426" t="str">
        <f>"02"</f>
        <v>02</v>
      </c>
      <c r="AJ426" t="str">
        <f>"2"</f>
        <v>2</v>
      </c>
      <c r="AK426" t="s">
        <v>135</v>
      </c>
      <c r="AL426" t="s">
        <v>94</v>
      </c>
      <c r="AM426" t="s">
        <v>95</v>
      </c>
      <c r="AN426" t="str">
        <f t="shared" si="109"/>
        <v>.9700</v>
      </c>
      <c r="AO426" t="str">
        <f>"12.02"</f>
        <v>12.02</v>
      </c>
      <c r="AP426" t="s">
        <v>136</v>
      </c>
      <c r="AQ426" t="str">
        <f>"12.02"</f>
        <v>12.02</v>
      </c>
      <c r="AR426">
        <v>5</v>
      </c>
      <c r="AS426">
        <v>-8</v>
      </c>
      <c r="AT426">
        <v>-3</v>
      </c>
      <c r="AU426">
        <v>60.11</v>
      </c>
      <c r="AV426">
        <v>6.01</v>
      </c>
      <c r="AW426">
        <v>54.1</v>
      </c>
      <c r="AX426">
        <v>-82.25</v>
      </c>
      <c r="AY426">
        <v>-28.15</v>
      </c>
      <c r="AZ426">
        <v>0</v>
      </c>
    </row>
    <row r="427" spans="1:52">
      <c r="A427" t="s">
        <v>65</v>
      </c>
      <c r="B427" t="s">
        <v>66</v>
      </c>
      <c r="C427" t="s">
        <v>67</v>
      </c>
      <c r="D427" t="s">
        <v>68</v>
      </c>
      <c r="E427" t="s">
        <v>69</v>
      </c>
      <c r="F427" t="s">
        <v>70</v>
      </c>
      <c r="G427" t="s">
        <v>71</v>
      </c>
      <c r="H427" t="s">
        <v>70</v>
      </c>
      <c r="I427" t="str">
        <f t="shared" si="107"/>
        <v>1010</v>
      </c>
      <c r="J427" t="str">
        <f t="shared" si="108"/>
        <v>05</v>
      </c>
      <c r="K427" t="s">
        <v>68</v>
      </c>
      <c r="L427" t="s">
        <v>72</v>
      </c>
      <c r="M427" t="s">
        <v>68</v>
      </c>
      <c r="N427" t="s">
        <v>702</v>
      </c>
      <c r="O427" t="s">
        <v>719</v>
      </c>
      <c r="P427" t="str">
        <f>"3020618802"</f>
        <v>3020618802</v>
      </c>
      <c r="R427" t="str">
        <f>"00030206188028"</f>
        <v>00030206188028</v>
      </c>
      <c r="S427" s="1">
        <v>40666</v>
      </c>
      <c r="T427" s="1">
        <v>40666</v>
      </c>
      <c r="U427" t="str">
        <f>"3020618802"</f>
        <v>3020618802</v>
      </c>
      <c r="V427" t="str">
        <f>"1510"</f>
        <v>1510</v>
      </c>
      <c r="W427" t="str">
        <f t="shared" si="113"/>
        <v>11</v>
      </c>
      <c r="X427" t="s">
        <v>75</v>
      </c>
      <c r="Y427" t="s">
        <v>76</v>
      </c>
      <c r="Z427" t="s">
        <v>121</v>
      </c>
      <c r="AA427" t="s">
        <v>122</v>
      </c>
      <c r="AB427" t="s">
        <v>79</v>
      </c>
      <c r="AD427" t="s">
        <v>80</v>
      </c>
      <c r="AE427" t="s">
        <v>81</v>
      </c>
      <c r="AF427" t="s">
        <v>82</v>
      </c>
      <c r="AG427" t="s">
        <v>83</v>
      </c>
      <c r="AH427" t="s">
        <v>84</v>
      </c>
      <c r="AI427" t="str">
        <f>"02"</f>
        <v>02</v>
      </c>
      <c r="AJ427" t="str">
        <f>"2"</f>
        <v>2</v>
      </c>
      <c r="AK427" t="s">
        <v>107</v>
      </c>
      <c r="AL427" t="s">
        <v>94</v>
      </c>
      <c r="AM427" t="s">
        <v>95</v>
      </c>
      <c r="AN427" t="str">
        <f t="shared" si="109"/>
        <v>.9700</v>
      </c>
      <c r="AO427" t="str">
        <f>"10.78"</f>
        <v>10.78</v>
      </c>
      <c r="AP427" t="s">
        <v>108</v>
      </c>
      <c r="AQ427" t="str">
        <f>"10.78"</f>
        <v>10.78</v>
      </c>
      <c r="AR427">
        <v>4</v>
      </c>
      <c r="AS427">
        <v>0</v>
      </c>
      <c r="AT427">
        <v>4</v>
      </c>
      <c r="AU427">
        <v>43.12</v>
      </c>
      <c r="AV427">
        <v>3.24</v>
      </c>
      <c r="AW427">
        <v>39.880000000000003</v>
      </c>
      <c r="AX427">
        <v>0</v>
      </c>
      <c r="AY427">
        <v>39.880000000000003</v>
      </c>
      <c r="AZ427">
        <v>0</v>
      </c>
    </row>
    <row r="428" spans="1:52">
      <c r="A428" t="s">
        <v>65</v>
      </c>
      <c r="B428" t="s">
        <v>66</v>
      </c>
      <c r="C428" t="s">
        <v>67</v>
      </c>
      <c r="D428" t="s">
        <v>68</v>
      </c>
      <c r="E428" t="s">
        <v>69</v>
      </c>
      <c r="F428" t="s">
        <v>70</v>
      </c>
      <c r="G428" t="s">
        <v>71</v>
      </c>
      <c r="H428" t="s">
        <v>70</v>
      </c>
      <c r="I428" t="str">
        <f t="shared" si="107"/>
        <v>1010</v>
      </c>
      <c r="J428" t="str">
        <f t="shared" si="108"/>
        <v>05</v>
      </c>
      <c r="K428" t="s">
        <v>68</v>
      </c>
      <c r="L428" t="s">
        <v>72</v>
      </c>
      <c r="M428" t="s">
        <v>68</v>
      </c>
      <c r="N428" t="s">
        <v>702</v>
      </c>
      <c r="O428" t="s">
        <v>720</v>
      </c>
      <c r="P428" t="str">
        <f>"3020619032"</f>
        <v>3020619032</v>
      </c>
      <c r="R428" t="str">
        <f>"00030206190328"</f>
        <v>00030206190328</v>
      </c>
      <c r="S428" s="1">
        <v>40939</v>
      </c>
      <c r="T428" s="1">
        <v>40932</v>
      </c>
      <c r="U428" t="str">
        <f>"3020619032"</f>
        <v>3020619032</v>
      </c>
      <c r="V428" t="str">
        <f>"1510"</f>
        <v>1510</v>
      </c>
      <c r="W428" t="str">
        <f t="shared" si="113"/>
        <v>11</v>
      </c>
      <c r="X428" t="s">
        <v>75</v>
      </c>
      <c r="Y428" t="s">
        <v>76</v>
      </c>
      <c r="Z428" t="s">
        <v>105</v>
      </c>
      <c r="AA428" t="s">
        <v>106</v>
      </c>
      <c r="AB428" t="s">
        <v>79</v>
      </c>
      <c r="AD428" t="s">
        <v>80</v>
      </c>
      <c r="AE428" t="s">
        <v>81</v>
      </c>
      <c r="AF428" t="s">
        <v>82</v>
      </c>
      <c r="AG428" t="s">
        <v>83</v>
      </c>
      <c r="AH428" t="s">
        <v>84</v>
      </c>
      <c r="AI428" t="str">
        <f>"01"</f>
        <v>01</v>
      </c>
      <c r="AJ428" t="str">
        <f>"1"</f>
        <v>1</v>
      </c>
      <c r="AK428" t="s">
        <v>114</v>
      </c>
      <c r="AL428" t="s">
        <v>86</v>
      </c>
      <c r="AM428" t="s">
        <v>87</v>
      </c>
      <c r="AN428" t="str">
        <f t="shared" si="109"/>
        <v>.9700</v>
      </c>
      <c r="AO428" t="str">
        <f>"7.00"</f>
        <v>7.00</v>
      </c>
      <c r="AP428" t="s">
        <v>115</v>
      </c>
      <c r="AQ428" t="str">
        <f>"7.00"</f>
        <v>7.00</v>
      </c>
      <c r="AR428">
        <v>0</v>
      </c>
      <c r="AS428">
        <v>-2</v>
      </c>
      <c r="AT428">
        <v>-2</v>
      </c>
      <c r="AU428">
        <v>0</v>
      </c>
      <c r="AV428">
        <v>0</v>
      </c>
      <c r="AW428">
        <v>0</v>
      </c>
      <c r="AX428">
        <v>-12.08</v>
      </c>
      <c r="AY428">
        <v>-12.08</v>
      </c>
      <c r="AZ428">
        <v>0</v>
      </c>
    </row>
    <row r="429" spans="1:52">
      <c r="A429" t="s">
        <v>65</v>
      </c>
      <c r="B429" t="s">
        <v>66</v>
      </c>
      <c r="C429" t="s">
        <v>67</v>
      </c>
      <c r="D429" t="s">
        <v>68</v>
      </c>
      <c r="E429" t="s">
        <v>69</v>
      </c>
      <c r="F429" t="s">
        <v>70</v>
      </c>
      <c r="G429" t="s">
        <v>71</v>
      </c>
      <c r="H429" t="s">
        <v>70</v>
      </c>
      <c r="I429" t="str">
        <f t="shared" si="107"/>
        <v>1010</v>
      </c>
      <c r="J429" t="str">
        <f t="shared" si="108"/>
        <v>05</v>
      </c>
      <c r="K429" t="s">
        <v>68</v>
      </c>
      <c r="L429" t="s">
        <v>72</v>
      </c>
      <c r="M429" t="s">
        <v>68</v>
      </c>
      <c r="N429" t="s">
        <v>702</v>
      </c>
      <c r="O429" t="s">
        <v>721</v>
      </c>
      <c r="P429" t="str">
        <f>"3020617522"</f>
        <v>3020617522</v>
      </c>
      <c r="R429" t="str">
        <f>"00030206175226"</f>
        <v>00030206175226</v>
      </c>
      <c r="S429" s="1">
        <v>39847</v>
      </c>
      <c r="T429" s="1">
        <v>39847</v>
      </c>
      <c r="U429" t="str">
        <f>"3020617522"</f>
        <v>3020617522</v>
      </c>
      <c r="V429" t="str">
        <f>"1510"</f>
        <v>1510</v>
      </c>
      <c r="W429" t="str">
        <f t="shared" si="113"/>
        <v>11</v>
      </c>
      <c r="X429" t="s">
        <v>75</v>
      </c>
      <c r="Y429" t="s">
        <v>76</v>
      </c>
      <c r="Z429" t="s">
        <v>105</v>
      </c>
      <c r="AA429" t="s">
        <v>106</v>
      </c>
      <c r="AB429" t="s">
        <v>79</v>
      </c>
      <c r="AD429" t="s">
        <v>80</v>
      </c>
      <c r="AE429" t="s">
        <v>81</v>
      </c>
      <c r="AF429" t="s">
        <v>82</v>
      </c>
      <c r="AG429" t="s">
        <v>83</v>
      </c>
      <c r="AH429" t="s">
        <v>84</v>
      </c>
      <c r="AI429" t="str">
        <f>"01"</f>
        <v>01</v>
      </c>
      <c r="AJ429" t="str">
        <f>"1"</f>
        <v>1</v>
      </c>
      <c r="AK429" t="s">
        <v>154</v>
      </c>
      <c r="AL429" t="s">
        <v>86</v>
      </c>
      <c r="AM429" t="s">
        <v>87</v>
      </c>
      <c r="AN429" t="str">
        <f t="shared" si="109"/>
        <v>.9700</v>
      </c>
      <c r="AO429" t="str">
        <f>"7.25"</f>
        <v>7.25</v>
      </c>
      <c r="AP429" t="s">
        <v>156</v>
      </c>
      <c r="AQ429" t="str">
        <f>"7.25"</f>
        <v>7.25</v>
      </c>
      <c r="AR429">
        <v>61</v>
      </c>
      <c r="AS429">
        <v>-1</v>
      </c>
      <c r="AT429">
        <v>60</v>
      </c>
      <c r="AU429">
        <v>442.58</v>
      </c>
      <c r="AV429">
        <v>43.53</v>
      </c>
      <c r="AW429">
        <v>399.05</v>
      </c>
      <c r="AX429">
        <v>-5.68</v>
      </c>
      <c r="AY429">
        <v>393.37</v>
      </c>
      <c r="AZ429">
        <v>0</v>
      </c>
    </row>
    <row r="430" spans="1:52">
      <c r="A430" t="s">
        <v>65</v>
      </c>
      <c r="B430" t="s">
        <v>66</v>
      </c>
      <c r="C430" t="s">
        <v>67</v>
      </c>
      <c r="D430" t="s">
        <v>68</v>
      </c>
      <c r="E430" t="s">
        <v>69</v>
      </c>
      <c r="F430" t="s">
        <v>70</v>
      </c>
      <c r="G430" t="s">
        <v>71</v>
      </c>
      <c r="H430" t="s">
        <v>70</v>
      </c>
      <c r="I430" t="str">
        <f t="shared" si="107"/>
        <v>1010</v>
      </c>
      <c r="J430" t="str">
        <f t="shared" si="108"/>
        <v>05</v>
      </c>
      <c r="K430" t="s">
        <v>68</v>
      </c>
      <c r="L430" t="s">
        <v>72</v>
      </c>
      <c r="M430" t="s">
        <v>68</v>
      </c>
      <c r="N430" t="s">
        <v>702</v>
      </c>
      <c r="O430" t="s">
        <v>722</v>
      </c>
      <c r="P430" t="str">
        <f>"3020616012"</f>
        <v>3020616012</v>
      </c>
      <c r="R430" t="str">
        <f>"00030206160123"</f>
        <v>00030206160123</v>
      </c>
      <c r="S430" s="1">
        <v>38944</v>
      </c>
      <c r="T430" s="1">
        <v>38944</v>
      </c>
      <c r="U430" t="str">
        <f>"3020616012"</f>
        <v>3020616012</v>
      </c>
      <c r="V430" t="str">
        <f>"1510"</f>
        <v>1510</v>
      </c>
      <c r="W430" t="str">
        <f t="shared" si="113"/>
        <v>11</v>
      </c>
      <c r="X430" t="s">
        <v>75</v>
      </c>
      <c r="Y430" t="s">
        <v>76</v>
      </c>
      <c r="Z430" t="s">
        <v>77</v>
      </c>
      <c r="AA430" t="s">
        <v>78</v>
      </c>
      <c r="AB430" t="s">
        <v>79</v>
      </c>
      <c r="AD430" t="s">
        <v>80</v>
      </c>
      <c r="AE430" t="s">
        <v>81</v>
      </c>
      <c r="AF430" t="s">
        <v>82</v>
      </c>
      <c r="AG430" t="s">
        <v>83</v>
      </c>
      <c r="AH430" t="s">
        <v>84</v>
      </c>
      <c r="AI430" t="str">
        <f>"01"</f>
        <v>01</v>
      </c>
      <c r="AJ430" t="str">
        <f>"1"</f>
        <v>1</v>
      </c>
      <c r="AK430" t="s">
        <v>98</v>
      </c>
      <c r="AL430" t="s">
        <v>94</v>
      </c>
      <c r="AM430" t="s">
        <v>95</v>
      </c>
      <c r="AN430" t="str">
        <f t="shared" si="109"/>
        <v>.9700</v>
      </c>
      <c r="AO430" t="str">
        <f>"8.00"</f>
        <v>8.00</v>
      </c>
      <c r="AP430" t="s">
        <v>99</v>
      </c>
      <c r="AQ430" t="str">
        <f>"8.00"</f>
        <v>8.00</v>
      </c>
      <c r="AR430">
        <v>0</v>
      </c>
      <c r="AS430">
        <v>-1</v>
      </c>
      <c r="AT430">
        <v>-1</v>
      </c>
      <c r="AU430">
        <v>0</v>
      </c>
      <c r="AV430">
        <v>0</v>
      </c>
      <c r="AW430">
        <v>0</v>
      </c>
      <c r="AX430">
        <v>-7.2</v>
      </c>
      <c r="AY430">
        <v>-7.2</v>
      </c>
      <c r="AZ430">
        <v>0</v>
      </c>
    </row>
    <row r="431" spans="1:52">
      <c r="A431" t="s">
        <v>65</v>
      </c>
      <c r="B431" t="s">
        <v>66</v>
      </c>
      <c r="C431" t="s">
        <v>67</v>
      </c>
      <c r="D431" t="s">
        <v>68</v>
      </c>
      <c r="E431" t="s">
        <v>69</v>
      </c>
      <c r="F431" t="s">
        <v>70</v>
      </c>
      <c r="G431" t="s">
        <v>71</v>
      </c>
      <c r="H431" t="s">
        <v>70</v>
      </c>
      <c r="I431" t="str">
        <f t="shared" si="107"/>
        <v>1010</v>
      </c>
      <c r="J431" t="str">
        <f t="shared" si="108"/>
        <v>05</v>
      </c>
      <c r="K431" t="s">
        <v>68</v>
      </c>
      <c r="L431" t="s">
        <v>72</v>
      </c>
      <c r="M431" t="s">
        <v>68</v>
      </c>
      <c r="N431" t="s">
        <v>702</v>
      </c>
      <c r="O431" t="s">
        <v>723</v>
      </c>
      <c r="P431" t="str">
        <f>"3020619392"</f>
        <v>3020619392</v>
      </c>
      <c r="R431" t="str">
        <f>"00030206193923"</f>
        <v>00030206193923</v>
      </c>
      <c r="S431" s="1">
        <v>41212</v>
      </c>
      <c r="T431" s="1">
        <v>41212</v>
      </c>
      <c r="U431" t="str">
        <f>"3020619392"</f>
        <v>3020619392</v>
      </c>
      <c r="V431" t="str">
        <f>"1010"</f>
        <v>1010</v>
      </c>
      <c r="W431" t="str">
        <f t="shared" si="113"/>
        <v>11</v>
      </c>
      <c r="X431" t="s">
        <v>75</v>
      </c>
      <c r="Y431" t="s">
        <v>76</v>
      </c>
      <c r="Z431" t="s">
        <v>180</v>
      </c>
      <c r="AA431" t="s">
        <v>181</v>
      </c>
      <c r="AB431" t="s">
        <v>79</v>
      </c>
      <c r="AD431" t="s">
        <v>80</v>
      </c>
      <c r="AE431" t="s">
        <v>81</v>
      </c>
      <c r="AF431" t="s">
        <v>82</v>
      </c>
      <c r="AG431" t="s">
        <v>83</v>
      </c>
      <c r="AH431" t="s">
        <v>84</v>
      </c>
      <c r="AI431" t="str">
        <f>"02"</f>
        <v>02</v>
      </c>
      <c r="AJ431" t="str">
        <f>"2"</f>
        <v>2</v>
      </c>
      <c r="AK431" t="s">
        <v>135</v>
      </c>
      <c r="AL431" t="s">
        <v>94</v>
      </c>
      <c r="AM431" t="s">
        <v>95</v>
      </c>
      <c r="AN431" t="str">
        <f t="shared" si="109"/>
        <v>.9700</v>
      </c>
      <c r="AO431" t="str">
        <f>"12.02"</f>
        <v>12.02</v>
      </c>
      <c r="AP431" t="s">
        <v>136</v>
      </c>
      <c r="AQ431" t="str">
        <f>"12.02"</f>
        <v>12.02</v>
      </c>
      <c r="AR431">
        <v>5</v>
      </c>
      <c r="AS431">
        <v>-3</v>
      </c>
      <c r="AT431">
        <v>2</v>
      </c>
      <c r="AU431">
        <v>60.11</v>
      </c>
      <c r="AV431">
        <v>6.01</v>
      </c>
      <c r="AW431">
        <v>54.1</v>
      </c>
      <c r="AX431">
        <v>-31.01</v>
      </c>
      <c r="AY431">
        <v>23.09</v>
      </c>
      <c r="AZ431">
        <v>0</v>
      </c>
    </row>
    <row r="432" spans="1:52">
      <c r="A432" t="s">
        <v>65</v>
      </c>
      <c r="B432" t="s">
        <v>66</v>
      </c>
      <c r="C432" t="s">
        <v>67</v>
      </c>
      <c r="D432" t="s">
        <v>68</v>
      </c>
      <c r="E432" t="s">
        <v>69</v>
      </c>
      <c r="F432" t="s">
        <v>70</v>
      </c>
      <c r="G432" t="s">
        <v>71</v>
      </c>
      <c r="H432" t="s">
        <v>70</v>
      </c>
      <c r="I432" t="str">
        <f t="shared" si="107"/>
        <v>1010</v>
      </c>
      <c r="J432" t="str">
        <f t="shared" si="108"/>
        <v>05</v>
      </c>
      <c r="K432" t="s">
        <v>68</v>
      </c>
      <c r="L432" t="s">
        <v>72</v>
      </c>
      <c r="M432" t="s">
        <v>68</v>
      </c>
      <c r="N432" t="s">
        <v>702</v>
      </c>
      <c r="O432" t="s">
        <v>724</v>
      </c>
      <c r="P432" t="str">
        <f>"3020618972"</f>
        <v>3020618972</v>
      </c>
      <c r="R432" t="str">
        <f>"00030206189728"</f>
        <v>00030206189728</v>
      </c>
      <c r="S432" s="1">
        <v>40883</v>
      </c>
      <c r="T432" s="1">
        <v>40862</v>
      </c>
      <c r="U432" t="str">
        <f>"3020618972"</f>
        <v>3020618972</v>
      </c>
      <c r="V432" t="str">
        <f>"1510"</f>
        <v>1510</v>
      </c>
      <c r="W432" t="str">
        <f t="shared" si="113"/>
        <v>11</v>
      </c>
      <c r="X432" t="s">
        <v>75</v>
      </c>
      <c r="Y432" t="s">
        <v>76</v>
      </c>
      <c r="Z432" t="s">
        <v>121</v>
      </c>
      <c r="AA432" t="s">
        <v>122</v>
      </c>
      <c r="AB432" t="s">
        <v>79</v>
      </c>
      <c r="AD432" t="s">
        <v>80</v>
      </c>
      <c r="AE432" t="s">
        <v>81</v>
      </c>
      <c r="AF432" t="s">
        <v>82</v>
      </c>
      <c r="AG432" t="s">
        <v>83</v>
      </c>
      <c r="AH432" t="s">
        <v>84</v>
      </c>
      <c r="AI432" t="str">
        <f>"02"</f>
        <v>02</v>
      </c>
      <c r="AJ432" t="str">
        <f>"2"</f>
        <v>2</v>
      </c>
      <c r="AK432" t="s">
        <v>107</v>
      </c>
      <c r="AL432" t="s">
        <v>94</v>
      </c>
      <c r="AM432" t="s">
        <v>95</v>
      </c>
      <c r="AN432" t="str">
        <f t="shared" si="109"/>
        <v>.9700</v>
      </c>
      <c r="AO432" t="str">
        <f>"10.78"</f>
        <v>10.78</v>
      </c>
      <c r="AP432" t="s">
        <v>108</v>
      </c>
      <c r="AQ432" t="str">
        <f>"10.78"</f>
        <v>10.78</v>
      </c>
      <c r="AR432">
        <v>3</v>
      </c>
      <c r="AS432">
        <v>-1</v>
      </c>
      <c r="AT432">
        <v>2</v>
      </c>
      <c r="AU432">
        <v>32.33</v>
      </c>
      <c r="AV432">
        <v>3.23</v>
      </c>
      <c r="AW432">
        <v>29.1</v>
      </c>
      <c r="AX432">
        <v>-8.2100000000000009</v>
      </c>
      <c r="AY432">
        <v>20.89</v>
      </c>
      <c r="AZ432">
        <v>0</v>
      </c>
    </row>
    <row r="433" spans="1:52">
      <c r="A433" t="s">
        <v>65</v>
      </c>
      <c r="B433" t="s">
        <v>66</v>
      </c>
      <c r="C433" t="s">
        <v>67</v>
      </c>
      <c r="D433" t="s">
        <v>68</v>
      </c>
      <c r="E433" t="s">
        <v>69</v>
      </c>
      <c r="F433" t="s">
        <v>70</v>
      </c>
      <c r="G433" t="s">
        <v>71</v>
      </c>
      <c r="H433" t="s">
        <v>70</v>
      </c>
      <c r="I433" t="str">
        <f t="shared" si="107"/>
        <v>1010</v>
      </c>
      <c r="J433" t="str">
        <f t="shared" si="108"/>
        <v>05</v>
      </c>
      <c r="K433" t="s">
        <v>68</v>
      </c>
      <c r="L433" t="s">
        <v>72</v>
      </c>
      <c r="M433" t="s">
        <v>68</v>
      </c>
      <c r="N433" t="s">
        <v>702</v>
      </c>
      <c r="O433" t="s">
        <v>725</v>
      </c>
      <c r="P433" t="str">
        <f>"3020619612"</f>
        <v>3020619612</v>
      </c>
      <c r="R433" t="str">
        <f>"00030206196122"</f>
        <v>00030206196122</v>
      </c>
      <c r="S433" s="1">
        <v>41478</v>
      </c>
      <c r="T433" s="1">
        <v>41464</v>
      </c>
      <c r="U433" t="str">
        <f>"3020619612"</f>
        <v>3020619612</v>
      </c>
      <c r="V433" t="str">
        <f>"1010"</f>
        <v>1010</v>
      </c>
      <c r="W433" t="str">
        <f t="shared" si="113"/>
        <v>11</v>
      </c>
      <c r="X433" t="s">
        <v>75</v>
      </c>
      <c r="Y433" t="s">
        <v>173</v>
      </c>
      <c r="Z433" t="s">
        <v>247</v>
      </c>
      <c r="AA433" t="s">
        <v>248</v>
      </c>
      <c r="AB433" t="s">
        <v>79</v>
      </c>
      <c r="AD433" t="s">
        <v>80</v>
      </c>
      <c r="AE433" t="s">
        <v>81</v>
      </c>
      <c r="AF433" t="s">
        <v>82</v>
      </c>
      <c r="AG433" t="s">
        <v>83</v>
      </c>
      <c r="AH433" t="s">
        <v>84</v>
      </c>
      <c r="AJ433" t="str">
        <f>"2"</f>
        <v>2</v>
      </c>
      <c r="AK433" t="s">
        <v>93</v>
      </c>
      <c r="AL433" t="s">
        <v>143</v>
      </c>
      <c r="AM433" t="s">
        <v>95</v>
      </c>
      <c r="AN433" t="str">
        <f t="shared" si="109"/>
        <v>.9700</v>
      </c>
      <c r="AO433" t="str">
        <f>"11.41"</f>
        <v>11.41</v>
      </c>
      <c r="AP433" t="s">
        <v>96</v>
      </c>
      <c r="AQ433" t="str">
        <f>"11.41"</f>
        <v>11.41</v>
      </c>
      <c r="AR433">
        <v>21</v>
      </c>
      <c r="AS433">
        <v>-13</v>
      </c>
      <c r="AT433">
        <v>8</v>
      </c>
      <c r="AU433">
        <v>239.63</v>
      </c>
      <c r="AV433">
        <v>21.68</v>
      </c>
      <c r="AW433">
        <v>217.95</v>
      </c>
      <c r="AX433">
        <v>-124.43</v>
      </c>
      <c r="AY433">
        <v>93.52</v>
      </c>
      <c r="AZ433">
        <v>0</v>
      </c>
    </row>
    <row r="434" spans="1:52">
      <c r="A434" t="s">
        <v>65</v>
      </c>
      <c r="B434" t="s">
        <v>66</v>
      </c>
      <c r="C434" t="s">
        <v>67</v>
      </c>
      <c r="D434" t="s">
        <v>68</v>
      </c>
      <c r="E434" t="s">
        <v>69</v>
      </c>
      <c r="F434" t="s">
        <v>70</v>
      </c>
      <c r="G434" t="s">
        <v>71</v>
      </c>
      <c r="H434" t="s">
        <v>70</v>
      </c>
      <c r="I434" t="str">
        <f t="shared" si="107"/>
        <v>1010</v>
      </c>
      <c r="J434" t="str">
        <f t="shared" si="108"/>
        <v>05</v>
      </c>
      <c r="K434" t="s">
        <v>68</v>
      </c>
      <c r="L434" t="s">
        <v>72</v>
      </c>
      <c r="M434" t="s">
        <v>68</v>
      </c>
      <c r="N434" t="s">
        <v>702</v>
      </c>
      <c r="O434" t="s">
        <v>725</v>
      </c>
      <c r="P434" t="str">
        <f>"3020619612"</f>
        <v>3020619612</v>
      </c>
      <c r="R434" t="str">
        <f>"00030206196122"</f>
        <v>00030206196122</v>
      </c>
      <c r="S434" s="1">
        <v>41478</v>
      </c>
      <c r="T434" s="1">
        <v>41464</v>
      </c>
      <c r="U434" t="str">
        <f>"3020619612"</f>
        <v>3020619612</v>
      </c>
      <c r="V434" t="str">
        <f>"1010"</f>
        <v>1010</v>
      </c>
      <c r="W434" t="str">
        <f>"20"</f>
        <v>20</v>
      </c>
      <c r="X434" t="s">
        <v>75</v>
      </c>
      <c r="Y434" t="s">
        <v>173</v>
      </c>
      <c r="Z434" t="s">
        <v>247</v>
      </c>
      <c r="AA434" t="s">
        <v>248</v>
      </c>
      <c r="AB434" t="s">
        <v>80</v>
      </c>
      <c r="AD434" t="s">
        <v>80</v>
      </c>
      <c r="AE434" t="s">
        <v>81</v>
      </c>
      <c r="AF434" t="s">
        <v>82</v>
      </c>
      <c r="AG434" t="s">
        <v>83</v>
      </c>
      <c r="AH434" t="s">
        <v>84</v>
      </c>
      <c r="AJ434" t="str">
        <f>"2"</f>
        <v>2</v>
      </c>
      <c r="AK434" t="s">
        <v>93</v>
      </c>
      <c r="AL434" t="s">
        <v>143</v>
      </c>
      <c r="AM434" t="s">
        <v>95</v>
      </c>
      <c r="AN434" t="str">
        <f t="shared" si="109"/>
        <v>.9700</v>
      </c>
      <c r="AO434" t="str">
        <f>"11.41"</f>
        <v>11.41</v>
      </c>
      <c r="AP434" t="s">
        <v>96</v>
      </c>
      <c r="AQ434" t="str">
        <f>"11.41"</f>
        <v>11.41</v>
      </c>
      <c r="AR434">
        <v>1</v>
      </c>
      <c r="AS434">
        <v>-7</v>
      </c>
      <c r="AT434">
        <v>-6</v>
      </c>
      <c r="AU434">
        <v>10.43</v>
      </c>
      <c r="AV434">
        <v>0</v>
      </c>
      <c r="AW434">
        <v>10.43</v>
      </c>
      <c r="AX434">
        <v>-69.44</v>
      </c>
      <c r="AY434">
        <v>-59.01</v>
      </c>
      <c r="AZ434">
        <v>0</v>
      </c>
    </row>
    <row r="435" spans="1:52">
      <c r="A435" t="s">
        <v>65</v>
      </c>
      <c r="B435" t="s">
        <v>66</v>
      </c>
      <c r="C435" t="s">
        <v>67</v>
      </c>
      <c r="D435" t="s">
        <v>68</v>
      </c>
      <c r="E435" t="s">
        <v>69</v>
      </c>
      <c r="F435" t="s">
        <v>70</v>
      </c>
      <c r="G435" t="s">
        <v>71</v>
      </c>
      <c r="H435" t="s">
        <v>70</v>
      </c>
      <c r="I435" t="str">
        <f t="shared" si="107"/>
        <v>1010</v>
      </c>
      <c r="J435" t="str">
        <f t="shared" si="108"/>
        <v>05</v>
      </c>
      <c r="K435" t="s">
        <v>68</v>
      </c>
      <c r="L435" t="s">
        <v>72</v>
      </c>
      <c r="M435" t="s">
        <v>68</v>
      </c>
      <c r="N435" t="s">
        <v>702</v>
      </c>
      <c r="O435" t="s">
        <v>726</v>
      </c>
      <c r="P435" t="str">
        <f>"3020619562"</f>
        <v>3020619562</v>
      </c>
      <c r="R435" t="str">
        <f>"00030206195620"</f>
        <v>00030206195620</v>
      </c>
      <c r="S435" s="1">
        <v>41436</v>
      </c>
      <c r="T435" s="1">
        <v>41422</v>
      </c>
      <c r="U435" t="str">
        <f>"3020619562"</f>
        <v>3020619562</v>
      </c>
      <c r="V435" t="str">
        <f>"1010"</f>
        <v>1010</v>
      </c>
      <c r="W435" t="str">
        <f t="shared" ref="W435:W444" si="114">"11"</f>
        <v>11</v>
      </c>
      <c r="X435" t="s">
        <v>75</v>
      </c>
      <c r="Y435" t="s">
        <v>173</v>
      </c>
      <c r="Z435" t="s">
        <v>105</v>
      </c>
      <c r="AA435" t="s">
        <v>106</v>
      </c>
      <c r="AB435" t="s">
        <v>79</v>
      </c>
      <c r="AD435" t="s">
        <v>80</v>
      </c>
      <c r="AE435" t="s">
        <v>81</v>
      </c>
      <c r="AF435" t="s">
        <v>82</v>
      </c>
      <c r="AG435" t="s">
        <v>83</v>
      </c>
      <c r="AH435" t="s">
        <v>84</v>
      </c>
      <c r="AJ435" t="str">
        <f>"2"</f>
        <v>2</v>
      </c>
      <c r="AK435" t="s">
        <v>93</v>
      </c>
      <c r="AL435" t="s">
        <v>143</v>
      </c>
      <c r="AM435" t="s">
        <v>95</v>
      </c>
      <c r="AN435" t="str">
        <f t="shared" si="109"/>
        <v>.9700</v>
      </c>
      <c r="AO435" t="str">
        <f>"11.41"</f>
        <v>11.41</v>
      </c>
      <c r="AP435" t="s">
        <v>96</v>
      </c>
      <c r="AQ435" t="str">
        <f>"11.41"</f>
        <v>11.41</v>
      </c>
      <c r="AR435">
        <v>5</v>
      </c>
      <c r="AS435">
        <v>0</v>
      </c>
      <c r="AT435">
        <v>5</v>
      </c>
      <c r="AU435">
        <v>57.06</v>
      </c>
      <c r="AV435">
        <v>5.71</v>
      </c>
      <c r="AW435">
        <v>51.35</v>
      </c>
      <c r="AX435">
        <v>0</v>
      </c>
      <c r="AY435">
        <v>51.35</v>
      </c>
      <c r="AZ435">
        <v>0</v>
      </c>
    </row>
    <row r="436" spans="1:52">
      <c r="A436" t="s">
        <v>65</v>
      </c>
      <c r="B436" t="s">
        <v>66</v>
      </c>
      <c r="C436" t="s">
        <v>67</v>
      </c>
      <c r="D436" t="s">
        <v>68</v>
      </c>
      <c r="E436" t="s">
        <v>69</v>
      </c>
      <c r="F436" t="s">
        <v>70</v>
      </c>
      <c r="G436" t="s">
        <v>71</v>
      </c>
      <c r="H436" t="s">
        <v>70</v>
      </c>
      <c r="I436" t="str">
        <f t="shared" si="107"/>
        <v>1010</v>
      </c>
      <c r="J436" t="str">
        <f t="shared" si="108"/>
        <v>05</v>
      </c>
      <c r="K436" t="s">
        <v>68</v>
      </c>
      <c r="L436" t="s">
        <v>72</v>
      </c>
      <c r="M436" t="s">
        <v>68</v>
      </c>
      <c r="N436" t="s">
        <v>702</v>
      </c>
      <c r="O436" t="s">
        <v>727</v>
      </c>
      <c r="P436" t="str">
        <f>"3020618822"</f>
        <v>3020618822</v>
      </c>
      <c r="R436" t="str">
        <f>"00030206188226"</f>
        <v>00030206188226</v>
      </c>
      <c r="S436" s="1">
        <v>40687</v>
      </c>
      <c r="T436" s="1">
        <v>40680</v>
      </c>
      <c r="U436" t="str">
        <f>"3020618822"</f>
        <v>3020618822</v>
      </c>
      <c r="V436" t="str">
        <f>"1510"</f>
        <v>1510</v>
      </c>
      <c r="W436" t="str">
        <f t="shared" si="114"/>
        <v>11</v>
      </c>
      <c r="X436" t="s">
        <v>75</v>
      </c>
      <c r="Y436" t="s">
        <v>76</v>
      </c>
      <c r="Z436" t="s">
        <v>77</v>
      </c>
      <c r="AA436" t="s">
        <v>78</v>
      </c>
      <c r="AB436" t="s">
        <v>79</v>
      </c>
      <c r="AD436" t="s">
        <v>80</v>
      </c>
      <c r="AE436" t="s">
        <v>81</v>
      </c>
      <c r="AF436" t="s">
        <v>82</v>
      </c>
      <c r="AG436" t="s">
        <v>83</v>
      </c>
      <c r="AH436" t="s">
        <v>84</v>
      </c>
      <c r="AI436" t="str">
        <f>"01"</f>
        <v>01</v>
      </c>
      <c r="AJ436" t="str">
        <f t="shared" ref="AJ436:AJ443" si="115">"1"</f>
        <v>1</v>
      </c>
      <c r="AK436" t="s">
        <v>85</v>
      </c>
      <c r="AL436" t="s">
        <v>86</v>
      </c>
      <c r="AM436" t="s">
        <v>87</v>
      </c>
      <c r="AN436" t="str">
        <f t="shared" si="109"/>
        <v>.9700</v>
      </c>
      <c r="AO436" t="str">
        <f>"7.50"</f>
        <v>7.50</v>
      </c>
      <c r="AP436" t="s">
        <v>88</v>
      </c>
      <c r="AQ436" t="str">
        <f>"7.50"</f>
        <v>7.50</v>
      </c>
      <c r="AR436">
        <v>2</v>
      </c>
      <c r="AS436">
        <v>0</v>
      </c>
      <c r="AT436">
        <v>2</v>
      </c>
      <c r="AU436">
        <v>15</v>
      </c>
      <c r="AV436">
        <v>1.8</v>
      </c>
      <c r="AW436">
        <v>13.2</v>
      </c>
      <c r="AX436">
        <v>0</v>
      </c>
      <c r="AY436">
        <v>13.2</v>
      </c>
      <c r="AZ436">
        <v>0</v>
      </c>
    </row>
    <row r="437" spans="1:52">
      <c r="A437" t="s">
        <v>65</v>
      </c>
      <c r="B437" t="s">
        <v>66</v>
      </c>
      <c r="C437" t="s">
        <v>67</v>
      </c>
      <c r="D437" t="s">
        <v>68</v>
      </c>
      <c r="E437" t="s">
        <v>69</v>
      </c>
      <c r="F437" t="s">
        <v>70</v>
      </c>
      <c r="G437" t="s">
        <v>71</v>
      </c>
      <c r="H437" t="s">
        <v>70</v>
      </c>
      <c r="I437" t="str">
        <f t="shared" si="107"/>
        <v>1010</v>
      </c>
      <c r="J437" t="str">
        <f t="shared" si="108"/>
        <v>05</v>
      </c>
      <c r="K437" t="s">
        <v>68</v>
      </c>
      <c r="L437" t="s">
        <v>72</v>
      </c>
      <c r="M437" t="s">
        <v>68</v>
      </c>
      <c r="N437" t="s">
        <v>702</v>
      </c>
      <c r="O437" t="s">
        <v>728</v>
      </c>
      <c r="P437" t="str">
        <f>"3020619602"</f>
        <v>3020619602</v>
      </c>
      <c r="R437" t="str">
        <f>"00030206196023"</f>
        <v>00030206196023</v>
      </c>
      <c r="S437" s="1">
        <v>41450</v>
      </c>
      <c r="T437" s="1">
        <v>41450</v>
      </c>
      <c r="U437" t="str">
        <f>"3020619602"</f>
        <v>3020619602</v>
      </c>
      <c r="V437" t="str">
        <f>"1010"</f>
        <v>1010</v>
      </c>
      <c r="W437" t="str">
        <f t="shared" si="114"/>
        <v>11</v>
      </c>
      <c r="X437" t="s">
        <v>75</v>
      </c>
      <c r="Y437" t="s">
        <v>173</v>
      </c>
      <c r="Z437" t="s">
        <v>105</v>
      </c>
      <c r="AA437" t="s">
        <v>106</v>
      </c>
      <c r="AB437" t="s">
        <v>79</v>
      </c>
      <c r="AD437" t="s">
        <v>80</v>
      </c>
      <c r="AE437" t="s">
        <v>81</v>
      </c>
      <c r="AF437" t="s">
        <v>82</v>
      </c>
      <c r="AG437" t="s">
        <v>83</v>
      </c>
      <c r="AH437" t="s">
        <v>84</v>
      </c>
      <c r="AJ437" t="str">
        <f t="shared" si="115"/>
        <v>1</v>
      </c>
      <c r="AK437" t="s">
        <v>85</v>
      </c>
      <c r="AL437" t="s">
        <v>86</v>
      </c>
      <c r="AM437" t="s">
        <v>87</v>
      </c>
      <c r="AN437" t="str">
        <f t="shared" si="109"/>
        <v>.9700</v>
      </c>
      <c r="AO437" t="str">
        <f>"7.50"</f>
        <v>7.50</v>
      </c>
      <c r="AP437" t="s">
        <v>88</v>
      </c>
      <c r="AQ437" t="str">
        <f>"7.50"</f>
        <v>7.50</v>
      </c>
      <c r="AR437">
        <v>0</v>
      </c>
      <c r="AS437">
        <v>-1</v>
      </c>
      <c r="AT437">
        <v>-1</v>
      </c>
      <c r="AU437">
        <v>0</v>
      </c>
      <c r="AV437">
        <v>0</v>
      </c>
      <c r="AW437">
        <v>0</v>
      </c>
      <c r="AX437">
        <v>-6.03</v>
      </c>
      <c r="AY437">
        <v>-6.03</v>
      </c>
      <c r="AZ437">
        <v>0</v>
      </c>
    </row>
    <row r="438" spans="1:52">
      <c r="A438" t="s">
        <v>65</v>
      </c>
      <c r="B438" t="s">
        <v>66</v>
      </c>
      <c r="C438" t="s">
        <v>67</v>
      </c>
      <c r="D438" t="s">
        <v>68</v>
      </c>
      <c r="E438" t="s">
        <v>69</v>
      </c>
      <c r="F438" t="s">
        <v>70</v>
      </c>
      <c r="G438" t="s">
        <v>71</v>
      </c>
      <c r="H438" t="s">
        <v>70</v>
      </c>
      <c r="I438" t="str">
        <f t="shared" si="107"/>
        <v>1010</v>
      </c>
      <c r="J438" t="str">
        <f t="shared" si="108"/>
        <v>05</v>
      </c>
      <c r="K438" t="s">
        <v>68</v>
      </c>
      <c r="L438" t="s">
        <v>72</v>
      </c>
      <c r="M438" t="s">
        <v>68</v>
      </c>
      <c r="N438" t="s">
        <v>702</v>
      </c>
      <c r="O438" t="s">
        <v>729</v>
      </c>
      <c r="P438" t="str">
        <f>"3020669502"</f>
        <v>3020669502</v>
      </c>
      <c r="R438" t="str">
        <f>"00030206695021"</f>
        <v>00030206695021</v>
      </c>
      <c r="S438" s="1">
        <v>39875</v>
      </c>
      <c r="T438" s="1">
        <v>39875</v>
      </c>
      <c r="U438" t="str">
        <f>"3020669502"</f>
        <v>3020669502</v>
      </c>
      <c r="V438" t="str">
        <f>"1510"</f>
        <v>1510</v>
      </c>
      <c r="W438" t="str">
        <f t="shared" si="114"/>
        <v>11</v>
      </c>
      <c r="X438" t="s">
        <v>75</v>
      </c>
      <c r="Y438" t="s">
        <v>76</v>
      </c>
      <c r="Z438" t="s">
        <v>105</v>
      </c>
      <c r="AA438" t="s">
        <v>106</v>
      </c>
      <c r="AB438" t="s">
        <v>79</v>
      </c>
      <c r="AD438" t="s">
        <v>80</v>
      </c>
      <c r="AE438" t="s">
        <v>81</v>
      </c>
      <c r="AF438" t="s">
        <v>82</v>
      </c>
      <c r="AG438" t="s">
        <v>83</v>
      </c>
      <c r="AH438" t="s">
        <v>84</v>
      </c>
      <c r="AI438" t="str">
        <f>"01"</f>
        <v>01</v>
      </c>
      <c r="AJ438" t="str">
        <f t="shared" si="115"/>
        <v>1</v>
      </c>
      <c r="AK438" t="s">
        <v>85</v>
      </c>
      <c r="AL438" t="s">
        <v>94</v>
      </c>
      <c r="AM438" t="s">
        <v>87</v>
      </c>
      <c r="AN438" t="str">
        <f t="shared" si="109"/>
        <v>.9700</v>
      </c>
      <c r="AO438" t="str">
        <f>"7.50"</f>
        <v>7.50</v>
      </c>
      <c r="AP438" t="s">
        <v>88</v>
      </c>
      <c r="AQ438" t="str">
        <f>"7.50"</f>
        <v>7.50</v>
      </c>
      <c r="AR438">
        <v>31</v>
      </c>
      <c r="AS438">
        <v>0</v>
      </c>
      <c r="AT438">
        <v>31</v>
      </c>
      <c r="AU438">
        <v>232.5</v>
      </c>
      <c r="AV438">
        <v>27</v>
      </c>
      <c r="AW438">
        <v>205.5</v>
      </c>
      <c r="AX438">
        <v>0</v>
      </c>
      <c r="AY438">
        <v>205.5</v>
      </c>
      <c r="AZ438">
        <v>0</v>
      </c>
    </row>
    <row r="439" spans="1:52">
      <c r="A439" t="s">
        <v>65</v>
      </c>
      <c r="B439" t="s">
        <v>66</v>
      </c>
      <c r="C439" t="s">
        <v>67</v>
      </c>
      <c r="D439" t="s">
        <v>68</v>
      </c>
      <c r="E439" t="s">
        <v>69</v>
      </c>
      <c r="F439" t="s">
        <v>70</v>
      </c>
      <c r="G439" t="s">
        <v>71</v>
      </c>
      <c r="H439" t="s">
        <v>70</v>
      </c>
      <c r="I439" t="str">
        <f t="shared" si="107"/>
        <v>1010</v>
      </c>
      <c r="J439" t="str">
        <f t="shared" si="108"/>
        <v>05</v>
      </c>
      <c r="K439" t="s">
        <v>68</v>
      </c>
      <c r="L439" t="s">
        <v>72</v>
      </c>
      <c r="M439" t="s">
        <v>68</v>
      </c>
      <c r="N439" t="s">
        <v>702</v>
      </c>
      <c r="O439" t="s">
        <v>730</v>
      </c>
      <c r="P439" t="str">
        <f>"3020630192"</f>
        <v>3020630192</v>
      </c>
      <c r="R439" t="str">
        <f>"00030206301922"</f>
        <v>00030206301922</v>
      </c>
      <c r="S439" s="1">
        <v>38510</v>
      </c>
      <c r="T439" s="1">
        <v>38510</v>
      </c>
      <c r="U439" t="str">
        <f>"3020630192"</f>
        <v>3020630192</v>
      </c>
      <c r="V439" t="str">
        <f>"1510"</f>
        <v>1510</v>
      </c>
      <c r="W439" t="str">
        <f t="shared" si="114"/>
        <v>11</v>
      </c>
      <c r="X439" t="s">
        <v>75</v>
      </c>
      <c r="Y439" t="s">
        <v>76</v>
      </c>
      <c r="Z439" t="s">
        <v>731</v>
      </c>
      <c r="AA439" t="s">
        <v>732</v>
      </c>
      <c r="AB439" t="s">
        <v>79</v>
      </c>
      <c r="AD439" t="s">
        <v>80</v>
      </c>
      <c r="AE439" t="s">
        <v>81</v>
      </c>
      <c r="AF439" t="s">
        <v>82</v>
      </c>
      <c r="AG439" t="s">
        <v>83</v>
      </c>
      <c r="AH439" t="s">
        <v>84</v>
      </c>
      <c r="AI439" t="str">
        <f>"01"</f>
        <v>01</v>
      </c>
      <c r="AJ439" t="str">
        <f t="shared" si="115"/>
        <v>1</v>
      </c>
      <c r="AK439" t="s">
        <v>93</v>
      </c>
      <c r="AL439" t="s">
        <v>94</v>
      </c>
      <c r="AM439" t="s">
        <v>95</v>
      </c>
      <c r="AN439" t="str">
        <f t="shared" si="109"/>
        <v>.9700</v>
      </c>
      <c r="AO439" t="str">
        <f>"11.41"</f>
        <v>11.41</v>
      </c>
      <c r="AP439" t="s">
        <v>96</v>
      </c>
      <c r="AQ439" t="str">
        <f>"11.41"</f>
        <v>11.41</v>
      </c>
      <c r="AR439">
        <v>18</v>
      </c>
      <c r="AS439">
        <v>0</v>
      </c>
      <c r="AT439">
        <v>18</v>
      </c>
      <c r="AU439">
        <v>205.37</v>
      </c>
      <c r="AV439">
        <v>20.54</v>
      </c>
      <c r="AW439">
        <v>184.83</v>
      </c>
      <c r="AX439">
        <v>0</v>
      </c>
      <c r="AY439">
        <v>184.83</v>
      </c>
      <c r="AZ439">
        <v>0</v>
      </c>
    </row>
    <row r="440" spans="1:52">
      <c r="A440" t="s">
        <v>65</v>
      </c>
      <c r="B440" t="s">
        <v>66</v>
      </c>
      <c r="C440" t="s">
        <v>67</v>
      </c>
      <c r="D440" t="s">
        <v>68</v>
      </c>
      <c r="E440" t="s">
        <v>69</v>
      </c>
      <c r="F440" t="s">
        <v>70</v>
      </c>
      <c r="G440" t="s">
        <v>71</v>
      </c>
      <c r="H440" t="s">
        <v>70</v>
      </c>
      <c r="I440" t="str">
        <f t="shared" si="107"/>
        <v>1010</v>
      </c>
      <c r="J440" t="str">
        <f t="shared" si="108"/>
        <v>05</v>
      </c>
      <c r="K440" t="s">
        <v>68</v>
      </c>
      <c r="L440" t="s">
        <v>72</v>
      </c>
      <c r="M440" t="s">
        <v>68</v>
      </c>
      <c r="N440" t="s">
        <v>702</v>
      </c>
      <c r="O440" t="s">
        <v>733</v>
      </c>
      <c r="P440" t="str">
        <f>"3020616762"</f>
        <v>3020616762</v>
      </c>
      <c r="R440" t="str">
        <f>"00030206167627"</f>
        <v>00030206167627</v>
      </c>
      <c r="S440" s="1">
        <v>39224</v>
      </c>
      <c r="T440" s="1">
        <v>39224</v>
      </c>
      <c r="U440" t="str">
        <f>"3020616762"</f>
        <v>3020616762</v>
      </c>
      <c r="V440" t="str">
        <f>"1510"</f>
        <v>1510</v>
      </c>
      <c r="W440" t="str">
        <f t="shared" si="114"/>
        <v>11</v>
      </c>
      <c r="X440" t="s">
        <v>75</v>
      </c>
      <c r="Y440" t="s">
        <v>76</v>
      </c>
      <c r="Z440" t="s">
        <v>734</v>
      </c>
      <c r="AA440" t="s">
        <v>735</v>
      </c>
      <c r="AB440" t="s">
        <v>79</v>
      </c>
      <c r="AD440" t="s">
        <v>80</v>
      </c>
      <c r="AE440" t="s">
        <v>81</v>
      </c>
      <c r="AF440" t="s">
        <v>82</v>
      </c>
      <c r="AG440" t="s">
        <v>83</v>
      </c>
      <c r="AH440" t="s">
        <v>84</v>
      </c>
      <c r="AI440" t="str">
        <f>"01"</f>
        <v>01</v>
      </c>
      <c r="AJ440" t="str">
        <f t="shared" si="115"/>
        <v>1</v>
      </c>
      <c r="AK440" t="s">
        <v>198</v>
      </c>
      <c r="AL440" t="s">
        <v>162</v>
      </c>
      <c r="AM440" t="s">
        <v>87</v>
      </c>
      <c r="AN440" t="str">
        <f t="shared" si="109"/>
        <v>.9700</v>
      </c>
      <c r="AO440" t="str">
        <f>"4.40"</f>
        <v>4.40</v>
      </c>
      <c r="AP440" t="s">
        <v>199</v>
      </c>
      <c r="AQ440" t="str">
        <f>"4.40"</f>
        <v>4.40</v>
      </c>
      <c r="AR440">
        <v>7</v>
      </c>
      <c r="AS440">
        <v>0</v>
      </c>
      <c r="AT440">
        <v>7</v>
      </c>
      <c r="AU440">
        <v>30.8</v>
      </c>
      <c r="AV440">
        <v>2.64</v>
      </c>
      <c r="AW440">
        <v>28.16</v>
      </c>
      <c r="AX440">
        <v>0</v>
      </c>
      <c r="AY440">
        <v>28.16</v>
      </c>
      <c r="AZ440">
        <v>0</v>
      </c>
    </row>
    <row r="441" spans="1:52">
      <c r="A441" t="s">
        <v>65</v>
      </c>
      <c r="B441" t="s">
        <v>66</v>
      </c>
      <c r="C441" t="s">
        <v>67</v>
      </c>
      <c r="D441" t="s">
        <v>68</v>
      </c>
      <c r="E441" t="s">
        <v>69</v>
      </c>
      <c r="F441" t="s">
        <v>70</v>
      </c>
      <c r="G441" t="s">
        <v>71</v>
      </c>
      <c r="H441" t="s">
        <v>70</v>
      </c>
      <c r="I441" t="str">
        <f t="shared" si="107"/>
        <v>1010</v>
      </c>
      <c r="J441" t="str">
        <f t="shared" si="108"/>
        <v>05</v>
      </c>
      <c r="K441" t="s">
        <v>68</v>
      </c>
      <c r="L441" t="s">
        <v>72</v>
      </c>
      <c r="M441" t="s">
        <v>68</v>
      </c>
      <c r="N441" t="s">
        <v>702</v>
      </c>
      <c r="O441" t="s">
        <v>736</v>
      </c>
      <c r="P441" t="str">
        <f>"3020618882"</f>
        <v>3020618882</v>
      </c>
      <c r="R441" t="str">
        <f>"00030206188820"</f>
        <v>00030206188820</v>
      </c>
      <c r="S441" s="1">
        <v>40708</v>
      </c>
      <c r="T441" s="1">
        <v>40708</v>
      </c>
      <c r="U441" t="str">
        <f>"3020618882"</f>
        <v>3020618882</v>
      </c>
      <c r="V441" t="str">
        <f>"1510"</f>
        <v>1510</v>
      </c>
      <c r="W441" t="str">
        <f t="shared" si="114"/>
        <v>11</v>
      </c>
      <c r="X441" t="s">
        <v>75</v>
      </c>
      <c r="Y441" t="s">
        <v>76</v>
      </c>
      <c r="Z441" t="s">
        <v>77</v>
      </c>
      <c r="AA441" t="s">
        <v>78</v>
      </c>
      <c r="AB441" t="s">
        <v>79</v>
      </c>
      <c r="AD441" t="s">
        <v>80</v>
      </c>
      <c r="AE441" t="s">
        <v>81</v>
      </c>
      <c r="AF441" t="s">
        <v>82</v>
      </c>
      <c r="AG441" t="s">
        <v>83</v>
      </c>
      <c r="AH441" t="s">
        <v>84</v>
      </c>
      <c r="AI441" t="str">
        <f>"01"</f>
        <v>01</v>
      </c>
      <c r="AJ441" t="str">
        <f t="shared" si="115"/>
        <v>1</v>
      </c>
      <c r="AK441" t="s">
        <v>98</v>
      </c>
      <c r="AL441" t="s">
        <v>86</v>
      </c>
      <c r="AM441" t="s">
        <v>95</v>
      </c>
      <c r="AN441" t="str">
        <f t="shared" si="109"/>
        <v>.9700</v>
      </c>
      <c r="AO441" t="str">
        <f>"8.00"</f>
        <v>8.00</v>
      </c>
      <c r="AP441" t="s">
        <v>99</v>
      </c>
      <c r="AQ441" t="str">
        <f>"8.00"</f>
        <v>8.00</v>
      </c>
      <c r="AR441">
        <v>1</v>
      </c>
      <c r="AS441">
        <v>-1</v>
      </c>
      <c r="AT441">
        <v>0</v>
      </c>
      <c r="AU441">
        <v>8</v>
      </c>
      <c r="AV441">
        <v>0</v>
      </c>
      <c r="AW441">
        <v>8</v>
      </c>
      <c r="AX441">
        <v>-6.94</v>
      </c>
      <c r="AY441">
        <v>1.06</v>
      </c>
      <c r="AZ441">
        <v>0</v>
      </c>
    </row>
    <row r="442" spans="1:52">
      <c r="A442" t="s">
        <v>65</v>
      </c>
      <c r="B442" t="s">
        <v>66</v>
      </c>
      <c r="C442" t="s">
        <v>67</v>
      </c>
      <c r="D442" t="s">
        <v>68</v>
      </c>
      <c r="E442" t="s">
        <v>69</v>
      </c>
      <c r="F442" t="s">
        <v>70</v>
      </c>
      <c r="G442" t="s">
        <v>71</v>
      </c>
      <c r="H442" t="s">
        <v>70</v>
      </c>
      <c r="I442" t="str">
        <f t="shared" si="107"/>
        <v>1010</v>
      </c>
      <c r="J442" t="str">
        <f t="shared" si="108"/>
        <v>05</v>
      </c>
      <c r="K442" t="s">
        <v>68</v>
      </c>
      <c r="L442" t="s">
        <v>72</v>
      </c>
      <c r="M442" t="s">
        <v>68</v>
      </c>
      <c r="N442" t="s">
        <v>702</v>
      </c>
      <c r="O442" t="s">
        <v>737</v>
      </c>
      <c r="P442" t="str">
        <f>"3020619512"</f>
        <v>3020619512</v>
      </c>
      <c r="R442" t="str">
        <f>"00030206195125"</f>
        <v>00030206195125</v>
      </c>
      <c r="S442" s="1">
        <v>41373</v>
      </c>
      <c r="T442" s="1">
        <v>41373</v>
      </c>
      <c r="U442" t="str">
        <f>"3020619512"</f>
        <v>3020619512</v>
      </c>
      <c r="V442" t="str">
        <f>"1010"</f>
        <v>1010</v>
      </c>
      <c r="W442" t="str">
        <f t="shared" si="114"/>
        <v>11</v>
      </c>
      <c r="X442" t="s">
        <v>75</v>
      </c>
      <c r="Y442" t="s">
        <v>173</v>
      </c>
      <c r="Z442" t="s">
        <v>105</v>
      </c>
      <c r="AA442" t="s">
        <v>106</v>
      </c>
      <c r="AB442" t="s">
        <v>79</v>
      </c>
      <c r="AD442" t="s">
        <v>80</v>
      </c>
      <c r="AE442" t="s">
        <v>81</v>
      </c>
      <c r="AF442" t="s">
        <v>82</v>
      </c>
      <c r="AG442" t="s">
        <v>83</v>
      </c>
      <c r="AH442" t="s">
        <v>84</v>
      </c>
      <c r="AJ442" t="str">
        <f t="shared" si="115"/>
        <v>1</v>
      </c>
      <c r="AK442" t="s">
        <v>107</v>
      </c>
      <c r="AL442" t="s">
        <v>143</v>
      </c>
      <c r="AM442" t="s">
        <v>95</v>
      </c>
      <c r="AN442" t="str">
        <f t="shared" si="109"/>
        <v>.9700</v>
      </c>
      <c r="AO442" t="str">
        <f>"10.78"</f>
        <v>10.78</v>
      </c>
      <c r="AP442" t="s">
        <v>108</v>
      </c>
      <c r="AQ442" t="str">
        <f>"10.78"</f>
        <v>10.78</v>
      </c>
      <c r="AR442">
        <v>8</v>
      </c>
      <c r="AS442">
        <v>-1</v>
      </c>
      <c r="AT442">
        <v>7</v>
      </c>
      <c r="AU442">
        <v>79.39</v>
      </c>
      <c r="AV442">
        <v>5.39</v>
      </c>
      <c r="AW442">
        <v>74</v>
      </c>
      <c r="AX442">
        <v>-8.81</v>
      </c>
      <c r="AY442">
        <v>65.19</v>
      </c>
      <c r="AZ442">
        <v>0</v>
      </c>
    </row>
    <row r="443" spans="1:52">
      <c r="A443" t="s">
        <v>65</v>
      </c>
      <c r="B443" t="s">
        <v>66</v>
      </c>
      <c r="C443" t="s">
        <v>67</v>
      </c>
      <c r="D443" t="s">
        <v>68</v>
      </c>
      <c r="E443" t="s">
        <v>69</v>
      </c>
      <c r="F443" t="s">
        <v>70</v>
      </c>
      <c r="G443" t="s">
        <v>71</v>
      </c>
      <c r="H443" t="s">
        <v>70</v>
      </c>
      <c r="I443" t="str">
        <f t="shared" si="107"/>
        <v>1010</v>
      </c>
      <c r="J443" t="str">
        <f t="shared" si="108"/>
        <v>05</v>
      </c>
      <c r="K443" t="s">
        <v>68</v>
      </c>
      <c r="L443" t="s">
        <v>72</v>
      </c>
      <c r="M443" t="s">
        <v>68</v>
      </c>
      <c r="N443" t="s">
        <v>702</v>
      </c>
      <c r="O443" t="s">
        <v>738</v>
      </c>
      <c r="P443" t="str">
        <f>"3020618862"</f>
        <v>3020618862</v>
      </c>
      <c r="R443" t="str">
        <f>"00030206188622"</f>
        <v>00030206188622</v>
      </c>
      <c r="S443" s="1">
        <v>40750</v>
      </c>
      <c r="T443" s="1">
        <v>40736</v>
      </c>
      <c r="U443" t="str">
        <f>"3020618862"</f>
        <v>3020618862</v>
      </c>
      <c r="V443" t="str">
        <f>"1510"</f>
        <v>1510</v>
      </c>
      <c r="W443" t="str">
        <f t="shared" si="114"/>
        <v>11</v>
      </c>
      <c r="X443" t="s">
        <v>75</v>
      </c>
      <c r="Y443" t="s">
        <v>76</v>
      </c>
      <c r="Z443" t="s">
        <v>105</v>
      </c>
      <c r="AA443" t="s">
        <v>106</v>
      </c>
      <c r="AB443" t="s">
        <v>79</v>
      </c>
      <c r="AD443" t="s">
        <v>80</v>
      </c>
      <c r="AE443" t="s">
        <v>81</v>
      </c>
      <c r="AF443" t="s">
        <v>82</v>
      </c>
      <c r="AG443" t="s">
        <v>83</v>
      </c>
      <c r="AH443" t="s">
        <v>84</v>
      </c>
      <c r="AI443" t="str">
        <f>"01"</f>
        <v>01</v>
      </c>
      <c r="AJ443" t="str">
        <f t="shared" si="115"/>
        <v>1</v>
      </c>
      <c r="AK443" t="s">
        <v>85</v>
      </c>
      <c r="AL443" t="s">
        <v>86</v>
      </c>
      <c r="AM443" t="s">
        <v>87</v>
      </c>
      <c r="AN443" t="str">
        <f t="shared" si="109"/>
        <v>.9700</v>
      </c>
      <c r="AO443" t="str">
        <f>"7.50"</f>
        <v>7.50</v>
      </c>
      <c r="AP443" t="s">
        <v>88</v>
      </c>
      <c r="AQ443" t="str">
        <f>"7.50"</f>
        <v>7.50</v>
      </c>
      <c r="AR443">
        <v>0</v>
      </c>
      <c r="AS443">
        <v>-1</v>
      </c>
      <c r="AT443">
        <v>-1</v>
      </c>
      <c r="AU443">
        <v>0</v>
      </c>
      <c r="AV443">
        <v>0</v>
      </c>
      <c r="AW443">
        <v>0</v>
      </c>
      <c r="AX443">
        <v>-6.42</v>
      </c>
      <c r="AY443">
        <v>-6.42</v>
      </c>
      <c r="AZ443">
        <v>0</v>
      </c>
    </row>
    <row r="444" spans="1:52">
      <c r="A444" t="s">
        <v>65</v>
      </c>
      <c r="B444" t="s">
        <v>66</v>
      </c>
      <c r="C444" t="s">
        <v>67</v>
      </c>
      <c r="D444" t="s">
        <v>68</v>
      </c>
      <c r="E444" t="s">
        <v>69</v>
      </c>
      <c r="F444" t="s">
        <v>70</v>
      </c>
      <c r="G444" t="s">
        <v>71</v>
      </c>
      <c r="H444" t="s">
        <v>70</v>
      </c>
      <c r="I444" t="str">
        <f t="shared" si="107"/>
        <v>1010</v>
      </c>
      <c r="J444" t="str">
        <f t="shared" si="108"/>
        <v>05</v>
      </c>
      <c r="K444" t="s">
        <v>68</v>
      </c>
      <c r="L444" t="s">
        <v>72</v>
      </c>
      <c r="M444" t="s">
        <v>68</v>
      </c>
      <c r="N444" t="s">
        <v>702</v>
      </c>
      <c r="O444" t="s">
        <v>739</v>
      </c>
      <c r="P444" t="str">
        <f>"3020619622"</f>
        <v>3020619622</v>
      </c>
      <c r="R444" t="str">
        <f>"00030206196221"</f>
        <v>00030206196221</v>
      </c>
      <c r="S444" s="1">
        <v>41478</v>
      </c>
      <c r="T444" s="1">
        <v>41464</v>
      </c>
      <c r="U444" t="str">
        <f>"3020619622"</f>
        <v>3020619622</v>
      </c>
      <c r="V444" t="str">
        <f>"1010"</f>
        <v>1010</v>
      </c>
      <c r="W444" t="str">
        <f t="shared" si="114"/>
        <v>11</v>
      </c>
      <c r="X444" t="s">
        <v>75</v>
      </c>
      <c r="Y444" t="s">
        <v>173</v>
      </c>
      <c r="Z444" t="s">
        <v>105</v>
      </c>
      <c r="AA444" t="s">
        <v>106</v>
      </c>
      <c r="AB444" t="s">
        <v>79</v>
      </c>
      <c r="AD444" t="s">
        <v>80</v>
      </c>
      <c r="AE444" t="s">
        <v>81</v>
      </c>
      <c r="AF444" t="s">
        <v>82</v>
      </c>
      <c r="AG444" t="s">
        <v>83</v>
      </c>
      <c r="AH444" t="s">
        <v>84</v>
      </c>
      <c r="AJ444" t="str">
        <f t="shared" ref="AJ444:AJ452" si="116">"2"</f>
        <v>2</v>
      </c>
      <c r="AK444" t="s">
        <v>93</v>
      </c>
      <c r="AL444" t="s">
        <v>143</v>
      </c>
      <c r="AM444" t="s">
        <v>95</v>
      </c>
      <c r="AN444" t="str">
        <f t="shared" si="109"/>
        <v>.9700</v>
      </c>
      <c r="AO444" t="str">
        <f>"11.41"</f>
        <v>11.41</v>
      </c>
      <c r="AP444" t="s">
        <v>96</v>
      </c>
      <c r="AQ444" t="str">
        <f>"11.41"</f>
        <v>11.41</v>
      </c>
      <c r="AR444">
        <v>12</v>
      </c>
      <c r="AS444">
        <v>-1</v>
      </c>
      <c r="AT444">
        <v>11</v>
      </c>
      <c r="AU444">
        <v>136.93</v>
      </c>
      <c r="AV444">
        <v>12.55</v>
      </c>
      <c r="AW444">
        <v>124.38</v>
      </c>
      <c r="AX444">
        <v>-9.35</v>
      </c>
      <c r="AY444">
        <v>115.03</v>
      </c>
      <c r="AZ444">
        <v>0</v>
      </c>
    </row>
    <row r="445" spans="1:52">
      <c r="A445" t="s">
        <v>65</v>
      </c>
      <c r="B445" t="s">
        <v>66</v>
      </c>
      <c r="C445" t="s">
        <v>67</v>
      </c>
      <c r="D445" t="s">
        <v>68</v>
      </c>
      <c r="E445" t="s">
        <v>69</v>
      </c>
      <c r="F445" t="s">
        <v>70</v>
      </c>
      <c r="G445" t="s">
        <v>71</v>
      </c>
      <c r="H445" t="s">
        <v>70</v>
      </c>
      <c r="I445" t="str">
        <f t="shared" si="107"/>
        <v>1010</v>
      </c>
      <c r="J445" t="str">
        <f t="shared" si="108"/>
        <v>05</v>
      </c>
      <c r="K445" t="s">
        <v>68</v>
      </c>
      <c r="L445" t="s">
        <v>72</v>
      </c>
      <c r="M445" t="s">
        <v>68</v>
      </c>
      <c r="N445" t="s">
        <v>702</v>
      </c>
      <c r="O445" t="s">
        <v>739</v>
      </c>
      <c r="P445" t="str">
        <f>"3020619622"</f>
        <v>3020619622</v>
      </c>
      <c r="R445" t="str">
        <f>"00030206196221"</f>
        <v>00030206196221</v>
      </c>
      <c r="S445" s="1">
        <v>41478</v>
      </c>
      <c r="T445" s="1">
        <v>41464</v>
      </c>
      <c r="U445" t="str">
        <f>"3020619622"</f>
        <v>3020619622</v>
      </c>
      <c r="V445" t="str">
        <f>"1010"</f>
        <v>1010</v>
      </c>
      <c r="W445" t="str">
        <f>"20"</f>
        <v>20</v>
      </c>
      <c r="X445" t="s">
        <v>75</v>
      </c>
      <c r="Y445" t="s">
        <v>173</v>
      </c>
      <c r="Z445" t="s">
        <v>105</v>
      </c>
      <c r="AA445" t="s">
        <v>106</v>
      </c>
      <c r="AB445" t="s">
        <v>80</v>
      </c>
      <c r="AD445" t="s">
        <v>80</v>
      </c>
      <c r="AE445" t="s">
        <v>81</v>
      </c>
      <c r="AF445" t="s">
        <v>82</v>
      </c>
      <c r="AG445" t="s">
        <v>83</v>
      </c>
      <c r="AH445" t="s">
        <v>84</v>
      </c>
      <c r="AJ445" t="str">
        <f t="shared" si="116"/>
        <v>2</v>
      </c>
      <c r="AK445" t="s">
        <v>93</v>
      </c>
      <c r="AL445" t="s">
        <v>143</v>
      </c>
      <c r="AM445" t="s">
        <v>95</v>
      </c>
      <c r="AN445" t="str">
        <f t="shared" si="109"/>
        <v>.9700</v>
      </c>
      <c r="AO445" t="str">
        <f>"11.41"</f>
        <v>11.41</v>
      </c>
      <c r="AP445" t="s">
        <v>96</v>
      </c>
      <c r="AQ445" t="str">
        <f>"11.41"</f>
        <v>11.41</v>
      </c>
      <c r="AR445">
        <v>0</v>
      </c>
      <c r="AS445">
        <v>-8</v>
      </c>
      <c r="AT445">
        <v>-8</v>
      </c>
      <c r="AU445">
        <v>0</v>
      </c>
      <c r="AV445">
        <v>0</v>
      </c>
      <c r="AW445">
        <v>0</v>
      </c>
      <c r="AX445">
        <v>-78.16</v>
      </c>
      <c r="AY445">
        <v>-78.16</v>
      </c>
      <c r="AZ445">
        <v>0</v>
      </c>
    </row>
    <row r="446" spans="1:52">
      <c r="A446" t="s">
        <v>65</v>
      </c>
      <c r="B446" t="s">
        <v>66</v>
      </c>
      <c r="C446" t="s">
        <v>67</v>
      </c>
      <c r="D446" t="s">
        <v>68</v>
      </c>
      <c r="E446" t="s">
        <v>69</v>
      </c>
      <c r="F446" t="s">
        <v>70</v>
      </c>
      <c r="G446" t="s">
        <v>71</v>
      </c>
      <c r="H446" t="s">
        <v>70</v>
      </c>
      <c r="I446" t="str">
        <f t="shared" si="107"/>
        <v>1010</v>
      </c>
      <c r="J446" t="str">
        <f t="shared" si="108"/>
        <v>05</v>
      </c>
      <c r="K446" t="s">
        <v>68</v>
      </c>
      <c r="L446" t="s">
        <v>72</v>
      </c>
      <c r="M446" t="s">
        <v>68</v>
      </c>
      <c r="N446" t="s">
        <v>702</v>
      </c>
      <c r="O446" t="s">
        <v>740</v>
      </c>
      <c r="P446" t="str">
        <f>"3020614092"</f>
        <v>3020614092</v>
      </c>
      <c r="R446" t="str">
        <f>"00030206140927"</f>
        <v>00030206140927</v>
      </c>
      <c r="S446" s="1">
        <v>38132</v>
      </c>
      <c r="T446" s="1">
        <v>38132</v>
      </c>
      <c r="U446" t="str">
        <f>"3020614092"</f>
        <v>3020614092</v>
      </c>
      <c r="V446" t="str">
        <f>"1510"</f>
        <v>1510</v>
      </c>
      <c r="W446" t="str">
        <f t="shared" ref="W446:W474" si="117">"11"</f>
        <v>11</v>
      </c>
      <c r="X446" t="s">
        <v>75</v>
      </c>
      <c r="Y446" t="s">
        <v>76</v>
      </c>
      <c r="Z446" t="s">
        <v>105</v>
      </c>
      <c r="AA446" t="s">
        <v>106</v>
      </c>
      <c r="AB446" t="s">
        <v>79</v>
      </c>
      <c r="AD446" t="s">
        <v>80</v>
      </c>
      <c r="AE446" t="s">
        <v>81</v>
      </c>
      <c r="AF446" t="s">
        <v>82</v>
      </c>
      <c r="AG446" t="s">
        <v>83</v>
      </c>
      <c r="AH446" t="s">
        <v>84</v>
      </c>
      <c r="AI446" t="str">
        <f>"02"</f>
        <v>02</v>
      </c>
      <c r="AJ446" t="str">
        <f t="shared" si="116"/>
        <v>2</v>
      </c>
      <c r="AK446" t="s">
        <v>107</v>
      </c>
      <c r="AL446" t="s">
        <v>94</v>
      </c>
      <c r="AM446" t="s">
        <v>95</v>
      </c>
      <c r="AN446" t="str">
        <f t="shared" si="109"/>
        <v>.9700</v>
      </c>
      <c r="AO446" t="str">
        <f>"10.78"</f>
        <v>10.78</v>
      </c>
      <c r="AP446" t="s">
        <v>108</v>
      </c>
      <c r="AQ446" t="str">
        <f>"10.78"</f>
        <v>10.78</v>
      </c>
      <c r="AR446">
        <v>43</v>
      </c>
      <c r="AS446">
        <v>-11</v>
      </c>
      <c r="AT446">
        <v>32</v>
      </c>
      <c r="AU446">
        <v>461.32</v>
      </c>
      <c r="AV446">
        <v>47.21</v>
      </c>
      <c r="AW446">
        <v>414.11</v>
      </c>
      <c r="AX446">
        <v>-110.88</v>
      </c>
      <c r="AY446">
        <v>303.23</v>
      </c>
      <c r="AZ446">
        <v>0</v>
      </c>
    </row>
    <row r="447" spans="1:52">
      <c r="A447" t="s">
        <v>65</v>
      </c>
      <c r="B447" t="s">
        <v>66</v>
      </c>
      <c r="C447" t="s">
        <v>67</v>
      </c>
      <c r="D447" t="s">
        <v>68</v>
      </c>
      <c r="E447" t="s">
        <v>69</v>
      </c>
      <c r="F447" t="s">
        <v>70</v>
      </c>
      <c r="G447" t="s">
        <v>71</v>
      </c>
      <c r="H447" t="s">
        <v>70</v>
      </c>
      <c r="I447" t="str">
        <f t="shared" si="107"/>
        <v>1010</v>
      </c>
      <c r="J447" t="str">
        <f t="shared" si="108"/>
        <v>05</v>
      </c>
      <c r="K447" t="s">
        <v>68</v>
      </c>
      <c r="L447" t="s">
        <v>72</v>
      </c>
      <c r="M447" t="s">
        <v>68</v>
      </c>
      <c r="N447" t="s">
        <v>702</v>
      </c>
      <c r="O447" t="s">
        <v>741</v>
      </c>
      <c r="P447" t="str">
        <f>"3020619522"</f>
        <v>3020619522</v>
      </c>
      <c r="R447" t="str">
        <f>"00030206195224"</f>
        <v>00030206195224</v>
      </c>
      <c r="S447" s="1">
        <v>41387</v>
      </c>
      <c r="T447" s="1">
        <v>41387</v>
      </c>
      <c r="U447" t="str">
        <f>"3020619522"</f>
        <v>3020619522</v>
      </c>
      <c r="V447" t="str">
        <f>"1010"</f>
        <v>1010</v>
      </c>
      <c r="W447" t="str">
        <f t="shared" si="117"/>
        <v>11</v>
      </c>
      <c r="X447" t="s">
        <v>75</v>
      </c>
      <c r="Y447" t="s">
        <v>173</v>
      </c>
      <c r="Z447" t="s">
        <v>105</v>
      </c>
      <c r="AA447" t="s">
        <v>106</v>
      </c>
      <c r="AB447" t="s">
        <v>79</v>
      </c>
      <c r="AD447" t="s">
        <v>80</v>
      </c>
      <c r="AE447" t="s">
        <v>81</v>
      </c>
      <c r="AF447" t="s">
        <v>82</v>
      </c>
      <c r="AG447" t="s">
        <v>83</v>
      </c>
      <c r="AH447" t="s">
        <v>84</v>
      </c>
      <c r="AJ447" t="str">
        <f t="shared" si="116"/>
        <v>2</v>
      </c>
      <c r="AK447" t="s">
        <v>107</v>
      </c>
      <c r="AL447" t="s">
        <v>143</v>
      </c>
      <c r="AM447" t="s">
        <v>95</v>
      </c>
      <c r="AN447" t="str">
        <f t="shared" si="109"/>
        <v>.9700</v>
      </c>
      <c r="AO447" t="str">
        <f>"10.78"</f>
        <v>10.78</v>
      </c>
      <c r="AP447" t="s">
        <v>108</v>
      </c>
      <c r="AQ447" t="str">
        <f>"10.78"</f>
        <v>10.78</v>
      </c>
      <c r="AR447">
        <v>12</v>
      </c>
      <c r="AS447">
        <v>-3</v>
      </c>
      <c r="AT447">
        <v>9</v>
      </c>
      <c r="AU447">
        <v>129.34</v>
      </c>
      <c r="AV447">
        <v>10.78</v>
      </c>
      <c r="AW447">
        <v>118.56</v>
      </c>
      <c r="AX447">
        <v>-27.25</v>
      </c>
      <c r="AY447">
        <v>91.31</v>
      </c>
      <c r="AZ447">
        <v>0</v>
      </c>
    </row>
    <row r="448" spans="1:52">
      <c r="A448" t="s">
        <v>65</v>
      </c>
      <c r="B448" t="s">
        <v>66</v>
      </c>
      <c r="C448" t="s">
        <v>67</v>
      </c>
      <c r="D448" t="s">
        <v>68</v>
      </c>
      <c r="E448" t="s">
        <v>69</v>
      </c>
      <c r="F448" t="s">
        <v>70</v>
      </c>
      <c r="G448" t="s">
        <v>71</v>
      </c>
      <c r="H448" t="s">
        <v>70</v>
      </c>
      <c r="I448" t="str">
        <f t="shared" si="107"/>
        <v>1010</v>
      </c>
      <c r="J448" t="str">
        <f t="shared" si="108"/>
        <v>05</v>
      </c>
      <c r="K448" t="s">
        <v>68</v>
      </c>
      <c r="L448" t="s">
        <v>72</v>
      </c>
      <c r="M448" t="s">
        <v>68</v>
      </c>
      <c r="N448" t="s">
        <v>702</v>
      </c>
      <c r="O448" t="s">
        <v>742</v>
      </c>
      <c r="P448" t="str">
        <f>"3020617942"</f>
        <v>3020617942</v>
      </c>
      <c r="R448" t="str">
        <f>"00030206179422"</f>
        <v>00030206179422</v>
      </c>
      <c r="S448" s="1">
        <v>40092</v>
      </c>
      <c r="T448" s="1">
        <v>40092</v>
      </c>
      <c r="U448" t="str">
        <f>"3020617942"</f>
        <v>3020617942</v>
      </c>
      <c r="V448" t="str">
        <f>"1510"</f>
        <v>1510</v>
      </c>
      <c r="W448" t="str">
        <f t="shared" si="117"/>
        <v>11</v>
      </c>
      <c r="X448" t="s">
        <v>75</v>
      </c>
      <c r="Y448" t="s">
        <v>76</v>
      </c>
      <c r="Z448" t="s">
        <v>282</v>
      </c>
      <c r="AA448" t="s">
        <v>283</v>
      </c>
      <c r="AB448" t="s">
        <v>79</v>
      </c>
      <c r="AD448" t="s">
        <v>80</v>
      </c>
      <c r="AE448" t="s">
        <v>81</v>
      </c>
      <c r="AF448" t="s">
        <v>82</v>
      </c>
      <c r="AG448" t="s">
        <v>83</v>
      </c>
      <c r="AH448" t="s">
        <v>84</v>
      </c>
      <c r="AI448" t="str">
        <f>"02"</f>
        <v>02</v>
      </c>
      <c r="AJ448" t="str">
        <f t="shared" si="116"/>
        <v>2</v>
      </c>
      <c r="AK448" t="s">
        <v>107</v>
      </c>
      <c r="AL448" t="s">
        <v>94</v>
      </c>
      <c r="AM448" t="s">
        <v>95</v>
      </c>
      <c r="AN448" t="str">
        <f t="shared" si="109"/>
        <v>.9700</v>
      </c>
      <c r="AO448" t="str">
        <f>"10.78"</f>
        <v>10.78</v>
      </c>
      <c r="AP448" t="s">
        <v>108</v>
      </c>
      <c r="AQ448" t="str">
        <f>"10.78"</f>
        <v>10.78</v>
      </c>
      <c r="AR448">
        <v>242</v>
      </c>
      <c r="AS448">
        <v>0</v>
      </c>
      <c r="AT448">
        <v>242</v>
      </c>
      <c r="AU448">
        <v>2608.41</v>
      </c>
      <c r="AV448">
        <v>265.14999999999998</v>
      </c>
      <c r="AW448">
        <v>2343.2600000000002</v>
      </c>
      <c r="AX448">
        <v>0</v>
      </c>
      <c r="AY448">
        <v>2343.2600000000002</v>
      </c>
      <c r="AZ448">
        <v>0</v>
      </c>
    </row>
    <row r="449" spans="1:52">
      <c r="A449" t="s">
        <v>65</v>
      </c>
      <c r="B449" t="s">
        <v>66</v>
      </c>
      <c r="C449" t="s">
        <v>67</v>
      </c>
      <c r="D449" t="s">
        <v>68</v>
      </c>
      <c r="E449" t="s">
        <v>69</v>
      </c>
      <c r="F449" t="s">
        <v>70</v>
      </c>
      <c r="G449" t="s">
        <v>71</v>
      </c>
      <c r="H449" t="s">
        <v>70</v>
      </c>
      <c r="I449" t="str">
        <f t="shared" si="107"/>
        <v>1010</v>
      </c>
      <c r="J449" t="str">
        <f t="shared" si="108"/>
        <v>05</v>
      </c>
      <c r="K449" t="s">
        <v>68</v>
      </c>
      <c r="L449" t="s">
        <v>72</v>
      </c>
      <c r="M449" t="s">
        <v>68</v>
      </c>
      <c r="N449" t="s">
        <v>702</v>
      </c>
      <c r="O449" t="s">
        <v>743</v>
      </c>
      <c r="P449" t="str">
        <f>"3020617842"</f>
        <v>3020617842</v>
      </c>
      <c r="R449" t="str">
        <f>"00030206178425"</f>
        <v>00030206178425</v>
      </c>
      <c r="S449" s="1">
        <v>40050</v>
      </c>
      <c r="T449" s="1">
        <v>40043</v>
      </c>
      <c r="U449" t="str">
        <f>"3020617842"</f>
        <v>3020617842</v>
      </c>
      <c r="V449" t="str">
        <f>"1510"</f>
        <v>1510</v>
      </c>
      <c r="W449" t="str">
        <f t="shared" si="117"/>
        <v>11</v>
      </c>
      <c r="X449" t="s">
        <v>75</v>
      </c>
      <c r="Y449" t="s">
        <v>76</v>
      </c>
      <c r="Z449" t="s">
        <v>282</v>
      </c>
      <c r="AA449" t="s">
        <v>283</v>
      </c>
      <c r="AB449" t="s">
        <v>79</v>
      </c>
      <c r="AD449" t="s">
        <v>80</v>
      </c>
      <c r="AE449" t="s">
        <v>81</v>
      </c>
      <c r="AF449" t="s">
        <v>82</v>
      </c>
      <c r="AG449" t="s">
        <v>83</v>
      </c>
      <c r="AH449" t="s">
        <v>84</v>
      </c>
      <c r="AI449" t="str">
        <f>"02"</f>
        <v>02</v>
      </c>
      <c r="AJ449" t="str">
        <f t="shared" si="116"/>
        <v>2</v>
      </c>
      <c r="AK449" t="s">
        <v>107</v>
      </c>
      <c r="AL449" t="s">
        <v>94</v>
      </c>
      <c r="AM449" t="s">
        <v>95</v>
      </c>
      <c r="AN449" t="str">
        <f t="shared" si="109"/>
        <v>.9700</v>
      </c>
      <c r="AO449" t="str">
        <f>"10.78"</f>
        <v>10.78</v>
      </c>
      <c r="AP449" t="s">
        <v>108</v>
      </c>
      <c r="AQ449" t="str">
        <f>"10.78"</f>
        <v>10.78</v>
      </c>
      <c r="AR449">
        <v>184</v>
      </c>
      <c r="AS449">
        <v>-1</v>
      </c>
      <c r="AT449">
        <v>183</v>
      </c>
      <c r="AU449">
        <v>1983.12</v>
      </c>
      <c r="AV449">
        <v>197.45</v>
      </c>
      <c r="AW449">
        <v>1785.67</v>
      </c>
      <c r="AX449">
        <v>-7.95</v>
      </c>
      <c r="AY449">
        <v>1777.72</v>
      </c>
      <c r="AZ449">
        <v>0</v>
      </c>
    </row>
    <row r="450" spans="1:52">
      <c r="A450" t="s">
        <v>65</v>
      </c>
      <c r="B450" t="s">
        <v>66</v>
      </c>
      <c r="C450" t="s">
        <v>67</v>
      </c>
      <c r="D450" t="s">
        <v>68</v>
      </c>
      <c r="E450" t="s">
        <v>69</v>
      </c>
      <c r="F450" t="s">
        <v>70</v>
      </c>
      <c r="G450" t="s">
        <v>71</v>
      </c>
      <c r="H450" t="s">
        <v>70</v>
      </c>
      <c r="I450" t="str">
        <f t="shared" si="107"/>
        <v>1010</v>
      </c>
      <c r="J450" t="str">
        <f t="shared" si="108"/>
        <v>05</v>
      </c>
      <c r="K450" t="s">
        <v>68</v>
      </c>
      <c r="L450" t="s">
        <v>72</v>
      </c>
      <c r="M450" t="s">
        <v>68</v>
      </c>
      <c r="N450" t="s">
        <v>702</v>
      </c>
      <c r="O450" t="s">
        <v>744</v>
      </c>
      <c r="P450" t="str">
        <f>"3020617982"</f>
        <v>3020617982</v>
      </c>
      <c r="R450" t="str">
        <f>"00030206179828"</f>
        <v>00030206179828</v>
      </c>
      <c r="S450" s="1">
        <v>40127</v>
      </c>
      <c r="T450" s="1">
        <v>40127</v>
      </c>
      <c r="U450" t="str">
        <f>"3020617982"</f>
        <v>3020617982</v>
      </c>
      <c r="V450" t="str">
        <f>"1510"</f>
        <v>1510</v>
      </c>
      <c r="W450" t="str">
        <f t="shared" si="117"/>
        <v>11</v>
      </c>
      <c r="X450" t="s">
        <v>75</v>
      </c>
      <c r="Y450" t="s">
        <v>76</v>
      </c>
      <c r="Z450" t="s">
        <v>105</v>
      </c>
      <c r="AA450" t="s">
        <v>106</v>
      </c>
      <c r="AB450" t="s">
        <v>79</v>
      </c>
      <c r="AD450" t="s">
        <v>80</v>
      </c>
      <c r="AE450" t="s">
        <v>81</v>
      </c>
      <c r="AF450" t="s">
        <v>82</v>
      </c>
      <c r="AG450" t="s">
        <v>83</v>
      </c>
      <c r="AH450" t="s">
        <v>84</v>
      </c>
      <c r="AI450" t="str">
        <f>"02"</f>
        <v>02</v>
      </c>
      <c r="AJ450" t="str">
        <f t="shared" si="116"/>
        <v>2</v>
      </c>
      <c r="AK450" t="s">
        <v>194</v>
      </c>
      <c r="AL450" t="s">
        <v>94</v>
      </c>
      <c r="AM450" t="s">
        <v>95</v>
      </c>
      <c r="AN450" t="str">
        <f t="shared" si="109"/>
        <v>.9700</v>
      </c>
      <c r="AO450" t="str">
        <f>"9.75"</f>
        <v>9.75</v>
      </c>
      <c r="AP450" t="s">
        <v>195</v>
      </c>
      <c r="AQ450" t="str">
        <f>"9.75"</f>
        <v>9.75</v>
      </c>
      <c r="AR450">
        <v>204</v>
      </c>
      <c r="AS450">
        <v>0</v>
      </c>
      <c r="AT450">
        <v>204</v>
      </c>
      <c r="AU450">
        <v>1986.5</v>
      </c>
      <c r="AV450">
        <v>236.34</v>
      </c>
      <c r="AW450">
        <v>1750.16</v>
      </c>
      <c r="AX450">
        <v>0</v>
      </c>
      <c r="AY450">
        <v>1750.16</v>
      </c>
      <c r="AZ450">
        <v>0</v>
      </c>
    </row>
    <row r="451" spans="1:52">
      <c r="A451" t="s">
        <v>65</v>
      </c>
      <c r="B451" t="s">
        <v>66</v>
      </c>
      <c r="C451" t="s">
        <v>67</v>
      </c>
      <c r="D451" t="s">
        <v>68</v>
      </c>
      <c r="E451" t="s">
        <v>69</v>
      </c>
      <c r="F451" t="s">
        <v>70</v>
      </c>
      <c r="G451" t="s">
        <v>71</v>
      </c>
      <c r="H451" t="s">
        <v>70</v>
      </c>
      <c r="I451" t="str">
        <f t="shared" si="107"/>
        <v>1010</v>
      </c>
      <c r="J451" t="str">
        <f t="shared" si="108"/>
        <v>05</v>
      </c>
      <c r="K451" t="s">
        <v>68</v>
      </c>
      <c r="L451" t="s">
        <v>72</v>
      </c>
      <c r="M451" t="s">
        <v>68</v>
      </c>
      <c r="N451" t="s">
        <v>702</v>
      </c>
      <c r="O451" t="s">
        <v>745</v>
      </c>
      <c r="P451" t="str">
        <f>"3020617322"</f>
        <v>3020617322</v>
      </c>
      <c r="R451" t="str">
        <f>"00030206173222"</f>
        <v>00030206173222</v>
      </c>
      <c r="S451" s="1">
        <v>39588</v>
      </c>
      <c r="T451" s="1">
        <v>39588</v>
      </c>
      <c r="U451" t="str">
        <f>"3020617322"</f>
        <v>3020617322</v>
      </c>
      <c r="V451" t="str">
        <f>"1510"</f>
        <v>1510</v>
      </c>
      <c r="W451" t="str">
        <f t="shared" si="117"/>
        <v>11</v>
      </c>
      <c r="X451" t="s">
        <v>75</v>
      </c>
      <c r="Y451" t="s">
        <v>76</v>
      </c>
      <c r="Z451" t="s">
        <v>77</v>
      </c>
      <c r="AA451" t="s">
        <v>78</v>
      </c>
      <c r="AB451" t="s">
        <v>79</v>
      </c>
      <c r="AD451" t="s">
        <v>80</v>
      </c>
      <c r="AE451" t="s">
        <v>81</v>
      </c>
      <c r="AF451" t="s">
        <v>82</v>
      </c>
      <c r="AG451" t="s">
        <v>83</v>
      </c>
      <c r="AH451" t="s">
        <v>84</v>
      </c>
      <c r="AI451" t="str">
        <f>"02"</f>
        <v>02</v>
      </c>
      <c r="AJ451" t="str">
        <f t="shared" si="116"/>
        <v>2</v>
      </c>
      <c r="AK451" t="s">
        <v>107</v>
      </c>
      <c r="AL451" t="s">
        <v>94</v>
      </c>
      <c r="AM451" t="s">
        <v>95</v>
      </c>
      <c r="AN451" t="str">
        <f t="shared" si="109"/>
        <v>.9700</v>
      </c>
      <c r="AO451" t="str">
        <f>"10.78"</f>
        <v>10.78</v>
      </c>
      <c r="AP451" t="s">
        <v>108</v>
      </c>
      <c r="AQ451" t="str">
        <f>"10.78"</f>
        <v>10.78</v>
      </c>
      <c r="AR451">
        <v>0</v>
      </c>
      <c r="AS451">
        <v>-1</v>
      </c>
      <c r="AT451">
        <v>-1</v>
      </c>
      <c r="AU451">
        <v>-2.0499999999999998</v>
      </c>
      <c r="AV451">
        <v>0</v>
      </c>
      <c r="AW451">
        <v>-2.0499999999999998</v>
      </c>
      <c r="AX451">
        <v>-9.8000000000000007</v>
      </c>
      <c r="AY451">
        <v>-11.85</v>
      </c>
      <c r="AZ451">
        <v>0</v>
      </c>
    </row>
    <row r="452" spans="1:52">
      <c r="A452" t="s">
        <v>65</v>
      </c>
      <c r="B452" t="s">
        <v>66</v>
      </c>
      <c r="C452" t="s">
        <v>67</v>
      </c>
      <c r="D452" t="s">
        <v>68</v>
      </c>
      <c r="E452" t="s">
        <v>69</v>
      </c>
      <c r="F452" t="s">
        <v>70</v>
      </c>
      <c r="G452" t="s">
        <v>71</v>
      </c>
      <c r="H452" t="s">
        <v>70</v>
      </c>
      <c r="I452" t="str">
        <f t="shared" si="107"/>
        <v>1010</v>
      </c>
      <c r="J452" t="str">
        <f t="shared" si="108"/>
        <v>05</v>
      </c>
      <c r="K452" t="s">
        <v>68</v>
      </c>
      <c r="L452" t="s">
        <v>72</v>
      </c>
      <c r="M452" t="s">
        <v>68</v>
      </c>
      <c r="N452" t="s">
        <v>746</v>
      </c>
      <c r="O452" t="s">
        <v>747</v>
      </c>
      <c r="P452" t="str">
        <f>"3020611622"</f>
        <v>3020611622</v>
      </c>
      <c r="R452" t="str">
        <f>"00030206116229"</f>
        <v>00030206116229</v>
      </c>
      <c r="S452" s="1">
        <v>37215</v>
      </c>
      <c r="T452" s="1">
        <v>37208</v>
      </c>
      <c r="U452" t="str">
        <f>"3020611622"</f>
        <v>3020611622</v>
      </c>
      <c r="V452" t="str">
        <f>"1510"</f>
        <v>1510</v>
      </c>
      <c r="W452" t="str">
        <f t="shared" si="117"/>
        <v>11</v>
      </c>
      <c r="X452" t="s">
        <v>75</v>
      </c>
      <c r="Y452" t="s">
        <v>76</v>
      </c>
      <c r="Z452" t="s">
        <v>105</v>
      </c>
      <c r="AA452" t="s">
        <v>106</v>
      </c>
      <c r="AB452" t="s">
        <v>79</v>
      </c>
      <c r="AD452" t="s">
        <v>80</v>
      </c>
      <c r="AE452" t="s">
        <v>81</v>
      </c>
      <c r="AF452" t="s">
        <v>82</v>
      </c>
      <c r="AG452" t="s">
        <v>83</v>
      </c>
      <c r="AH452" t="s">
        <v>84</v>
      </c>
      <c r="AI452" t="str">
        <f>"02"</f>
        <v>02</v>
      </c>
      <c r="AJ452" t="str">
        <f t="shared" si="116"/>
        <v>2</v>
      </c>
      <c r="AK452" t="s">
        <v>748</v>
      </c>
      <c r="AL452" t="s">
        <v>94</v>
      </c>
      <c r="AM452" t="s">
        <v>95</v>
      </c>
      <c r="AN452" t="str">
        <f t="shared" si="109"/>
        <v>.9700</v>
      </c>
      <c r="AO452" t="str">
        <f>"12.87"</f>
        <v>12.87</v>
      </c>
      <c r="AP452" t="s">
        <v>749</v>
      </c>
      <c r="AQ452" t="str">
        <f>"12.87"</f>
        <v>12.87</v>
      </c>
      <c r="AR452">
        <v>21</v>
      </c>
      <c r="AS452">
        <v>-18</v>
      </c>
      <c r="AT452">
        <v>3</v>
      </c>
      <c r="AU452">
        <v>270.37</v>
      </c>
      <c r="AV452">
        <v>30.9</v>
      </c>
      <c r="AW452">
        <v>239.47</v>
      </c>
      <c r="AX452">
        <v>-212</v>
      </c>
      <c r="AY452">
        <v>27.47</v>
      </c>
      <c r="AZ452">
        <v>0</v>
      </c>
    </row>
    <row r="453" spans="1:52">
      <c r="A453" t="s">
        <v>65</v>
      </c>
      <c r="B453" t="s">
        <v>66</v>
      </c>
      <c r="C453" t="s">
        <v>67</v>
      </c>
      <c r="D453" t="s">
        <v>68</v>
      </c>
      <c r="E453" t="s">
        <v>69</v>
      </c>
      <c r="F453" t="s">
        <v>70</v>
      </c>
      <c r="G453" t="s">
        <v>71</v>
      </c>
      <c r="H453" t="s">
        <v>70</v>
      </c>
      <c r="I453" t="str">
        <f t="shared" si="107"/>
        <v>1010</v>
      </c>
      <c r="J453" t="str">
        <f t="shared" si="108"/>
        <v>05</v>
      </c>
      <c r="K453" t="s">
        <v>68</v>
      </c>
      <c r="L453" t="s">
        <v>72</v>
      </c>
      <c r="M453" t="s">
        <v>68</v>
      </c>
      <c r="N453" t="s">
        <v>746</v>
      </c>
      <c r="O453" t="s">
        <v>750</v>
      </c>
      <c r="P453" t="str">
        <f>"3020671852"</f>
        <v>3020671852</v>
      </c>
      <c r="R453" t="str">
        <f>"00030206718522"</f>
        <v>00030206718522</v>
      </c>
      <c r="S453" s="1">
        <v>41401</v>
      </c>
      <c r="T453" s="1">
        <v>41380</v>
      </c>
      <c r="U453" t="str">
        <f>"3020671852"</f>
        <v>3020671852</v>
      </c>
      <c r="V453" t="str">
        <f>"1010"</f>
        <v>1010</v>
      </c>
      <c r="W453" t="str">
        <f t="shared" si="117"/>
        <v>11</v>
      </c>
      <c r="X453" t="s">
        <v>75</v>
      </c>
      <c r="Y453" t="s">
        <v>173</v>
      </c>
      <c r="Z453" t="s">
        <v>180</v>
      </c>
      <c r="AA453" t="s">
        <v>181</v>
      </c>
      <c r="AB453" t="s">
        <v>79</v>
      </c>
      <c r="AD453" t="s">
        <v>80</v>
      </c>
      <c r="AE453" t="s">
        <v>81</v>
      </c>
      <c r="AF453" t="s">
        <v>82</v>
      </c>
      <c r="AG453" t="s">
        <v>83</v>
      </c>
      <c r="AH453" t="s">
        <v>84</v>
      </c>
      <c r="AJ453" t="str">
        <f>"4"</f>
        <v>4</v>
      </c>
      <c r="AK453" t="s">
        <v>240</v>
      </c>
      <c r="AL453" t="s">
        <v>143</v>
      </c>
      <c r="AM453" t="s">
        <v>95</v>
      </c>
      <c r="AN453" t="str">
        <f>"3.8800"</f>
        <v>3.8800</v>
      </c>
      <c r="AO453" t="str">
        <f>"12.65"</f>
        <v>12.65</v>
      </c>
      <c r="AP453" t="s">
        <v>241</v>
      </c>
      <c r="AQ453" t="str">
        <f>"12.65"</f>
        <v>12.65</v>
      </c>
      <c r="AR453">
        <v>6</v>
      </c>
      <c r="AS453">
        <v>-2</v>
      </c>
      <c r="AT453">
        <v>4</v>
      </c>
      <c r="AU453">
        <v>75.900000000000006</v>
      </c>
      <c r="AV453">
        <v>0</v>
      </c>
      <c r="AW453">
        <v>75.900000000000006</v>
      </c>
      <c r="AX453">
        <v>-22.47</v>
      </c>
      <c r="AY453">
        <v>53.43</v>
      </c>
      <c r="AZ453">
        <v>0</v>
      </c>
    </row>
    <row r="454" spans="1:52">
      <c r="A454" t="s">
        <v>65</v>
      </c>
      <c r="B454" t="s">
        <v>66</v>
      </c>
      <c r="C454" t="s">
        <v>67</v>
      </c>
      <c r="D454" t="s">
        <v>68</v>
      </c>
      <c r="E454" t="s">
        <v>69</v>
      </c>
      <c r="F454" t="s">
        <v>70</v>
      </c>
      <c r="G454" t="s">
        <v>71</v>
      </c>
      <c r="H454" t="s">
        <v>70</v>
      </c>
      <c r="I454" t="str">
        <f t="shared" si="107"/>
        <v>1010</v>
      </c>
      <c r="J454" t="str">
        <f t="shared" si="108"/>
        <v>05</v>
      </c>
      <c r="K454" t="s">
        <v>68</v>
      </c>
      <c r="L454" t="s">
        <v>72</v>
      </c>
      <c r="M454" t="s">
        <v>68</v>
      </c>
      <c r="N454" t="s">
        <v>751</v>
      </c>
      <c r="O454" t="s">
        <v>752</v>
      </c>
      <c r="P454" t="str">
        <f>"3020664012"</f>
        <v>3020664012</v>
      </c>
      <c r="R454" t="str">
        <f>"00030206640120"</f>
        <v>00030206640120</v>
      </c>
      <c r="S454" s="1">
        <v>37544</v>
      </c>
      <c r="T454" s="1">
        <v>37544</v>
      </c>
      <c r="U454" t="str">
        <f>"3020664012"</f>
        <v>3020664012</v>
      </c>
      <c r="V454" t="str">
        <f>"1510"</f>
        <v>1510</v>
      </c>
      <c r="W454" t="str">
        <f t="shared" si="117"/>
        <v>11</v>
      </c>
      <c r="X454" t="s">
        <v>75</v>
      </c>
      <c r="Y454" t="s">
        <v>76</v>
      </c>
      <c r="Z454" t="s">
        <v>110</v>
      </c>
      <c r="AA454" t="s">
        <v>111</v>
      </c>
      <c r="AB454" t="s">
        <v>79</v>
      </c>
      <c r="AD454" t="s">
        <v>80</v>
      </c>
      <c r="AE454" t="s">
        <v>81</v>
      </c>
      <c r="AF454" t="s">
        <v>82</v>
      </c>
      <c r="AG454" t="s">
        <v>83</v>
      </c>
      <c r="AH454" t="s">
        <v>84</v>
      </c>
      <c r="AI454" t="str">
        <f>"01"</f>
        <v>01</v>
      </c>
      <c r="AJ454" t="str">
        <f>"1"</f>
        <v>1</v>
      </c>
      <c r="AK454" t="s">
        <v>101</v>
      </c>
      <c r="AL454" t="s">
        <v>94</v>
      </c>
      <c r="AM454" t="s">
        <v>95</v>
      </c>
      <c r="AN454" t="str">
        <f t="shared" ref="AN454:AN466" si="118">".9700"</f>
        <v>.9700</v>
      </c>
      <c r="AO454" t="str">
        <f>"9.07"</f>
        <v>9.07</v>
      </c>
      <c r="AP454" t="s">
        <v>102</v>
      </c>
      <c r="AQ454" t="str">
        <f>"9.07"</f>
        <v>9.07</v>
      </c>
      <c r="AR454">
        <v>4</v>
      </c>
      <c r="AS454">
        <v>-1</v>
      </c>
      <c r="AT454">
        <v>3</v>
      </c>
      <c r="AU454">
        <v>36.28</v>
      </c>
      <c r="AV454">
        <v>0</v>
      </c>
      <c r="AW454">
        <v>36.28</v>
      </c>
      <c r="AX454">
        <v>-8.48</v>
      </c>
      <c r="AY454">
        <v>27.8</v>
      </c>
      <c r="AZ454">
        <v>0</v>
      </c>
    </row>
    <row r="455" spans="1:52">
      <c r="A455" t="s">
        <v>65</v>
      </c>
      <c r="B455" t="s">
        <v>66</v>
      </c>
      <c r="C455" t="s">
        <v>67</v>
      </c>
      <c r="D455" t="s">
        <v>68</v>
      </c>
      <c r="E455" t="s">
        <v>69</v>
      </c>
      <c r="F455" t="s">
        <v>70</v>
      </c>
      <c r="G455" t="s">
        <v>71</v>
      </c>
      <c r="H455" t="s">
        <v>70</v>
      </c>
      <c r="I455" t="str">
        <f t="shared" si="107"/>
        <v>1010</v>
      </c>
      <c r="J455" t="str">
        <f t="shared" si="108"/>
        <v>05</v>
      </c>
      <c r="K455" t="s">
        <v>68</v>
      </c>
      <c r="L455" t="s">
        <v>72</v>
      </c>
      <c r="M455" t="s">
        <v>68</v>
      </c>
      <c r="N455" t="s">
        <v>753</v>
      </c>
      <c r="O455" t="s">
        <v>245</v>
      </c>
      <c r="P455" t="str">
        <f>"3020618262"</f>
        <v>3020618262</v>
      </c>
      <c r="R455" t="str">
        <f>"00030206182620"</f>
        <v>00030206182620</v>
      </c>
      <c r="S455" s="1">
        <v>40295</v>
      </c>
      <c r="T455" s="1">
        <v>40295</v>
      </c>
      <c r="U455" t="str">
        <f>"3020618262"</f>
        <v>3020618262</v>
      </c>
      <c r="V455" t="str">
        <f>"1510"</f>
        <v>1510</v>
      </c>
      <c r="W455" t="str">
        <f t="shared" si="117"/>
        <v>11</v>
      </c>
      <c r="X455" t="s">
        <v>75</v>
      </c>
      <c r="Y455" t="s">
        <v>76</v>
      </c>
      <c r="Z455" t="s">
        <v>282</v>
      </c>
      <c r="AA455" t="s">
        <v>283</v>
      </c>
      <c r="AB455" t="s">
        <v>79</v>
      </c>
      <c r="AD455" t="s">
        <v>80</v>
      </c>
      <c r="AE455" t="s">
        <v>81</v>
      </c>
      <c r="AF455" t="s">
        <v>82</v>
      </c>
      <c r="AG455" t="s">
        <v>83</v>
      </c>
      <c r="AH455" t="s">
        <v>84</v>
      </c>
      <c r="AI455" t="str">
        <f>"02"</f>
        <v>02</v>
      </c>
      <c r="AJ455" t="str">
        <f>"2"</f>
        <v>2</v>
      </c>
      <c r="AK455" t="s">
        <v>194</v>
      </c>
      <c r="AL455" t="s">
        <v>94</v>
      </c>
      <c r="AM455" t="s">
        <v>95</v>
      </c>
      <c r="AN455" t="str">
        <f t="shared" si="118"/>
        <v>.9700</v>
      </c>
      <c r="AO455" t="str">
        <f>"9.75"</f>
        <v>9.75</v>
      </c>
      <c r="AP455" t="s">
        <v>195</v>
      </c>
      <c r="AQ455" t="str">
        <f>"9.75"</f>
        <v>9.75</v>
      </c>
      <c r="AR455">
        <v>4</v>
      </c>
      <c r="AS455">
        <v>-2</v>
      </c>
      <c r="AT455">
        <v>2</v>
      </c>
      <c r="AU455">
        <v>39.020000000000003</v>
      </c>
      <c r="AV455">
        <v>4.0999999999999996</v>
      </c>
      <c r="AW455">
        <v>34.92</v>
      </c>
      <c r="AX455">
        <v>-17.61</v>
      </c>
      <c r="AY455">
        <v>17.309999999999999</v>
      </c>
      <c r="AZ455">
        <v>0</v>
      </c>
    </row>
    <row r="456" spans="1:52">
      <c r="A456" t="s">
        <v>65</v>
      </c>
      <c r="B456" t="s">
        <v>66</v>
      </c>
      <c r="C456" t="s">
        <v>67</v>
      </c>
      <c r="D456" t="s">
        <v>68</v>
      </c>
      <c r="E456" t="s">
        <v>69</v>
      </c>
      <c r="F456" t="s">
        <v>70</v>
      </c>
      <c r="G456" t="s">
        <v>71</v>
      </c>
      <c r="H456" t="s">
        <v>70</v>
      </c>
      <c r="I456" t="str">
        <f t="shared" si="107"/>
        <v>1010</v>
      </c>
      <c r="J456" t="str">
        <f t="shared" si="108"/>
        <v>05</v>
      </c>
      <c r="K456" t="s">
        <v>68</v>
      </c>
      <c r="L456" t="s">
        <v>72</v>
      </c>
      <c r="M456" t="s">
        <v>68</v>
      </c>
      <c r="N456" t="s">
        <v>754</v>
      </c>
      <c r="O456" t="s">
        <v>164</v>
      </c>
      <c r="P456" t="str">
        <f>"3020618192"</f>
        <v>3020618192</v>
      </c>
      <c r="R456" t="str">
        <f>"00030206181920"</f>
        <v>00030206181920</v>
      </c>
      <c r="S456" s="1">
        <v>40267</v>
      </c>
      <c r="T456" s="1">
        <v>40267</v>
      </c>
      <c r="U456" t="str">
        <f>"3020618192"</f>
        <v>3020618192</v>
      </c>
      <c r="V456" t="str">
        <f>"1510"</f>
        <v>1510</v>
      </c>
      <c r="W456" t="str">
        <f t="shared" si="117"/>
        <v>11</v>
      </c>
      <c r="X456" t="s">
        <v>75</v>
      </c>
      <c r="Y456" t="s">
        <v>76</v>
      </c>
      <c r="Z456" t="s">
        <v>91</v>
      </c>
      <c r="AA456" t="s">
        <v>92</v>
      </c>
      <c r="AB456" t="s">
        <v>79</v>
      </c>
      <c r="AD456" t="s">
        <v>80</v>
      </c>
      <c r="AE456" t="s">
        <v>81</v>
      </c>
      <c r="AF456" t="s">
        <v>82</v>
      </c>
      <c r="AG456" t="s">
        <v>83</v>
      </c>
      <c r="AH456" t="s">
        <v>84</v>
      </c>
      <c r="AI456" t="str">
        <f>"01"</f>
        <v>01</v>
      </c>
      <c r="AJ456" t="str">
        <f t="shared" ref="AJ456:AJ491" si="119">"1"</f>
        <v>1</v>
      </c>
      <c r="AK456" t="s">
        <v>85</v>
      </c>
      <c r="AL456" t="s">
        <v>86</v>
      </c>
      <c r="AM456" t="s">
        <v>87</v>
      </c>
      <c r="AN456" t="str">
        <f t="shared" si="118"/>
        <v>.9700</v>
      </c>
      <c r="AO456" t="str">
        <f>"7.50"</f>
        <v>7.50</v>
      </c>
      <c r="AP456" t="s">
        <v>88</v>
      </c>
      <c r="AQ456" t="str">
        <f>"7.50"</f>
        <v>7.50</v>
      </c>
      <c r="AR456">
        <v>102</v>
      </c>
      <c r="AS456">
        <v>0</v>
      </c>
      <c r="AT456">
        <v>102</v>
      </c>
      <c r="AU456">
        <v>765</v>
      </c>
      <c r="AV456">
        <v>84.45</v>
      </c>
      <c r="AW456">
        <v>680.55</v>
      </c>
      <c r="AX456">
        <v>0</v>
      </c>
      <c r="AY456">
        <v>680.55</v>
      </c>
      <c r="AZ456">
        <v>0</v>
      </c>
    </row>
    <row r="457" spans="1:52">
      <c r="A457" t="s">
        <v>65</v>
      </c>
      <c r="B457" t="s">
        <v>66</v>
      </c>
      <c r="C457" t="s">
        <v>67</v>
      </c>
      <c r="D457" t="s">
        <v>68</v>
      </c>
      <c r="E457" t="s">
        <v>69</v>
      </c>
      <c r="F457" t="s">
        <v>70</v>
      </c>
      <c r="G457" t="s">
        <v>71</v>
      </c>
      <c r="H457" t="s">
        <v>70</v>
      </c>
      <c r="I457" t="str">
        <f t="shared" si="107"/>
        <v>1010</v>
      </c>
      <c r="J457" t="str">
        <f t="shared" si="108"/>
        <v>05</v>
      </c>
      <c r="K457" t="s">
        <v>68</v>
      </c>
      <c r="L457" t="s">
        <v>72</v>
      </c>
      <c r="M457" t="s">
        <v>68</v>
      </c>
      <c r="N457" t="s">
        <v>754</v>
      </c>
      <c r="O457" t="s">
        <v>755</v>
      </c>
      <c r="P457" t="str">
        <f>"3020618922"</f>
        <v>3020618922</v>
      </c>
      <c r="R457" t="str">
        <f>"00030206189223"</f>
        <v>00030206189223</v>
      </c>
      <c r="S457" s="1">
        <v>40806</v>
      </c>
      <c r="T457" s="1">
        <v>40806</v>
      </c>
      <c r="U457" t="str">
        <f>"3020618922"</f>
        <v>3020618922</v>
      </c>
      <c r="V457" t="str">
        <f>"1510"</f>
        <v>1510</v>
      </c>
      <c r="W457" t="str">
        <f t="shared" si="117"/>
        <v>11</v>
      </c>
      <c r="X457" t="s">
        <v>75</v>
      </c>
      <c r="Y457" t="s">
        <v>76</v>
      </c>
      <c r="Z457" t="s">
        <v>91</v>
      </c>
      <c r="AA457" t="s">
        <v>92</v>
      </c>
      <c r="AB457" t="s">
        <v>79</v>
      </c>
      <c r="AD457" t="s">
        <v>80</v>
      </c>
      <c r="AE457" t="s">
        <v>81</v>
      </c>
      <c r="AF457" t="s">
        <v>82</v>
      </c>
      <c r="AG457" t="s">
        <v>83</v>
      </c>
      <c r="AH457" t="s">
        <v>84</v>
      </c>
      <c r="AI457" t="str">
        <f>"01"</f>
        <v>01</v>
      </c>
      <c r="AJ457" t="str">
        <f t="shared" si="119"/>
        <v>1</v>
      </c>
      <c r="AK457" t="s">
        <v>85</v>
      </c>
      <c r="AL457" t="s">
        <v>86</v>
      </c>
      <c r="AM457" t="s">
        <v>87</v>
      </c>
      <c r="AN457" t="str">
        <f t="shared" si="118"/>
        <v>.9700</v>
      </c>
      <c r="AO457" t="str">
        <f>"7.50"</f>
        <v>7.50</v>
      </c>
      <c r="AP457" t="s">
        <v>88</v>
      </c>
      <c r="AQ457" t="str">
        <f>"7.50"</f>
        <v>7.50</v>
      </c>
      <c r="AR457">
        <v>13</v>
      </c>
      <c r="AS457">
        <v>0</v>
      </c>
      <c r="AT457">
        <v>13</v>
      </c>
      <c r="AU457">
        <v>97.5</v>
      </c>
      <c r="AV457">
        <v>8.25</v>
      </c>
      <c r="AW457">
        <v>89.25</v>
      </c>
      <c r="AX457">
        <v>0</v>
      </c>
      <c r="AY457">
        <v>89.25</v>
      </c>
      <c r="AZ457">
        <v>0</v>
      </c>
    </row>
    <row r="458" spans="1:52">
      <c r="A458" t="s">
        <v>65</v>
      </c>
      <c r="B458" t="s">
        <v>66</v>
      </c>
      <c r="C458" t="s">
        <v>67</v>
      </c>
      <c r="D458" t="s">
        <v>68</v>
      </c>
      <c r="E458" t="s">
        <v>69</v>
      </c>
      <c r="F458" t="s">
        <v>70</v>
      </c>
      <c r="G458" t="s">
        <v>71</v>
      </c>
      <c r="H458" t="s">
        <v>70</v>
      </c>
      <c r="I458" t="str">
        <f t="shared" ref="I458:I469" si="120">"1010"</f>
        <v>1010</v>
      </c>
      <c r="J458" t="str">
        <f t="shared" ref="J458:J512" si="121">"05"</f>
        <v>05</v>
      </c>
      <c r="K458" t="s">
        <v>68</v>
      </c>
      <c r="L458" t="s">
        <v>72</v>
      </c>
      <c r="M458" t="s">
        <v>68</v>
      </c>
      <c r="N458" t="s">
        <v>756</v>
      </c>
      <c r="O458" t="s">
        <v>757</v>
      </c>
      <c r="P458" t="str">
        <f>"3020619842"</f>
        <v>3020619842</v>
      </c>
      <c r="R458" t="str">
        <f>"00030206198423"</f>
        <v>00030206198423</v>
      </c>
      <c r="S458" s="1">
        <v>41589</v>
      </c>
      <c r="T458" s="1">
        <v>41590</v>
      </c>
      <c r="U458" t="str">
        <f>"3020619842"</f>
        <v>3020619842</v>
      </c>
      <c r="V458" t="str">
        <f>"1010"</f>
        <v>1010</v>
      </c>
      <c r="W458" t="str">
        <f t="shared" si="117"/>
        <v>11</v>
      </c>
      <c r="X458" t="s">
        <v>75</v>
      </c>
      <c r="Y458" t="s">
        <v>173</v>
      </c>
      <c r="Z458" t="s">
        <v>105</v>
      </c>
      <c r="AA458" t="s">
        <v>106</v>
      </c>
      <c r="AB458" t="s">
        <v>79</v>
      </c>
      <c r="AD458" t="s">
        <v>80</v>
      </c>
      <c r="AE458" t="s">
        <v>81</v>
      </c>
      <c r="AF458" t="s">
        <v>82</v>
      </c>
      <c r="AG458" t="s">
        <v>83</v>
      </c>
      <c r="AH458" t="s">
        <v>84</v>
      </c>
      <c r="AJ458" t="str">
        <f t="shared" si="119"/>
        <v>1</v>
      </c>
      <c r="AK458" t="s">
        <v>85</v>
      </c>
      <c r="AL458" t="s">
        <v>86</v>
      </c>
      <c r="AM458" t="s">
        <v>87</v>
      </c>
      <c r="AN458" t="str">
        <f t="shared" si="118"/>
        <v>.9700</v>
      </c>
      <c r="AO458" t="str">
        <f>"7.50"</f>
        <v>7.50</v>
      </c>
      <c r="AP458" t="s">
        <v>88</v>
      </c>
      <c r="AQ458" t="str">
        <f>"7.50"</f>
        <v>7.50</v>
      </c>
      <c r="AR458">
        <v>33</v>
      </c>
      <c r="AS458">
        <v>-7</v>
      </c>
      <c r="AT458">
        <v>26</v>
      </c>
      <c r="AU458">
        <v>247.5</v>
      </c>
      <c r="AV458">
        <v>23.25</v>
      </c>
      <c r="AW458">
        <v>224.25</v>
      </c>
      <c r="AX458">
        <v>-43.74</v>
      </c>
      <c r="AY458">
        <v>180.51</v>
      </c>
      <c r="AZ458">
        <v>0</v>
      </c>
    </row>
    <row r="459" spans="1:52">
      <c r="A459" t="s">
        <v>65</v>
      </c>
      <c r="B459" t="s">
        <v>66</v>
      </c>
      <c r="C459" t="s">
        <v>67</v>
      </c>
      <c r="D459" t="s">
        <v>68</v>
      </c>
      <c r="E459" t="s">
        <v>69</v>
      </c>
      <c r="F459" t="s">
        <v>70</v>
      </c>
      <c r="G459" t="s">
        <v>71</v>
      </c>
      <c r="H459" t="s">
        <v>70</v>
      </c>
      <c r="I459" t="str">
        <f t="shared" si="120"/>
        <v>1010</v>
      </c>
      <c r="J459" t="str">
        <f t="shared" si="121"/>
        <v>05</v>
      </c>
      <c r="K459" t="s">
        <v>68</v>
      </c>
      <c r="L459" t="s">
        <v>72</v>
      </c>
      <c r="M459" t="s">
        <v>68</v>
      </c>
      <c r="N459" t="s">
        <v>758</v>
      </c>
      <c r="O459" t="s">
        <v>759</v>
      </c>
      <c r="P459" t="str">
        <f>"3020614382"</f>
        <v>3020614382</v>
      </c>
      <c r="R459" t="str">
        <f>"00030206143829"</f>
        <v>00030206143829</v>
      </c>
      <c r="S459" s="1">
        <v>38293</v>
      </c>
      <c r="T459" s="1">
        <v>38293</v>
      </c>
      <c r="U459" t="str">
        <f>"3020614382"</f>
        <v>3020614382</v>
      </c>
      <c r="V459" t="str">
        <f>"1510"</f>
        <v>1510</v>
      </c>
      <c r="W459" t="str">
        <f t="shared" si="117"/>
        <v>11</v>
      </c>
      <c r="X459" t="s">
        <v>75</v>
      </c>
      <c r="Y459" t="s">
        <v>76</v>
      </c>
      <c r="Z459" t="s">
        <v>105</v>
      </c>
      <c r="AA459" t="s">
        <v>106</v>
      </c>
      <c r="AB459" t="s">
        <v>79</v>
      </c>
      <c r="AD459" t="s">
        <v>80</v>
      </c>
      <c r="AE459" t="s">
        <v>81</v>
      </c>
      <c r="AF459" t="s">
        <v>82</v>
      </c>
      <c r="AG459" t="s">
        <v>83</v>
      </c>
      <c r="AH459" t="s">
        <v>84</v>
      </c>
      <c r="AI459" t="str">
        <f>"01"</f>
        <v>01</v>
      </c>
      <c r="AJ459" t="str">
        <f t="shared" si="119"/>
        <v>1</v>
      </c>
      <c r="AK459" t="s">
        <v>98</v>
      </c>
      <c r="AL459" t="s">
        <v>94</v>
      </c>
      <c r="AM459" t="s">
        <v>95</v>
      </c>
      <c r="AN459" t="str">
        <f t="shared" si="118"/>
        <v>.9700</v>
      </c>
      <c r="AO459" t="str">
        <f>"8.00"</f>
        <v>8.00</v>
      </c>
      <c r="AP459" t="s">
        <v>99</v>
      </c>
      <c r="AQ459" t="str">
        <f>"8.00"</f>
        <v>8.00</v>
      </c>
      <c r="AR459">
        <v>69</v>
      </c>
      <c r="AS459">
        <v>-3</v>
      </c>
      <c r="AT459">
        <v>66</v>
      </c>
      <c r="AU459">
        <v>552</v>
      </c>
      <c r="AV459">
        <v>61.44</v>
      </c>
      <c r="AW459">
        <v>490.56</v>
      </c>
      <c r="AX459">
        <v>-21.8</v>
      </c>
      <c r="AY459">
        <v>468.76</v>
      </c>
      <c r="AZ459">
        <v>0</v>
      </c>
    </row>
    <row r="460" spans="1:52">
      <c r="A460" t="s">
        <v>65</v>
      </c>
      <c r="B460" t="s">
        <v>66</v>
      </c>
      <c r="C460" t="s">
        <v>67</v>
      </c>
      <c r="D460" t="s">
        <v>68</v>
      </c>
      <c r="E460" t="s">
        <v>69</v>
      </c>
      <c r="F460" t="s">
        <v>70</v>
      </c>
      <c r="G460" t="s">
        <v>71</v>
      </c>
      <c r="H460" t="s">
        <v>70</v>
      </c>
      <c r="I460" t="str">
        <f t="shared" si="120"/>
        <v>1010</v>
      </c>
      <c r="J460" t="str">
        <f t="shared" si="121"/>
        <v>05</v>
      </c>
      <c r="K460" t="s">
        <v>68</v>
      </c>
      <c r="L460" t="s">
        <v>72</v>
      </c>
      <c r="M460" t="s">
        <v>68</v>
      </c>
      <c r="N460" t="s">
        <v>760</v>
      </c>
      <c r="O460" t="s">
        <v>761</v>
      </c>
      <c r="P460" t="str">
        <f>"3020617602"</f>
        <v>3020617602</v>
      </c>
      <c r="R460" t="str">
        <f>"00030206176025"</f>
        <v>00030206176025</v>
      </c>
      <c r="S460" s="1">
        <v>39903</v>
      </c>
      <c r="T460" s="1">
        <v>39896</v>
      </c>
      <c r="U460" t="str">
        <f>"3020617602"</f>
        <v>3020617602</v>
      </c>
      <c r="V460" t="str">
        <f>"1510"</f>
        <v>1510</v>
      </c>
      <c r="W460" t="str">
        <f t="shared" si="117"/>
        <v>11</v>
      </c>
      <c r="X460" t="s">
        <v>75</v>
      </c>
      <c r="Y460" t="s">
        <v>76</v>
      </c>
      <c r="Z460" t="s">
        <v>105</v>
      </c>
      <c r="AA460" t="s">
        <v>106</v>
      </c>
      <c r="AB460" t="s">
        <v>79</v>
      </c>
      <c r="AD460" t="s">
        <v>80</v>
      </c>
      <c r="AE460" t="s">
        <v>81</v>
      </c>
      <c r="AF460" t="s">
        <v>82</v>
      </c>
      <c r="AG460" t="s">
        <v>83</v>
      </c>
      <c r="AH460" t="s">
        <v>84</v>
      </c>
      <c r="AI460" t="str">
        <f>"01"</f>
        <v>01</v>
      </c>
      <c r="AJ460" t="str">
        <f t="shared" si="119"/>
        <v>1</v>
      </c>
      <c r="AK460" t="s">
        <v>198</v>
      </c>
      <c r="AL460" t="s">
        <v>162</v>
      </c>
      <c r="AM460" t="s">
        <v>87</v>
      </c>
      <c r="AN460" t="str">
        <f t="shared" si="118"/>
        <v>.9700</v>
      </c>
      <c r="AO460" t="str">
        <f>"4.40"</f>
        <v>4.40</v>
      </c>
      <c r="AP460" t="s">
        <v>199</v>
      </c>
      <c r="AQ460" t="str">
        <f>"4.40"</f>
        <v>4.40</v>
      </c>
      <c r="AR460">
        <v>207</v>
      </c>
      <c r="AS460">
        <v>-3</v>
      </c>
      <c r="AT460">
        <v>204</v>
      </c>
      <c r="AU460">
        <v>907.81</v>
      </c>
      <c r="AV460">
        <v>97.93</v>
      </c>
      <c r="AW460">
        <v>809.88</v>
      </c>
      <c r="AX460">
        <v>-10.91</v>
      </c>
      <c r="AY460">
        <v>798.97</v>
      </c>
      <c r="AZ460">
        <v>0</v>
      </c>
    </row>
    <row r="461" spans="1:52">
      <c r="A461" t="s">
        <v>65</v>
      </c>
      <c r="B461" t="s">
        <v>66</v>
      </c>
      <c r="C461" t="s">
        <v>67</v>
      </c>
      <c r="D461" t="s">
        <v>68</v>
      </c>
      <c r="E461" t="s">
        <v>69</v>
      </c>
      <c r="F461" t="s">
        <v>70</v>
      </c>
      <c r="G461" t="s">
        <v>71</v>
      </c>
      <c r="H461" t="s">
        <v>70</v>
      </c>
      <c r="I461" t="str">
        <f t="shared" si="120"/>
        <v>1010</v>
      </c>
      <c r="J461" t="str">
        <f t="shared" si="121"/>
        <v>05</v>
      </c>
      <c r="K461" t="s">
        <v>68</v>
      </c>
      <c r="L461" t="s">
        <v>72</v>
      </c>
      <c r="M461" t="s">
        <v>68</v>
      </c>
      <c r="N461" t="s">
        <v>760</v>
      </c>
      <c r="O461" t="s">
        <v>762</v>
      </c>
      <c r="P461" t="str">
        <f>"3020619472"</f>
        <v>3020619472</v>
      </c>
      <c r="R461" t="str">
        <f>"00030206194722"</f>
        <v>00030206194722</v>
      </c>
      <c r="S461" s="1">
        <v>41345</v>
      </c>
      <c r="T461" s="1">
        <v>41345</v>
      </c>
      <c r="U461" t="str">
        <f>"3020619472"</f>
        <v>3020619472</v>
      </c>
      <c r="V461" t="str">
        <f>"1010"</f>
        <v>1010</v>
      </c>
      <c r="W461" t="str">
        <f t="shared" si="117"/>
        <v>11</v>
      </c>
      <c r="X461" t="s">
        <v>75</v>
      </c>
      <c r="Y461" t="s">
        <v>173</v>
      </c>
      <c r="Z461" t="s">
        <v>105</v>
      </c>
      <c r="AA461" t="s">
        <v>106</v>
      </c>
      <c r="AB461" t="s">
        <v>79</v>
      </c>
      <c r="AD461" t="s">
        <v>80</v>
      </c>
      <c r="AE461" t="s">
        <v>81</v>
      </c>
      <c r="AF461" t="s">
        <v>82</v>
      </c>
      <c r="AG461" t="s">
        <v>83</v>
      </c>
      <c r="AH461" t="s">
        <v>84</v>
      </c>
      <c r="AJ461" t="str">
        <f t="shared" si="119"/>
        <v>1</v>
      </c>
      <c r="AK461" t="s">
        <v>114</v>
      </c>
      <c r="AL461" t="s">
        <v>86</v>
      </c>
      <c r="AM461" t="s">
        <v>87</v>
      </c>
      <c r="AN461" t="str">
        <f t="shared" si="118"/>
        <v>.9700</v>
      </c>
      <c r="AO461" t="str">
        <f>"7.00"</f>
        <v>7.00</v>
      </c>
      <c r="AP461" t="s">
        <v>115</v>
      </c>
      <c r="AQ461" t="str">
        <f>"7.00"</f>
        <v>7.00</v>
      </c>
      <c r="AR461">
        <v>28</v>
      </c>
      <c r="AS461">
        <v>-5</v>
      </c>
      <c r="AT461">
        <v>23</v>
      </c>
      <c r="AU461">
        <v>195.5</v>
      </c>
      <c r="AV461">
        <v>9.8000000000000007</v>
      </c>
      <c r="AW461">
        <v>185.7</v>
      </c>
      <c r="AX461">
        <v>-29.73</v>
      </c>
      <c r="AY461">
        <v>155.97</v>
      </c>
      <c r="AZ461">
        <v>0</v>
      </c>
    </row>
    <row r="462" spans="1:52">
      <c r="A462" t="s">
        <v>65</v>
      </c>
      <c r="B462" t="s">
        <v>66</v>
      </c>
      <c r="C462" t="s">
        <v>67</v>
      </c>
      <c r="D462" t="s">
        <v>68</v>
      </c>
      <c r="E462" t="s">
        <v>69</v>
      </c>
      <c r="F462" t="s">
        <v>70</v>
      </c>
      <c r="G462" t="s">
        <v>71</v>
      </c>
      <c r="H462" t="s">
        <v>70</v>
      </c>
      <c r="I462" t="str">
        <f t="shared" si="120"/>
        <v>1010</v>
      </c>
      <c r="J462" t="str">
        <f t="shared" si="121"/>
        <v>05</v>
      </c>
      <c r="K462" t="s">
        <v>68</v>
      </c>
      <c r="L462" t="s">
        <v>72</v>
      </c>
      <c r="M462" t="s">
        <v>68</v>
      </c>
      <c r="N462" t="s">
        <v>763</v>
      </c>
      <c r="O462" t="s">
        <v>764</v>
      </c>
      <c r="P462" t="str">
        <f>"3020619282"</f>
        <v>3020619282</v>
      </c>
      <c r="R462" t="str">
        <f>"00030206192827"</f>
        <v>00030206192827</v>
      </c>
      <c r="S462" s="1">
        <v>41135</v>
      </c>
      <c r="T462" s="1">
        <v>41135</v>
      </c>
      <c r="U462" t="str">
        <f>"3020619282"</f>
        <v>3020619282</v>
      </c>
      <c r="V462" t="str">
        <f>"1510"</f>
        <v>1510</v>
      </c>
      <c r="W462" t="str">
        <f t="shared" si="117"/>
        <v>11</v>
      </c>
      <c r="X462" t="s">
        <v>75</v>
      </c>
      <c r="Y462" t="s">
        <v>76</v>
      </c>
      <c r="Z462" t="s">
        <v>105</v>
      </c>
      <c r="AA462" t="s">
        <v>106</v>
      </c>
      <c r="AB462" t="s">
        <v>79</v>
      </c>
      <c r="AD462" t="s">
        <v>80</v>
      </c>
      <c r="AE462" t="s">
        <v>81</v>
      </c>
      <c r="AF462" t="s">
        <v>82</v>
      </c>
      <c r="AG462" t="s">
        <v>83</v>
      </c>
      <c r="AH462" t="s">
        <v>84</v>
      </c>
      <c r="AI462" t="str">
        <f>"01"</f>
        <v>01</v>
      </c>
      <c r="AJ462" t="str">
        <f t="shared" si="119"/>
        <v>1</v>
      </c>
      <c r="AK462" t="s">
        <v>85</v>
      </c>
      <c r="AL462" t="s">
        <v>86</v>
      </c>
      <c r="AM462" t="s">
        <v>87</v>
      </c>
      <c r="AN462" t="str">
        <f t="shared" si="118"/>
        <v>.9700</v>
      </c>
      <c r="AO462" t="str">
        <f>"7.50"</f>
        <v>7.50</v>
      </c>
      <c r="AP462" t="s">
        <v>88</v>
      </c>
      <c r="AQ462" t="str">
        <f>"7.50"</f>
        <v>7.50</v>
      </c>
      <c r="AR462">
        <v>2</v>
      </c>
      <c r="AS462">
        <v>0</v>
      </c>
      <c r="AT462">
        <v>2</v>
      </c>
      <c r="AU462">
        <v>15</v>
      </c>
      <c r="AV462">
        <v>1.5</v>
      </c>
      <c r="AW462">
        <v>13.5</v>
      </c>
      <c r="AX462">
        <v>0</v>
      </c>
      <c r="AY462">
        <v>13.5</v>
      </c>
      <c r="AZ462">
        <v>0</v>
      </c>
    </row>
    <row r="463" spans="1:52">
      <c r="A463" t="s">
        <v>65</v>
      </c>
      <c r="B463" t="s">
        <v>66</v>
      </c>
      <c r="C463" t="s">
        <v>67</v>
      </c>
      <c r="D463" t="s">
        <v>68</v>
      </c>
      <c r="E463" t="s">
        <v>69</v>
      </c>
      <c r="F463" t="s">
        <v>70</v>
      </c>
      <c r="G463" t="s">
        <v>71</v>
      </c>
      <c r="H463" t="s">
        <v>70</v>
      </c>
      <c r="I463" t="str">
        <f t="shared" si="120"/>
        <v>1010</v>
      </c>
      <c r="J463" t="str">
        <f t="shared" si="121"/>
        <v>05</v>
      </c>
      <c r="K463" t="s">
        <v>68</v>
      </c>
      <c r="L463" t="s">
        <v>72</v>
      </c>
      <c r="M463" t="s">
        <v>68</v>
      </c>
      <c r="N463" t="s">
        <v>765</v>
      </c>
      <c r="O463" t="s">
        <v>766</v>
      </c>
      <c r="P463" t="str">
        <f>"3020618792"</f>
        <v>3020618792</v>
      </c>
      <c r="R463" t="str">
        <f>"00030206187922"</f>
        <v>00030206187922</v>
      </c>
      <c r="S463" s="1">
        <v>40666</v>
      </c>
      <c r="T463" s="1">
        <v>40666</v>
      </c>
      <c r="U463" t="str">
        <f>"3020618792"</f>
        <v>3020618792</v>
      </c>
      <c r="V463" t="str">
        <f>"1510"</f>
        <v>1510</v>
      </c>
      <c r="W463" t="str">
        <f t="shared" si="117"/>
        <v>11</v>
      </c>
      <c r="X463" t="s">
        <v>75</v>
      </c>
      <c r="Y463" t="s">
        <v>76</v>
      </c>
      <c r="Z463" t="s">
        <v>121</v>
      </c>
      <c r="AA463" t="s">
        <v>122</v>
      </c>
      <c r="AB463" t="s">
        <v>79</v>
      </c>
      <c r="AD463" t="s">
        <v>80</v>
      </c>
      <c r="AE463" t="s">
        <v>81</v>
      </c>
      <c r="AF463" t="s">
        <v>82</v>
      </c>
      <c r="AG463" t="s">
        <v>83</v>
      </c>
      <c r="AH463" t="s">
        <v>84</v>
      </c>
      <c r="AI463" t="str">
        <f>"01"</f>
        <v>01</v>
      </c>
      <c r="AJ463" t="str">
        <f t="shared" si="119"/>
        <v>1</v>
      </c>
      <c r="AK463" t="s">
        <v>114</v>
      </c>
      <c r="AL463" t="s">
        <v>162</v>
      </c>
      <c r="AM463" t="s">
        <v>87</v>
      </c>
      <c r="AN463" t="str">
        <f t="shared" si="118"/>
        <v>.9700</v>
      </c>
      <c r="AO463" t="str">
        <f>"7.00"</f>
        <v>7.00</v>
      </c>
      <c r="AP463" t="s">
        <v>115</v>
      </c>
      <c r="AQ463" t="str">
        <f>"7.00"</f>
        <v>7.00</v>
      </c>
      <c r="AR463">
        <v>68</v>
      </c>
      <c r="AS463">
        <v>-1</v>
      </c>
      <c r="AT463">
        <v>67</v>
      </c>
      <c r="AU463">
        <v>476</v>
      </c>
      <c r="AV463">
        <v>25.48</v>
      </c>
      <c r="AW463">
        <v>450.52</v>
      </c>
      <c r="AX463">
        <v>-5.89</v>
      </c>
      <c r="AY463">
        <v>444.63</v>
      </c>
      <c r="AZ463">
        <v>0</v>
      </c>
    </row>
    <row r="464" spans="1:52">
      <c r="A464" t="s">
        <v>65</v>
      </c>
      <c r="B464" t="s">
        <v>66</v>
      </c>
      <c r="C464" t="s">
        <v>67</v>
      </c>
      <c r="D464" t="s">
        <v>68</v>
      </c>
      <c r="E464" t="s">
        <v>69</v>
      </c>
      <c r="F464" t="s">
        <v>70</v>
      </c>
      <c r="G464" t="s">
        <v>71</v>
      </c>
      <c r="H464" t="s">
        <v>70</v>
      </c>
      <c r="I464" t="str">
        <f t="shared" si="120"/>
        <v>1010</v>
      </c>
      <c r="J464" t="str">
        <f t="shared" si="121"/>
        <v>05</v>
      </c>
      <c r="K464" t="s">
        <v>68</v>
      </c>
      <c r="L464" t="s">
        <v>72</v>
      </c>
      <c r="M464" t="s">
        <v>68</v>
      </c>
      <c r="N464" t="s">
        <v>767</v>
      </c>
      <c r="O464" t="s">
        <v>768</v>
      </c>
      <c r="P464" t="str">
        <f>"3020617562"</f>
        <v>3020617562</v>
      </c>
      <c r="R464" t="str">
        <f>"00030206175622"</f>
        <v>00030206175622</v>
      </c>
      <c r="S464" s="1">
        <v>39868</v>
      </c>
      <c r="T464" s="1">
        <v>39868</v>
      </c>
      <c r="U464" t="str">
        <f>"3020617562"</f>
        <v>3020617562</v>
      </c>
      <c r="V464" t="str">
        <f>"1510"</f>
        <v>1510</v>
      </c>
      <c r="W464" t="str">
        <f t="shared" si="117"/>
        <v>11</v>
      </c>
      <c r="X464" t="s">
        <v>75</v>
      </c>
      <c r="Y464" t="s">
        <v>76</v>
      </c>
      <c r="Z464" t="s">
        <v>91</v>
      </c>
      <c r="AA464" t="s">
        <v>92</v>
      </c>
      <c r="AB464" t="s">
        <v>79</v>
      </c>
      <c r="AD464" t="s">
        <v>80</v>
      </c>
      <c r="AE464" t="s">
        <v>81</v>
      </c>
      <c r="AF464" t="s">
        <v>82</v>
      </c>
      <c r="AG464" t="s">
        <v>83</v>
      </c>
      <c r="AH464" t="s">
        <v>84</v>
      </c>
      <c r="AI464" t="str">
        <f>"01"</f>
        <v>01</v>
      </c>
      <c r="AJ464" t="str">
        <f t="shared" si="119"/>
        <v>1</v>
      </c>
      <c r="AK464" t="s">
        <v>107</v>
      </c>
      <c r="AL464" t="s">
        <v>94</v>
      </c>
      <c r="AM464" t="s">
        <v>95</v>
      </c>
      <c r="AN464" t="str">
        <f t="shared" si="118"/>
        <v>.9700</v>
      </c>
      <c r="AO464" t="str">
        <f>"10.78"</f>
        <v>10.78</v>
      </c>
      <c r="AP464" t="s">
        <v>108</v>
      </c>
      <c r="AQ464" t="str">
        <f>"10.78"</f>
        <v>10.78</v>
      </c>
      <c r="AR464">
        <v>32</v>
      </c>
      <c r="AS464">
        <v>0</v>
      </c>
      <c r="AT464">
        <v>32</v>
      </c>
      <c r="AU464">
        <v>344.92</v>
      </c>
      <c r="AV464">
        <v>30.62</v>
      </c>
      <c r="AW464">
        <v>314.3</v>
      </c>
      <c r="AX464">
        <v>0</v>
      </c>
      <c r="AY464">
        <v>314.3</v>
      </c>
      <c r="AZ464">
        <v>0</v>
      </c>
    </row>
    <row r="465" spans="1:52">
      <c r="A465" t="s">
        <v>65</v>
      </c>
      <c r="B465" t="s">
        <v>66</v>
      </c>
      <c r="C465" t="s">
        <v>67</v>
      </c>
      <c r="D465" t="s">
        <v>68</v>
      </c>
      <c r="E465" t="s">
        <v>69</v>
      </c>
      <c r="F465" t="s">
        <v>70</v>
      </c>
      <c r="G465" t="s">
        <v>71</v>
      </c>
      <c r="H465" t="s">
        <v>70</v>
      </c>
      <c r="I465" t="str">
        <f t="shared" si="120"/>
        <v>1010</v>
      </c>
      <c r="J465" t="str">
        <f t="shared" si="121"/>
        <v>05</v>
      </c>
      <c r="K465" t="s">
        <v>68</v>
      </c>
      <c r="L465" t="s">
        <v>72</v>
      </c>
      <c r="M465" t="s">
        <v>68</v>
      </c>
      <c r="N465" t="s">
        <v>769</v>
      </c>
      <c r="O465" t="s">
        <v>770</v>
      </c>
      <c r="P465" t="str">
        <f>"3020617732"</f>
        <v>3020617732</v>
      </c>
      <c r="R465" t="str">
        <f>"00030206177329"</f>
        <v>00030206177329</v>
      </c>
      <c r="S465" s="1">
        <v>39987</v>
      </c>
      <c r="T465" s="1">
        <v>39973</v>
      </c>
      <c r="U465" t="str">
        <f>"3020617732"</f>
        <v>3020617732</v>
      </c>
      <c r="V465" t="str">
        <f>"1510"</f>
        <v>1510</v>
      </c>
      <c r="W465" t="str">
        <f t="shared" si="117"/>
        <v>11</v>
      </c>
      <c r="X465" t="s">
        <v>75</v>
      </c>
      <c r="Y465" t="s">
        <v>76</v>
      </c>
      <c r="Z465" t="s">
        <v>126</v>
      </c>
      <c r="AA465" t="s">
        <v>127</v>
      </c>
      <c r="AB465" t="s">
        <v>79</v>
      </c>
      <c r="AD465" t="s">
        <v>80</v>
      </c>
      <c r="AE465" t="s">
        <v>81</v>
      </c>
      <c r="AF465" t="s">
        <v>82</v>
      </c>
      <c r="AG465" t="s">
        <v>83</v>
      </c>
      <c r="AH465" t="s">
        <v>84</v>
      </c>
      <c r="AI465" t="str">
        <f>"01"</f>
        <v>01</v>
      </c>
      <c r="AJ465" t="str">
        <f t="shared" si="119"/>
        <v>1</v>
      </c>
      <c r="AK465" t="s">
        <v>198</v>
      </c>
      <c r="AL465" t="s">
        <v>162</v>
      </c>
      <c r="AM465" t="s">
        <v>87</v>
      </c>
      <c r="AN465" t="str">
        <f t="shared" si="118"/>
        <v>.9700</v>
      </c>
      <c r="AO465" t="str">
        <f>"4.40"</f>
        <v>4.40</v>
      </c>
      <c r="AP465" t="s">
        <v>199</v>
      </c>
      <c r="AQ465" t="str">
        <f>"4.40"</f>
        <v>4.40</v>
      </c>
      <c r="AR465">
        <v>98</v>
      </c>
      <c r="AS465">
        <v>-9</v>
      </c>
      <c r="AT465">
        <v>89</v>
      </c>
      <c r="AU465">
        <v>431.2</v>
      </c>
      <c r="AV465">
        <v>43.39</v>
      </c>
      <c r="AW465">
        <v>387.81</v>
      </c>
      <c r="AX465">
        <v>-32.869999999999997</v>
      </c>
      <c r="AY465">
        <v>354.94</v>
      </c>
      <c r="AZ465">
        <v>0</v>
      </c>
    </row>
    <row r="466" spans="1:52">
      <c r="A466" t="s">
        <v>65</v>
      </c>
      <c r="B466" t="s">
        <v>66</v>
      </c>
      <c r="C466" t="s">
        <v>67</v>
      </c>
      <c r="D466" t="s">
        <v>68</v>
      </c>
      <c r="E466" t="s">
        <v>69</v>
      </c>
      <c r="F466" t="s">
        <v>70</v>
      </c>
      <c r="G466" t="s">
        <v>71</v>
      </c>
      <c r="H466" t="s">
        <v>70</v>
      </c>
      <c r="I466" t="str">
        <f t="shared" si="120"/>
        <v>1010</v>
      </c>
      <c r="J466" t="str">
        <f t="shared" si="121"/>
        <v>05</v>
      </c>
      <c r="K466" t="s">
        <v>68</v>
      </c>
      <c r="L466" t="s">
        <v>72</v>
      </c>
      <c r="M466" t="s">
        <v>68</v>
      </c>
      <c r="N466" t="s">
        <v>771</v>
      </c>
      <c r="O466" t="s">
        <v>104</v>
      </c>
      <c r="P466" t="s">
        <v>772</v>
      </c>
      <c r="R466" t="str">
        <f>"00030206103922"</f>
        <v>00030206103922</v>
      </c>
      <c r="S466" s="1">
        <v>36354</v>
      </c>
      <c r="T466" s="1">
        <v>36354</v>
      </c>
      <c r="U466" t="s">
        <v>772</v>
      </c>
      <c r="V466" t="str">
        <f>"1510"</f>
        <v>1510</v>
      </c>
      <c r="W466" t="str">
        <f t="shared" si="117"/>
        <v>11</v>
      </c>
      <c r="X466" t="s">
        <v>75</v>
      </c>
      <c r="Y466" t="s">
        <v>76</v>
      </c>
      <c r="Z466" t="s">
        <v>91</v>
      </c>
      <c r="AA466" t="s">
        <v>92</v>
      </c>
      <c r="AB466" t="s">
        <v>79</v>
      </c>
      <c r="AD466" t="s">
        <v>80</v>
      </c>
      <c r="AE466" t="s">
        <v>81</v>
      </c>
      <c r="AF466" t="s">
        <v>82</v>
      </c>
      <c r="AG466" t="s">
        <v>83</v>
      </c>
      <c r="AH466" t="s">
        <v>84</v>
      </c>
      <c r="AI466" t="str">
        <f>"01"</f>
        <v>01</v>
      </c>
      <c r="AJ466" t="str">
        <f t="shared" si="119"/>
        <v>1</v>
      </c>
      <c r="AK466" t="s">
        <v>101</v>
      </c>
      <c r="AL466" t="s">
        <v>94</v>
      </c>
      <c r="AM466" t="s">
        <v>95</v>
      </c>
      <c r="AN466" t="str">
        <f t="shared" si="118"/>
        <v>.9700</v>
      </c>
      <c r="AO466" t="str">
        <f>"9.07"</f>
        <v>9.07</v>
      </c>
      <c r="AP466" t="s">
        <v>102</v>
      </c>
      <c r="AQ466" t="str">
        <f>"9.07"</f>
        <v>9.07</v>
      </c>
      <c r="AR466">
        <v>1020</v>
      </c>
      <c r="AS466">
        <v>-2</v>
      </c>
      <c r="AT466">
        <v>1018</v>
      </c>
      <c r="AU466">
        <v>9249.82</v>
      </c>
      <c r="AV466">
        <v>981.8</v>
      </c>
      <c r="AW466">
        <v>8268.02</v>
      </c>
      <c r="AX466">
        <v>-16.600000000000001</v>
      </c>
      <c r="AY466">
        <v>8251.42</v>
      </c>
      <c r="AZ466">
        <v>0</v>
      </c>
    </row>
    <row r="467" spans="1:52">
      <c r="A467" t="s">
        <v>65</v>
      </c>
      <c r="B467" t="s">
        <v>66</v>
      </c>
      <c r="C467" t="s">
        <v>67</v>
      </c>
      <c r="D467" t="s">
        <v>68</v>
      </c>
      <c r="E467" t="s">
        <v>69</v>
      </c>
      <c r="F467" t="s">
        <v>70</v>
      </c>
      <c r="G467" t="s">
        <v>71</v>
      </c>
      <c r="H467" t="s">
        <v>70</v>
      </c>
      <c r="I467" t="str">
        <f t="shared" si="120"/>
        <v>1010</v>
      </c>
      <c r="J467" t="str">
        <f t="shared" si="121"/>
        <v>05</v>
      </c>
      <c r="K467" t="s">
        <v>68</v>
      </c>
      <c r="L467" t="s">
        <v>72</v>
      </c>
      <c r="M467" t="s">
        <v>68</v>
      </c>
      <c r="N467" t="s">
        <v>771</v>
      </c>
      <c r="O467" t="s">
        <v>773</v>
      </c>
      <c r="P467" t="str">
        <f>"3020665681"</f>
        <v>3020665681</v>
      </c>
      <c r="R467" t="str">
        <f>"00030206656817"</f>
        <v>00030206656817</v>
      </c>
      <c r="S467" s="1">
        <v>41744</v>
      </c>
      <c r="T467" s="1">
        <v>41744</v>
      </c>
      <c r="U467" t="str">
        <f>"3020665681"</f>
        <v>3020665681</v>
      </c>
      <c r="V467" t="str">
        <f>"1010"</f>
        <v>1010</v>
      </c>
      <c r="W467" t="str">
        <f t="shared" si="117"/>
        <v>11</v>
      </c>
      <c r="X467" t="s">
        <v>75</v>
      </c>
      <c r="Y467" t="s">
        <v>139</v>
      </c>
      <c r="Z467" t="s">
        <v>105</v>
      </c>
      <c r="AA467" t="s">
        <v>106</v>
      </c>
      <c r="AB467" t="s">
        <v>79</v>
      </c>
      <c r="AD467" t="s">
        <v>80</v>
      </c>
      <c r="AE467" t="s">
        <v>81</v>
      </c>
      <c r="AF467" t="s">
        <v>82</v>
      </c>
      <c r="AG467" t="s">
        <v>140</v>
      </c>
      <c r="AH467" t="s">
        <v>141</v>
      </c>
      <c r="AJ467" t="str">
        <f t="shared" si="119"/>
        <v>1</v>
      </c>
      <c r="AK467" t="s">
        <v>142</v>
      </c>
      <c r="AL467" t="s">
        <v>94</v>
      </c>
      <c r="AM467" t="s">
        <v>95</v>
      </c>
      <c r="AO467" t="str">
        <f>"11.59"</f>
        <v>11.59</v>
      </c>
      <c r="AP467" t="s">
        <v>144</v>
      </c>
      <c r="AQ467" t="str">
        <f>"11.59"</f>
        <v>11.59</v>
      </c>
      <c r="AR467">
        <v>49</v>
      </c>
      <c r="AS467">
        <v>0</v>
      </c>
      <c r="AT467">
        <v>49</v>
      </c>
      <c r="AU467">
        <v>567.91</v>
      </c>
      <c r="AV467">
        <v>0</v>
      </c>
      <c r="AW467">
        <v>567.91</v>
      </c>
      <c r="AX467">
        <v>0</v>
      </c>
      <c r="AY467">
        <v>567.91</v>
      </c>
      <c r="AZ467">
        <v>0</v>
      </c>
    </row>
    <row r="468" spans="1:52">
      <c r="A468" t="s">
        <v>65</v>
      </c>
      <c r="B468" t="s">
        <v>66</v>
      </c>
      <c r="C468" t="s">
        <v>67</v>
      </c>
      <c r="D468" t="s">
        <v>68</v>
      </c>
      <c r="E468" t="s">
        <v>69</v>
      </c>
      <c r="F468" t="s">
        <v>70</v>
      </c>
      <c r="G468" t="s">
        <v>71</v>
      </c>
      <c r="H468" t="s">
        <v>70</v>
      </c>
      <c r="I468" t="str">
        <f t="shared" si="120"/>
        <v>1010</v>
      </c>
      <c r="J468" t="str">
        <f t="shared" si="121"/>
        <v>05</v>
      </c>
      <c r="K468" t="s">
        <v>68</v>
      </c>
      <c r="L468" t="s">
        <v>72</v>
      </c>
      <c r="M468" t="s">
        <v>68</v>
      </c>
      <c r="N468" t="s">
        <v>771</v>
      </c>
      <c r="O468" t="s">
        <v>774</v>
      </c>
      <c r="P468" t="str">
        <f>"3020614132"</f>
        <v>3020614132</v>
      </c>
      <c r="R468" t="str">
        <f>"00030206141320"</f>
        <v>00030206141320</v>
      </c>
      <c r="S468" s="1">
        <v>38167</v>
      </c>
      <c r="T468" s="1">
        <v>38167</v>
      </c>
      <c r="U468" t="str">
        <f>"3020614132"</f>
        <v>3020614132</v>
      </c>
      <c r="V468" t="str">
        <f>"1510"</f>
        <v>1510</v>
      </c>
      <c r="W468" t="str">
        <f t="shared" si="117"/>
        <v>11</v>
      </c>
      <c r="X468" t="s">
        <v>75</v>
      </c>
      <c r="Y468" t="s">
        <v>76</v>
      </c>
      <c r="Z468" t="s">
        <v>91</v>
      </c>
      <c r="AA468" t="s">
        <v>92</v>
      </c>
      <c r="AB468" t="s">
        <v>79</v>
      </c>
      <c r="AD468" t="s">
        <v>80</v>
      </c>
      <c r="AE468" t="s">
        <v>81</v>
      </c>
      <c r="AF468" t="s">
        <v>82</v>
      </c>
      <c r="AG468" t="s">
        <v>83</v>
      </c>
      <c r="AH468" t="s">
        <v>84</v>
      </c>
      <c r="AI468" t="str">
        <f>"01"</f>
        <v>01</v>
      </c>
      <c r="AJ468" t="str">
        <f t="shared" si="119"/>
        <v>1</v>
      </c>
      <c r="AK468" t="s">
        <v>93</v>
      </c>
      <c r="AL468" t="s">
        <v>94</v>
      </c>
      <c r="AM468" t="s">
        <v>95</v>
      </c>
      <c r="AN468" t="str">
        <f>".9700"</f>
        <v>.9700</v>
      </c>
      <c r="AO468" t="str">
        <f>"11.41"</f>
        <v>11.41</v>
      </c>
      <c r="AP468" t="s">
        <v>96</v>
      </c>
      <c r="AQ468" t="str">
        <f>"11.41"</f>
        <v>11.41</v>
      </c>
      <c r="AR468">
        <v>113</v>
      </c>
      <c r="AS468">
        <v>0</v>
      </c>
      <c r="AT468">
        <v>113</v>
      </c>
      <c r="AU468">
        <v>1289.4000000000001</v>
      </c>
      <c r="AV468">
        <v>91.28</v>
      </c>
      <c r="AW468">
        <v>1198.1199999999999</v>
      </c>
      <c r="AX468">
        <v>0</v>
      </c>
      <c r="AY468">
        <v>1198.1199999999999</v>
      </c>
      <c r="AZ468">
        <v>0</v>
      </c>
    </row>
    <row r="469" spans="1:52">
      <c r="A469" t="s">
        <v>65</v>
      </c>
      <c r="B469" t="s">
        <v>66</v>
      </c>
      <c r="C469" t="s">
        <v>67</v>
      </c>
      <c r="D469" t="s">
        <v>68</v>
      </c>
      <c r="E469" t="s">
        <v>69</v>
      </c>
      <c r="F469" t="s">
        <v>70</v>
      </c>
      <c r="G469" t="s">
        <v>71</v>
      </c>
      <c r="H469" t="s">
        <v>70</v>
      </c>
      <c r="I469" t="str">
        <f t="shared" si="120"/>
        <v>1010</v>
      </c>
      <c r="J469" t="str">
        <f t="shared" si="121"/>
        <v>05</v>
      </c>
      <c r="K469" t="s">
        <v>68</v>
      </c>
      <c r="L469" t="s">
        <v>72</v>
      </c>
      <c r="M469" t="s">
        <v>68</v>
      </c>
      <c r="N469" t="s">
        <v>771</v>
      </c>
      <c r="O469" t="s">
        <v>775</v>
      </c>
      <c r="P469" t="str">
        <f>"3020672668"</f>
        <v>3020672668</v>
      </c>
      <c r="R469" t="str">
        <f>"00030206726688"</f>
        <v>00030206726688</v>
      </c>
      <c r="S469" s="1">
        <v>41758</v>
      </c>
      <c r="T469" s="1">
        <v>41758</v>
      </c>
      <c r="U469" t="str">
        <f>"3020672668"</f>
        <v>3020672668</v>
      </c>
      <c r="V469" t="str">
        <f t="shared" ref="V469:V480" si="122">"1010"</f>
        <v>1010</v>
      </c>
      <c r="W469" t="str">
        <f t="shared" si="117"/>
        <v>11</v>
      </c>
      <c r="X469" t="s">
        <v>80</v>
      </c>
      <c r="Y469" t="s">
        <v>139</v>
      </c>
      <c r="Z469" t="s">
        <v>105</v>
      </c>
      <c r="AA469" t="s">
        <v>106</v>
      </c>
      <c r="AB469" t="s">
        <v>79</v>
      </c>
      <c r="AD469" t="s">
        <v>80</v>
      </c>
      <c r="AE469" t="s">
        <v>81</v>
      </c>
      <c r="AF469" t="s">
        <v>82</v>
      </c>
      <c r="AG469" t="s">
        <v>83</v>
      </c>
      <c r="AH469" t="s">
        <v>84</v>
      </c>
      <c r="AI469" t="str">
        <f>"01"</f>
        <v>01</v>
      </c>
      <c r="AJ469" t="str">
        <f t="shared" si="119"/>
        <v>1</v>
      </c>
      <c r="AK469" t="s">
        <v>101</v>
      </c>
      <c r="AL469" t="s">
        <v>143</v>
      </c>
      <c r="AM469" t="s">
        <v>95</v>
      </c>
      <c r="AO469" t="str">
        <f>"9.07"</f>
        <v>9.07</v>
      </c>
      <c r="AP469" t="s">
        <v>102</v>
      </c>
      <c r="AQ469" t="str">
        <f>"9.07"</f>
        <v>9.07</v>
      </c>
      <c r="AR469">
        <v>174</v>
      </c>
      <c r="AS469">
        <v>-1</v>
      </c>
      <c r="AT469">
        <v>173</v>
      </c>
      <c r="AU469">
        <v>1575.91</v>
      </c>
      <c r="AV469">
        <v>0.01</v>
      </c>
      <c r="AW469">
        <v>1575.9</v>
      </c>
      <c r="AX469">
        <v>-7.81</v>
      </c>
      <c r="AY469">
        <v>1568.09</v>
      </c>
      <c r="AZ469">
        <v>0</v>
      </c>
    </row>
    <row r="470" spans="1:52">
      <c r="A470" t="s">
        <v>65</v>
      </c>
      <c r="B470" t="s">
        <v>66</v>
      </c>
      <c r="C470" t="s">
        <v>67</v>
      </c>
      <c r="D470" t="s">
        <v>68</v>
      </c>
      <c r="E470" t="s">
        <v>69</v>
      </c>
      <c r="F470" t="s">
        <v>70</v>
      </c>
      <c r="G470" t="s">
        <v>71</v>
      </c>
      <c r="H470" t="s">
        <v>70</v>
      </c>
      <c r="I470" t="str">
        <f>"1030"</f>
        <v>1030</v>
      </c>
      <c r="J470" t="str">
        <f t="shared" si="121"/>
        <v>05</v>
      </c>
      <c r="K470" t="s">
        <v>68</v>
      </c>
      <c r="L470" t="s">
        <v>72</v>
      </c>
      <c r="M470" t="s">
        <v>68</v>
      </c>
      <c r="N470" t="s">
        <v>776</v>
      </c>
      <c r="O470" t="s">
        <v>777</v>
      </c>
      <c r="P470" t="str">
        <f>"3020619482"</f>
        <v>3020619482</v>
      </c>
      <c r="R470" t="str">
        <f>"00030206194821"</f>
        <v>00030206194821</v>
      </c>
      <c r="S470" s="1">
        <v>41345</v>
      </c>
      <c r="T470" s="1">
        <v>41345</v>
      </c>
      <c r="U470" t="str">
        <f>"3020619482"</f>
        <v>3020619482</v>
      </c>
      <c r="V470" t="str">
        <f t="shared" si="122"/>
        <v>1010</v>
      </c>
      <c r="W470" t="str">
        <f t="shared" si="117"/>
        <v>11</v>
      </c>
      <c r="X470" t="s">
        <v>75</v>
      </c>
      <c r="Y470" t="s">
        <v>173</v>
      </c>
      <c r="Z470" t="s">
        <v>126</v>
      </c>
      <c r="AA470" t="s">
        <v>127</v>
      </c>
      <c r="AB470" t="s">
        <v>79</v>
      </c>
      <c r="AD470" t="s">
        <v>80</v>
      </c>
      <c r="AE470" t="s">
        <v>81</v>
      </c>
      <c r="AF470" t="s">
        <v>82</v>
      </c>
      <c r="AG470" t="s">
        <v>83</v>
      </c>
      <c r="AH470" t="s">
        <v>84</v>
      </c>
      <c r="AJ470" t="str">
        <f t="shared" si="119"/>
        <v>1</v>
      </c>
      <c r="AK470" t="s">
        <v>114</v>
      </c>
      <c r="AL470" t="s">
        <v>86</v>
      </c>
      <c r="AM470" t="s">
        <v>87</v>
      </c>
      <c r="AN470" t="str">
        <f t="shared" ref="AN470:AN500" si="123">".9700"</f>
        <v>.9700</v>
      </c>
      <c r="AO470" t="str">
        <f>"7.00"</f>
        <v>7.00</v>
      </c>
      <c r="AP470" t="s">
        <v>115</v>
      </c>
      <c r="AQ470" t="str">
        <f>"7.00"</f>
        <v>7.00</v>
      </c>
      <c r="AR470">
        <v>17</v>
      </c>
      <c r="AS470">
        <v>-2</v>
      </c>
      <c r="AT470">
        <v>15</v>
      </c>
      <c r="AU470">
        <v>119</v>
      </c>
      <c r="AV470">
        <v>11.9</v>
      </c>
      <c r="AW470">
        <v>107.1</v>
      </c>
      <c r="AX470">
        <v>-11.2</v>
      </c>
      <c r="AY470">
        <v>95.9</v>
      </c>
      <c r="AZ470">
        <v>0</v>
      </c>
    </row>
    <row r="471" spans="1:52">
      <c r="A471" t="s">
        <v>65</v>
      </c>
      <c r="B471" t="s">
        <v>66</v>
      </c>
      <c r="C471" t="s">
        <v>67</v>
      </c>
      <c r="D471" t="s">
        <v>68</v>
      </c>
      <c r="E471" t="s">
        <v>69</v>
      </c>
      <c r="F471" t="s">
        <v>70</v>
      </c>
      <c r="G471" t="s">
        <v>71</v>
      </c>
      <c r="H471" t="s">
        <v>70</v>
      </c>
      <c r="I471" t="str">
        <f>"1030"</f>
        <v>1030</v>
      </c>
      <c r="J471" t="str">
        <f t="shared" si="121"/>
        <v>05</v>
      </c>
      <c r="K471" t="s">
        <v>68</v>
      </c>
      <c r="L471" t="s">
        <v>72</v>
      </c>
      <c r="M471" t="s">
        <v>68</v>
      </c>
      <c r="N471" t="s">
        <v>233</v>
      </c>
      <c r="O471" t="s">
        <v>778</v>
      </c>
      <c r="P471" t="str">
        <f>"3020619382"</f>
        <v>3020619382</v>
      </c>
      <c r="R471" t="str">
        <f>"00030206193824"</f>
        <v>00030206193824</v>
      </c>
      <c r="S471" s="1">
        <v>41212</v>
      </c>
      <c r="T471" s="1">
        <v>41198</v>
      </c>
      <c r="U471" t="str">
        <f>"3020619382"</f>
        <v>3020619382</v>
      </c>
      <c r="V471" t="str">
        <f t="shared" si="122"/>
        <v>1010</v>
      </c>
      <c r="W471" t="str">
        <f t="shared" si="117"/>
        <v>11</v>
      </c>
      <c r="X471" t="s">
        <v>75</v>
      </c>
      <c r="Y471" t="s">
        <v>76</v>
      </c>
      <c r="Z471" t="s">
        <v>126</v>
      </c>
      <c r="AA471" t="s">
        <v>127</v>
      </c>
      <c r="AB471" t="s">
        <v>79</v>
      </c>
      <c r="AD471" t="s">
        <v>80</v>
      </c>
      <c r="AE471" t="s">
        <v>81</v>
      </c>
      <c r="AF471" t="s">
        <v>82</v>
      </c>
      <c r="AG471" t="s">
        <v>83</v>
      </c>
      <c r="AH471" t="s">
        <v>84</v>
      </c>
      <c r="AI471" t="str">
        <f>"01"</f>
        <v>01</v>
      </c>
      <c r="AJ471" t="str">
        <f t="shared" si="119"/>
        <v>1</v>
      </c>
      <c r="AK471" t="s">
        <v>207</v>
      </c>
      <c r="AL471" t="s">
        <v>162</v>
      </c>
      <c r="AM471" t="s">
        <v>208</v>
      </c>
      <c r="AN471" t="str">
        <f t="shared" si="123"/>
        <v>.9700</v>
      </c>
      <c r="AO471" t="str">
        <f>"5.99"</f>
        <v>5.99</v>
      </c>
      <c r="AP471" t="s">
        <v>209</v>
      </c>
      <c r="AQ471" t="str">
        <f>"5.99"</f>
        <v>5.99</v>
      </c>
      <c r="AR471">
        <v>10</v>
      </c>
      <c r="AS471">
        <v>-2</v>
      </c>
      <c r="AT471">
        <v>8</v>
      </c>
      <c r="AU471">
        <v>59.89</v>
      </c>
      <c r="AV471">
        <v>4.1900000000000004</v>
      </c>
      <c r="AW471">
        <v>55.7</v>
      </c>
      <c r="AX471">
        <v>-9.4700000000000006</v>
      </c>
      <c r="AY471">
        <v>46.23</v>
      </c>
      <c r="AZ471">
        <v>0</v>
      </c>
    </row>
    <row r="472" spans="1:52">
      <c r="A472" t="s">
        <v>65</v>
      </c>
      <c r="B472" t="s">
        <v>66</v>
      </c>
      <c r="C472" t="s">
        <v>67</v>
      </c>
      <c r="D472" t="s">
        <v>68</v>
      </c>
      <c r="E472" t="s">
        <v>69</v>
      </c>
      <c r="F472" t="s">
        <v>70</v>
      </c>
      <c r="G472" t="s">
        <v>71</v>
      </c>
      <c r="H472" t="s">
        <v>70</v>
      </c>
      <c r="I472" t="str">
        <f>"1030"</f>
        <v>1030</v>
      </c>
      <c r="J472" t="str">
        <f t="shared" si="121"/>
        <v>05</v>
      </c>
      <c r="K472" t="s">
        <v>68</v>
      </c>
      <c r="L472" t="s">
        <v>72</v>
      </c>
      <c r="M472" t="s">
        <v>68</v>
      </c>
      <c r="N472" t="s">
        <v>779</v>
      </c>
      <c r="O472" t="s">
        <v>780</v>
      </c>
      <c r="P472" t="str">
        <f>"3020619832"</f>
        <v>3020619832</v>
      </c>
      <c r="R472" t="str">
        <f>"00030206198324"</f>
        <v>00030206198324</v>
      </c>
      <c r="S472" s="1">
        <v>41576</v>
      </c>
      <c r="T472" s="1">
        <v>41576</v>
      </c>
      <c r="U472" t="str">
        <f>"3020619832"</f>
        <v>3020619832</v>
      </c>
      <c r="V472" t="str">
        <f t="shared" si="122"/>
        <v>1010</v>
      </c>
      <c r="W472" t="str">
        <f t="shared" si="117"/>
        <v>11</v>
      </c>
      <c r="X472" t="s">
        <v>75</v>
      </c>
      <c r="Y472" t="s">
        <v>173</v>
      </c>
      <c r="Z472" t="s">
        <v>126</v>
      </c>
      <c r="AA472" t="s">
        <v>127</v>
      </c>
      <c r="AB472" t="s">
        <v>79</v>
      </c>
      <c r="AD472" t="s">
        <v>80</v>
      </c>
      <c r="AE472" t="s">
        <v>81</v>
      </c>
      <c r="AF472" t="s">
        <v>82</v>
      </c>
      <c r="AG472" t="s">
        <v>83</v>
      </c>
      <c r="AH472" t="s">
        <v>84</v>
      </c>
      <c r="AJ472" t="str">
        <f t="shared" si="119"/>
        <v>1</v>
      </c>
      <c r="AK472" t="s">
        <v>98</v>
      </c>
      <c r="AL472" t="s">
        <v>86</v>
      </c>
      <c r="AM472" t="s">
        <v>95</v>
      </c>
      <c r="AN472" t="str">
        <f t="shared" si="123"/>
        <v>.9700</v>
      </c>
      <c r="AO472" t="str">
        <f>"8.00"</f>
        <v>8.00</v>
      </c>
      <c r="AP472" t="s">
        <v>99</v>
      </c>
      <c r="AQ472" t="str">
        <f>"8.00"</f>
        <v>8.00</v>
      </c>
      <c r="AR472">
        <v>62</v>
      </c>
      <c r="AS472">
        <v>-144</v>
      </c>
      <c r="AT472">
        <v>-82</v>
      </c>
      <c r="AU472">
        <v>496.22</v>
      </c>
      <c r="AV472">
        <v>226.82</v>
      </c>
      <c r="AW472">
        <v>269.39999999999998</v>
      </c>
      <c r="AX472">
        <v>-636.21</v>
      </c>
      <c r="AY472">
        <v>-366.81</v>
      </c>
      <c r="AZ472">
        <v>0</v>
      </c>
    </row>
    <row r="473" spans="1:52">
      <c r="A473" t="s">
        <v>65</v>
      </c>
      <c r="B473" t="s">
        <v>66</v>
      </c>
      <c r="C473" t="s">
        <v>67</v>
      </c>
      <c r="D473" t="s">
        <v>68</v>
      </c>
      <c r="E473" t="s">
        <v>69</v>
      </c>
      <c r="F473" t="s">
        <v>70</v>
      </c>
      <c r="G473" t="s">
        <v>71</v>
      </c>
      <c r="H473" t="s">
        <v>70</v>
      </c>
      <c r="I473" t="str">
        <f t="shared" ref="I473:I480" si="124">"1090"</f>
        <v>1090</v>
      </c>
      <c r="J473" t="str">
        <f t="shared" si="121"/>
        <v>05</v>
      </c>
      <c r="K473" t="s">
        <v>68</v>
      </c>
      <c r="L473" t="s">
        <v>72</v>
      </c>
      <c r="M473" t="s">
        <v>68</v>
      </c>
      <c r="N473" t="s">
        <v>781</v>
      </c>
      <c r="O473" t="s">
        <v>782</v>
      </c>
      <c r="P473" t="str">
        <f>"3020620012"</f>
        <v>3020620012</v>
      </c>
      <c r="R473" t="str">
        <f>"00030206200126"</f>
        <v>00030206200126</v>
      </c>
      <c r="S473" s="1">
        <v>41778</v>
      </c>
      <c r="T473" s="1">
        <v>41778</v>
      </c>
      <c r="U473" t="str">
        <f>"3020620012"</f>
        <v>3020620012</v>
      </c>
      <c r="V473" t="str">
        <f t="shared" si="122"/>
        <v>1010</v>
      </c>
      <c r="W473" t="str">
        <f t="shared" si="117"/>
        <v>11</v>
      </c>
      <c r="X473" t="s">
        <v>75</v>
      </c>
      <c r="Y473" t="s">
        <v>139</v>
      </c>
      <c r="Z473" t="s">
        <v>247</v>
      </c>
      <c r="AA473" t="s">
        <v>248</v>
      </c>
      <c r="AB473" t="s">
        <v>79</v>
      </c>
      <c r="AD473" t="s">
        <v>80</v>
      </c>
      <c r="AE473" t="s">
        <v>81</v>
      </c>
      <c r="AF473" t="s">
        <v>82</v>
      </c>
      <c r="AG473" t="s">
        <v>83</v>
      </c>
      <c r="AH473" t="s">
        <v>84</v>
      </c>
      <c r="AI473" t="str">
        <f>"01"</f>
        <v>01</v>
      </c>
      <c r="AJ473" t="str">
        <f t="shared" si="119"/>
        <v>1</v>
      </c>
      <c r="AK473" t="s">
        <v>114</v>
      </c>
      <c r="AL473" t="s">
        <v>86</v>
      </c>
      <c r="AM473" t="s">
        <v>87</v>
      </c>
      <c r="AN473" t="str">
        <f t="shared" si="123"/>
        <v>.9700</v>
      </c>
      <c r="AO473" t="str">
        <f>"7.00"</f>
        <v>7.00</v>
      </c>
      <c r="AP473" t="s">
        <v>115</v>
      </c>
      <c r="AQ473" t="str">
        <f>"7.00"</f>
        <v>7.00</v>
      </c>
      <c r="AR473">
        <v>3</v>
      </c>
      <c r="AS473">
        <v>0</v>
      </c>
      <c r="AT473">
        <v>3</v>
      </c>
      <c r="AU473">
        <v>20.5</v>
      </c>
      <c r="AV473">
        <v>0</v>
      </c>
      <c r="AW473">
        <v>20.5</v>
      </c>
      <c r="AX473">
        <v>0</v>
      </c>
      <c r="AY473">
        <v>20.5</v>
      </c>
      <c r="AZ473">
        <v>0</v>
      </c>
    </row>
    <row r="474" spans="1:52">
      <c r="A474" t="s">
        <v>65</v>
      </c>
      <c r="B474" t="s">
        <v>66</v>
      </c>
      <c r="C474" t="s">
        <v>67</v>
      </c>
      <c r="D474" t="s">
        <v>68</v>
      </c>
      <c r="E474" t="s">
        <v>69</v>
      </c>
      <c r="F474" t="s">
        <v>70</v>
      </c>
      <c r="G474" t="s">
        <v>71</v>
      </c>
      <c r="H474" t="s">
        <v>70</v>
      </c>
      <c r="I474" t="str">
        <f t="shared" si="124"/>
        <v>1090</v>
      </c>
      <c r="J474" t="str">
        <f t="shared" si="121"/>
        <v>05</v>
      </c>
      <c r="K474" t="s">
        <v>68</v>
      </c>
      <c r="L474" t="s">
        <v>72</v>
      </c>
      <c r="M474" t="s">
        <v>68</v>
      </c>
      <c r="N474" t="s">
        <v>181</v>
      </c>
      <c r="O474" t="s">
        <v>783</v>
      </c>
      <c r="P474" t="str">
        <f>"3020672198"</f>
        <v>3020672198</v>
      </c>
      <c r="R474" t="str">
        <f>"00030206721980"</f>
        <v>00030206721980</v>
      </c>
      <c r="S474" s="1">
        <v>41527</v>
      </c>
      <c r="T474" s="1">
        <v>41527</v>
      </c>
      <c r="U474" t="str">
        <f>"3020672198"</f>
        <v>3020672198</v>
      </c>
      <c r="V474" t="str">
        <f t="shared" si="122"/>
        <v>1010</v>
      </c>
      <c r="W474" t="str">
        <f t="shared" si="117"/>
        <v>11</v>
      </c>
      <c r="X474" t="s">
        <v>75</v>
      </c>
      <c r="Y474" t="s">
        <v>173</v>
      </c>
      <c r="Z474" t="s">
        <v>180</v>
      </c>
      <c r="AA474" t="s">
        <v>181</v>
      </c>
      <c r="AB474" t="s">
        <v>79</v>
      </c>
      <c r="AD474" t="s">
        <v>80</v>
      </c>
      <c r="AE474" t="s">
        <v>81</v>
      </c>
      <c r="AF474" t="s">
        <v>82</v>
      </c>
      <c r="AG474" t="s">
        <v>83</v>
      </c>
      <c r="AH474" t="s">
        <v>84</v>
      </c>
      <c r="AI474" t="str">
        <f>"01"</f>
        <v>01</v>
      </c>
      <c r="AJ474" t="str">
        <f t="shared" si="119"/>
        <v>1</v>
      </c>
      <c r="AK474" t="s">
        <v>93</v>
      </c>
      <c r="AL474" t="s">
        <v>143</v>
      </c>
      <c r="AM474" t="s">
        <v>95</v>
      </c>
      <c r="AN474" t="str">
        <f t="shared" si="123"/>
        <v>.9700</v>
      </c>
      <c r="AO474" t="str">
        <f>"11.41"</f>
        <v>11.41</v>
      </c>
      <c r="AP474" t="s">
        <v>96</v>
      </c>
      <c r="AQ474" t="str">
        <f>"11.41"</f>
        <v>11.41</v>
      </c>
      <c r="AR474">
        <v>3</v>
      </c>
      <c r="AS474">
        <v>-23</v>
      </c>
      <c r="AT474">
        <v>-20</v>
      </c>
      <c r="AU474">
        <v>34.25</v>
      </c>
      <c r="AV474">
        <v>12.02</v>
      </c>
      <c r="AW474">
        <v>22.23</v>
      </c>
      <c r="AX474">
        <v>-238.38</v>
      </c>
      <c r="AY474">
        <v>-216.15</v>
      </c>
      <c r="AZ474">
        <v>0</v>
      </c>
    </row>
    <row r="475" spans="1:52">
      <c r="A475" t="s">
        <v>65</v>
      </c>
      <c r="B475" t="s">
        <v>66</v>
      </c>
      <c r="C475" t="s">
        <v>67</v>
      </c>
      <c r="D475" t="s">
        <v>68</v>
      </c>
      <c r="E475" t="s">
        <v>69</v>
      </c>
      <c r="F475" t="s">
        <v>70</v>
      </c>
      <c r="G475" t="s">
        <v>71</v>
      </c>
      <c r="H475" t="s">
        <v>70</v>
      </c>
      <c r="I475" t="str">
        <f t="shared" si="124"/>
        <v>1090</v>
      </c>
      <c r="J475" t="str">
        <f t="shared" si="121"/>
        <v>05</v>
      </c>
      <c r="K475" t="s">
        <v>68</v>
      </c>
      <c r="L475" t="s">
        <v>72</v>
      </c>
      <c r="M475" t="s">
        <v>68</v>
      </c>
      <c r="N475" t="s">
        <v>181</v>
      </c>
      <c r="O475" t="s">
        <v>783</v>
      </c>
      <c r="P475" t="str">
        <f>"3020672198"</f>
        <v>3020672198</v>
      </c>
      <c r="R475" t="str">
        <f>"00030206721980"</f>
        <v>00030206721980</v>
      </c>
      <c r="S475" s="1">
        <v>41527</v>
      </c>
      <c r="T475" s="1">
        <v>41527</v>
      </c>
      <c r="U475" t="str">
        <f>"3020672198"</f>
        <v>3020672198</v>
      </c>
      <c r="V475" t="str">
        <f t="shared" si="122"/>
        <v>1010</v>
      </c>
      <c r="W475" t="str">
        <f>"20"</f>
        <v>20</v>
      </c>
      <c r="X475" t="s">
        <v>75</v>
      </c>
      <c r="Y475" t="s">
        <v>173</v>
      </c>
      <c r="Z475" t="s">
        <v>180</v>
      </c>
      <c r="AA475" t="s">
        <v>181</v>
      </c>
      <c r="AB475" t="s">
        <v>80</v>
      </c>
      <c r="AD475" t="s">
        <v>80</v>
      </c>
      <c r="AE475" t="s">
        <v>81</v>
      </c>
      <c r="AF475" t="s">
        <v>82</v>
      </c>
      <c r="AG475" t="s">
        <v>83</v>
      </c>
      <c r="AH475" t="s">
        <v>84</v>
      </c>
      <c r="AI475" t="str">
        <f>"01"</f>
        <v>01</v>
      </c>
      <c r="AJ475" t="str">
        <f t="shared" si="119"/>
        <v>1</v>
      </c>
      <c r="AK475" t="s">
        <v>93</v>
      </c>
      <c r="AL475" t="s">
        <v>143</v>
      </c>
      <c r="AM475" t="s">
        <v>95</v>
      </c>
      <c r="AN475" t="str">
        <f t="shared" si="123"/>
        <v>.9700</v>
      </c>
      <c r="AO475" t="str">
        <f>"11.41"</f>
        <v>11.41</v>
      </c>
      <c r="AP475" t="s">
        <v>96</v>
      </c>
      <c r="AQ475" t="str">
        <f>"11.41"</f>
        <v>11.41</v>
      </c>
      <c r="AR475">
        <v>0</v>
      </c>
      <c r="AS475">
        <v>-23</v>
      </c>
      <c r="AT475">
        <v>-23</v>
      </c>
      <c r="AU475">
        <v>0</v>
      </c>
      <c r="AV475">
        <v>0</v>
      </c>
      <c r="AW475">
        <v>0</v>
      </c>
      <c r="AX475">
        <v>-174.57</v>
      </c>
      <c r="AY475">
        <v>-174.57</v>
      </c>
      <c r="AZ475">
        <v>0</v>
      </c>
    </row>
    <row r="476" spans="1:52">
      <c r="A476" t="s">
        <v>65</v>
      </c>
      <c r="B476" t="s">
        <v>66</v>
      </c>
      <c r="C476" t="s">
        <v>67</v>
      </c>
      <c r="D476" t="s">
        <v>68</v>
      </c>
      <c r="E476" t="s">
        <v>69</v>
      </c>
      <c r="F476" t="s">
        <v>70</v>
      </c>
      <c r="G476" t="s">
        <v>71</v>
      </c>
      <c r="H476" t="s">
        <v>70</v>
      </c>
      <c r="I476" t="str">
        <f t="shared" si="124"/>
        <v>1090</v>
      </c>
      <c r="J476" t="str">
        <f t="shared" si="121"/>
        <v>05</v>
      </c>
      <c r="K476" t="s">
        <v>68</v>
      </c>
      <c r="L476" t="s">
        <v>72</v>
      </c>
      <c r="M476" t="s">
        <v>68</v>
      </c>
      <c r="N476" t="s">
        <v>702</v>
      </c>
      <c r="O476" t="s">
        <v>784</v>
      </c>
      <c r="P476" t="str">
        <f>"3020619492"</f>
        <v>3020619492</v>
      </c>
      <c r="R476" t="str">
        <f>"00030206194920"</f>
        <v>00030206194920</v>
      </c>
      <c r="S476" s="1">
        <v>41359</v>
      </c>
      <c r="T476" s="1">
        <v>41359</v>
      </c>
      <c r="U476" t="str">
        <f>"3020619492"</f>
        <v>3020619492</v>
      </c>
      <c r="V476" t="str">
        <f t="shared" si="122"/>
        <v>1010</v>
      </c>
      <c r="W476" t="str">
        <f>"11"</f>
        <v>11</v>
      </c>
      <c r="X476" t="s">
        <v>75</v>
      </c>
      <c r="Y476" t="s">
        <v>173</v>
      </c>
      <c r="Z476" t="s">
        <v>247</v>
      </c>
      <c r="AA476" t="s">
        <v>248</v>
      </c>
      <c r="AB476" t="s">
        <v>79</v>
      </c>
      <c r="AD476" t="s">
        <v>80</v>
      </c>
      <c r="AE476" t="s">
        <v>81</v>
      </c>
      <c r="AF476" t="s">
        <v>82</v>
      </c>
      <c r="AG476" t="s">
        <v>83</v>
      </c>
      <c r="AH476" t="s">
        <v>84</v>
      </c>
      <c r="AJ476" t="str">
        <f t="shared" si="119"/>
        <v>1</v>
      </c>
      <c r="AK476" t="s">
        <v>114</v>
      </c>
      <c r="AL476" t="s">
        <v>86</v>
      </c>
      <c r="AM476" t="s">
        <v>87</v>
      </c>
      <c r="AN476" t="str">
        <f t="shared" si="123"/>
        <v>.9700</v>
      </c>
      <c r="AO476" t="str">
        <f>"7.00"</f>
        <v>7.00</v>
      </c>
      <c r="AP476" t="s">
        <v>115</v>
      </c>
      <c r="AQ476" t="str">
        <f>"7.00"</f>
        <v>7.00</v>
      </c>
      <c r="AR476">
        <v>0</v>
      </c>
      <c r="AS476">
        <v>-20</v>
      </c>
      <c r="AT476">
        <v>-20</v>
      </c>
      <c r="AU476">
        <v>0</v>
      </c>
      <c r="AV476">
        <v>0</v>
      </c>
      <c r="AW476">
        <v>0</v>
      </c>
      <c r="AX476">
        <v>-112.8</v>
      </c>
      <c r="AY476">
        <v>-112.8</v>
      </c>
      <c r="AZ476">
        <v>0</v>
      </c>
    </row>
    <row r="477" spans="1:52">
      <c r="A477" t="s">
        <v>65</v>
      </c>
      <c r="B477" t="s">
        <v>66</v>
      </c>
      <c r="C477" t="s">
        <v>67</v>
      </c>
      <c r="D477" t="s">
        <v>68</v>
      </c>
      <c r="E477" t="s">
        <v>69</v>
      </c>
      <c r="F477" t="s">
        <v>70</v>
      </c>
      <c r="G477" t="s">
        <v>71</v>
      </c>
      <c r="H477" t="s">
        <v>70</v>
      </c>
      <c r="I477" t="str">
        <f t="shared" si="124"/>
        <v>1090</v>
      </c>
      <c r="J477" t="str">
        <f t="shared" si="121"/>
        <v>05</v>
      </c>
      <c r="K477" t="s">
        <v>68</v>
      </c>
      <c r="L477" t="s">
        <v>72</v>
      </c>
      <c r="M477" t="s">
        <v>68</v>
      </c>
      <c r="N477" t="s">
        <v>702</v>
      </c>
      <c r="O477" t="s">
        <v>784</v>
      </c>
      <c r="P477" t="str">
        <f>"3020619492"</f>
        <v>3020619492</v>
      </c>
      <c r="R477" t="str">
        <f>"00030206194920"</f>
        <v>00030206194920</v>
      </c>
      <c r="S477" s="1">
        <v>41359</v>
      </c>
      <c r="T477" s="1">
        <v>41359</v>
      </c>
      <c r="U477" t="str">
        <f>"3020619492"</f>
        <v>3020619492</v>
      </c>
      <c r="V477" t="str">
        <f t="shared" si="122"/>
        <v>1010</v>
      </c>
      <c r="W477" t="str">
        <f>"20"</f>
        <v>20</v>
      </c>
      <c r="X477" t="s">
        <v>75</v>
      </c>
      <c r="Y477" t="s">
        <v>173</v>
      </c>
      <c r="Z477" t="s">
        <v>247</v>
      </c>
      <c r="AA477" t="s">
        <v>248</v>
      </c>
      <c r="AB477" t="s">
        <v>80</v>
      </c>
      <c r="AD477" t="s">
        <v>80</v>
      </c>
      <c r="AE477" t="s">
        <v>81</v>
      </c>
      <c r="AF477" t="s">
        <v>82</v>
      </c>
      <c r="AG477" t="s">
        <v>83</v>
      </c>
      <c r="AH477" t="s">
        <v>84</v>
      </c>
      <c r="AJ477" t="str">
        <f t="shared" si="119"/>
        <v>1</v>
      </c>
      <c r="AK477" t="s">
        <v>114</v>
      </c>
      <c r="AL477" t="s">
        <v>86</v>
      </c>
      <c r="AM477" t="s">
        <v>87</v>
      </c>
      <c r="AN477" t="str">
        <f t="shared" si="123"/>
        <v>.9700</v>
      </c>
      <c r="AO477" t="str">
        <f>"7.00"</f>
        <v>7.00</v>
      </c>
      <c r="AP477" t="s">
        <v>115</v>
      </c>
      <c r="AQ477" t="str">
        <f>"7.00"</f>
        <v>7.00</v>
      </c>
      <c r="AR477">
        <v>1</v>
      </c>
      <c r="AS477">
        <v>-6</v>
      </c>
      <c r="AT477">
        <v>-5</v>
      </c>
      <c r="AU477">
        <v>5.82</v>
      </c>
      <c r="AV477">
        <v>0</v>
      </c>
      <c r="AW477">
        <v>5.82</v>
      </c>
      <c r="AX477">
        <v>-34.92</v>
      </c>
      <c r="AY477">
        <v>-29.1</v>
      </c>
      <c r="AZ477">
        <v>0</v>
      </c>
    </row>
    <row r="478" spans="1:52">
      <c r="A478" t="s">
        <v>65</v>
      </c>
      <c r="B478" t="s">
        <v>66</v>
      </c>
      <c r="C478" t="s">
        <v>67</v>
      </c>
      <c r="D478" t="s">
        <v>68</v>
      </c>
      <c r="E478" t="s">
        <v>69</v>
      </c>
      <c r="F478" t="s">
        <v>70</v>
      </c>
      <c r="G478" t="s">
        <v>71</v>
      </c>
      <c r="H478" t="s">
        <v>70</v>
      </c>
      <c r="I478" t="str">
        <f t="shared" si="124"/>
        <v>1090</v>
      </c>
      <c r="J478" t="str">
        <f t="shared" si="121"/>
        <v>05</v>
      </c>
      <c r="K478" t="s">
        <v>68</v>
      </c>
      <c r="L478" t="s">
        <v>72</v>
      </c>
      <c r="M478" t="s">
        <v>68</v>
      </c>
      <c r="N478" t="s">
        <v>702</v>
      </c>
      <c r="O478" t="s">
        <v>785</v>
      </c>
      <c r="P478" t="str">
        <f>"3020620002"</f>
        <v>3020620002</v>
      </c>
      <c r="R478" t="str">
        <f>"00030206200027"</f>
        <v>00030206200027</v>
      </c>
      <c r="S478" s="1">
        <v>41765</v>
      </c>
      <c r="T478" s="1">
        <v>41765</v>
      </c>
      <c r="U478" t="str">
        <f>"3020620002"</f>
        <v>3020620002</v>
      </c>
      <c r="V478" t="str">
        <f t="shared" si="122"/>
        <v>1010</v>
      </c>
      <c r="W478" t="str">
        <f>"11"</f>
        <v>11</v>
      </c>
      <c r="X478" t="s">
        <v>75</v>
      </c>
      <c r="Y478" t="s">
        <v>139</v>
      </c>
      <c r="Z478" t="s">
        <v>247</v>
      </c>
      <c r="AA478" t="s">
        <v>248</v>
      </c>
      <c r="AB478" t="s">
        <v>79</v>
      </c>
      <c r="AD478" t="s">
        <v>80</v>
      </c>
      <c r="AE478" t="s">
        <v>81</v>
      </c>
      <c r="AF478" t="s">
        <v>82</v>
      </c>
      <c r="AG478" t="s">
        <v>83</v>
      </c>
      <c r="AH478" t="s">
        <v>84</v>
      </c>
      <c r="AJ478" t="str">
        <f t="shared" si="119"/>
        <v>1</v>
      </c>
      <c r="AK478" t="s">
        <v>85</v>
      </c>
      <c r="AL478" t="s">
        <v>86</v>
      </c>
      <c r="AM478" t="s">
        <v>87</v>
      </c>
      <c r="AN478" t="str">
        <f t="shared" si="123"/>
        <v>.9700</v>
      </c>
      <c r="AO478" t="str">
        <f>"7.50"</f>
        <v>7.50</v>
      </c>
      <c r="AP478" t="s">
        <v>88</v>
      </c>
      <c r="AQ478" t="str">
        <f>"7.50"</f>
        <v>7.50</v>
      </c>
      <c r="AR478">
        <v>1</v>
      </c>
      <c r="AS478">
        <v>0</v>
      </c>
      <c r="AT478">
        <v>1</v>
      </c>
      <c r="AU478">
        <v>7.5</v>
      </c>
      <c r="AV478">
        <v>0</v>
      </c>
      <c r="AW478">
        <v>7.5</v>
      </c>
      <c r="AX478">
        <v>0</v>
      </c>
      <c r="AY478">
        <v>7.5</v>
      </c>
      <c r="AZ478">
        <v>0</v>
      </c>
    </row>
    <row r="479" spans="1:52">
      <c r="A479" t="s">
        <v>65</v>
      </c>
      <c r="B479" t="s">
        <v>66</v>
      </c>
      <c r="C479" t="s">
        <v>67</v>
      </c>
      <c r="D479" t="s">
        <v>68</v>
      </c>
      <c r="E479" t="s">
        <v>69</v>
      </c>
      <c r="F479" t="s">
        <v>70</v>
      </c>
      <c r="G479" t="s">
        <v>71</v>
      </c>
      <c r="H479" t="s">
        <v>70</v>
      </c>
      <c r="I479" t="str">
        <f t="shared" si="124"/>
        <v>1090</v>
      </c>
      <c r="J479" t="str">
        <f t="shared" si="121"/>
        <v>05</v>
      </c>
      <c r="K479" t="s">
        <v>68</v>
      </c>
      <c r="L479" t="s">
        <v>72</v>
      </c>
      <c r="M479" t="s">
        <v>68</v>
      </c>
      <c r="N479" t="s">
        <v>702</v>
      </c>
      <c r="O479" t="s">
        <v>786</v>
      </c>
      <c r="P479" t="str">
        <f>"3020619892"</f>
        <v>3020619892</v>
      </c>
      <c r="R479" t="str">
        <f>"00030206198928"</f>
        <v>00030206198928</v>
      </c>
      <c r="S479" s="1">
        <v>41611</v>
      </c>
      <c r="T479" s="1">
        <v>41611</v>
      </c>
      <c r="U479" t="str">
        <f>"3020619892"</f>
        <v>3020619892</v>
      </c>
      <c r="V479" t="str">
        <f t="shared" si="122"/>
        <v>1010</v>
      </c>
      <c r="W479" t="str">
        <f>"11"</f>
        <v>11</v>
      </c>
      <c r="X479" t="s">
        <v>75</v>
      </c>
      <c r="Y479" t="s">
        <v>173</v>
      </c>
      <c r="Z479" t="s">
        <v>247</v>
      </c>
      <c r="AA479" t="s">
        <v>248</v>
      </c>
      <c r="AB479" t="s">
        <v>79</v>
      </c>
      <c r="AD479" t="s">
        <v>80</v>
      </c>
      <c r="AE479" t="s">
        <v>81</v>
      </c>
      <c r="AF479" t="s">
        <v>82</v>
      </c>
      <c r="AG479" t="s">
        <v>83</v>
      </c>
      <c r="AH479" t="s">
        <v>84</v>
      </c>
      <c r="AJ479" t="str">
        <f t="shared" si="119"/>
        <v>1</v>
      </c>
      <c r="AK479" t="s">
        <v>114</v>
      </c>
      <c r="AL479" t="s">
        <v>86</v>
      </c>
      <c r="AM479" t="s">
        <v>87</v>
      </c>
      <c r="AN479" t="str">
        <f t="shared" si="123"/>
        <v>.9700</v>
      </c>
      <c r="AO479" t="str">
        <f>"7.00"</f>
        <v>7.00</v>
      </c>
      <c r="AP479" t="s">
        <v>115</v>
      </c>
      <c r="AQ479" t="str">
        <f>"7.00"</f>
        <v>7.00</v>
      </c>
      <c r="AR479">
        <v>2</v>
      </c>
      <c r="AS479">
        <v>-4</v>
      </c>
      <c r="AT479">
        <v>-2</v>
      </c>
      <c r="AU479">
        <v>13.5</v>
      </c>
      <c r="AV479">
        <v>0</v>
      </c>
      <c r="AW479">
        <v>13.5</v>
      </c>
      <c r="AX479">
        <v>-22.72</v>
      </c>
      <c r="AY479">
        <v>-9.2200000000000006</v>
      </c>
      <c r="AZ479">
        <v>0</v>
      </c>
    </row>
    <row r="480" spans="1:52">
      <c r="A480" t="s">
        <v>65</v>
      </c>
      <c r="B480" t="s">
        <v>66</v>
      </c>
      <c r="C480" t="s">
        <v>67</v>
      </c>
      <c r="D480" t="s">
        <v>68</v>
      </c>
      <c r="E480" t="s">
        <v>69</v>
      </c>
      <c r="F480" t="s">
        <v>70</v>
      </c>
      <c r="G480" t="s">
        <v>71</v>
      </c>
      <c r="H480" t="s">
        <v>70</v>
      </c>
      <c r="I480" t="str">
        <f t="shared" si="124"/>
        <v>1090</v>
      </c>
      <c r="J480" t="str">
        <f t="shared" si="121"/>
        <v>05</v>
      </c>
      <c r="K480" t="s">
        <v>68</v>
      </c>
      <c r="L480" t="s">
        <v>72</v>
      </c>
      <c r="M480" t="s">
        <v>68</v>
      </c>
      <c r="N480" t="s">
        <v>702</v>
      </c>
      <c r="O480" t="s">
        <v>786</v>
      </c>
      <c r="P480" t="str">
        <f>"3020619892"</f>
        <v>3020619892</v>
      </c>
      <c r="R480" t="str">
        <f>"00030206198928"</f>
        <v>00030206198928</v>
      </c>
      <c r="S480" s="1">
        <v>41611</v>
      </c>
      <c r="T480" s="1">
        <v>41611</v>
      </c>
      <c r="U480" t="str">
        <f>"3020619892"</f>
        <v>3020619892</v>
      </c>
      <c r="V480" t="str">
        <f t="shared" si="122"/>
        <v>1010</v>
      </c>
      <c r="W480" t="str">
        <f>"20"</f>
        <v>20</v>
      </c>
      <c r="X480" t="s">
        <v>75</v>
      </c>
      <c r="Y480" t="s">
        <v>173</v>
      </c>
      <c r="Z480" t="s">
        <v>247</v>
      </c>
      <c r="AA480" t="s">
        <v>248</v>
      </c>
      <c r="AB480" t="s">
        <v>80</v>
      </c>
      <c r="AD480" t="s">
        <v>80</v>
      </c>
      <c r="AE480" t="s">
        <v>81</v>
      </c>
      <c r="AF480" t="s">
        <v>82</v>
      </c>
      <c r="AG480" t="s">
        <v>83</v>
      </c>
      <c r="AH480" t="s">
        <v>84</v>
      </c>
      <c r="AJ480" t="str">
        <f t="shared" si="119"/>
        <v>1</v>
      </c>
      <c r="AK480" t="s">
        <v>114</v>
      </c>
      <c r="AL480" t="s">
        <v>86</v>
      </c>
      <c r="AM480" t="s">
        <v>87</v>
      </c>
      <c r="AN480" t="str">
        <f t="shared" si="123"/>
        <v>.9700</v>
      </c>
      <c r="AO480" t="str">
        <f>"7.00"</f>
        <v>7.00</v>
      </c>
      <c r="AP480" t="s">
        <v>115</v>
      </c>
      <c r="AQ480" t="str">
        <f>"7.00"</f>
        <v>7.00</v>
      </c>
      <c r="AR480">
        <v>0</v>
      </c>
      <c r="AS480">
        <v>-24</v>
      </c>
      <c r="AT480">
        <v>-24</v>
      </c>
      <c r="AU480">
        <v>0</v>
      </c>
      <c r="AV480">
        <v>0</v>
      </c>
      <c r="AW480">
        <v>0</v>
      </c>
      <c r="AX480">
        <v>-139.68</v>
      </c>
      <c r="AY480">
        <v>-139.68</v>
      </c>
      <c r="AZ480">
        <v>0</v>
      </c>
    </row>
    <row r="481" spans="1:52">
      <c r="A481" t="s">
        <v>65</v>
      </c>
      <c r="B481" t="s">
        <v>66</v>
      </c>
      <c r="C481" t="s">
        <v>67</v>
      </c>
      <c r="D481" t="s">
        <v>68</v>
      </c>
      <c r="E481" t="s">
        <v>69</v>
      </c>
      <c r="F481" t="s">
        <v>70</v>
      </c>
      <c r="G481" t="s">
        <v>71</v>
      </c>
      <c r="H481" t="s">
        <v>70</v>
      </c>
      <c r="I481" t="str">
        <f>"1101"</f>
        <v>1101</v>
      </c>
      <c r="J481" t="str">
        <f t="shared" si="121"/>
        <v>05</v>
      </c>
      <c r="K481" t="s">
        <v>68</v>
      </c>
      <c r="L481" t="s">
        <v>72</v>
      </c>
      <c r="M481" t="s">
        <v>68</v>
      </c>
      <c r="N481" t="s">
        <v>161</v>
      </c>
      <c r="O481" t="s">
        <v>104</v>
      </c>
      <c r="P481" t="s">
        <v>787</v>
      </c>
      <c r="R481" t="str">
        <f>"00030206103427"</f>
        <v>00030206103427</v>
      </c>
      <c r="S481" s="1">
        <v>36270</v>
      </c>
      <c r="T481" s="1">
        <v>36270</v>
      </c>
      <c r="U481" t="s">
        <v>787</v>
      </c>
      <c r="V481" t="str">
        <f>"1510"</f>
        <v>1510</v>
      </c>
      <c r="W481" t="str">
        <f t="shared" ref="W481:W519" si="125">"11"</f>
        <v>11</v>
      </c>
      <c r="X481" t="s">
        <v>75</v>
      </c>
      <c r="Y481" t="s">
        <v>76</v>
      </c>
      <c r="Z481" t="s">
        <v>91</v>
      </c>
      <c r="AA481" t="s">
        <v>92</v>
      </c>
      <c r="AB481" t="s">
        <v>79</v>
      </c>
      <c r="AD481" t="s">
        <v>80</v>
      </c>
      <c r="AE481" t="s">
        <v>81</v>
      </c>
      <c r="AF481" t="s">
        <v>82</v>
      </c>
      <c r="AG481" t="s">
        <v>83</v>
      </c>
      <c r="AH481" t="s">
        <v>84</v>
      </c>
      <c r="AI481" t="str">
        <f t="shared" ref="AI481:AI488" si="126">"01"</f>
        <v>01</v>
      </c>
      <c r="AJ481" t="str">
        <f t="shared" si="119"/>
        <v>1</v>
      </c>
      <c r="AK481" t="s">
        <v>154</v>
      </c>
      <c r="AL481" t="s">
        <v>155</v>
      </c>
      <c r="AM481" t="s">
        <v>87</v>
      </c>
      <c r="AN481" t="str">
        <f t="shared" si="123"/>
        <v>.9700</v>
      </c>
      <c r="AO481" t="str">
        <f>"7.25"</f>
        <v>7.25</v>
      </c>
      <c r="AP481" t="s">
        <v>156</v>
      </c>
      <c r="AQ481" t="str">
        <f>"7.25"</f>
        <v>7.25</v>
      </c>
      <c r="AR481">
        <v>48</v>
      </c>
      <c r="AS481">
        <v>0</v>
      </c>
      <c r="AT481">
        <v>48</v>
      </c>
      <c r="AU481">
        <v>348</v>
      </c>
      <c r="AV481">
        <v>27.84</v>
      </c>
      <c r="AW481">
        <v>320.16000000000003</v>
      </c>
      <c r="AX481">
        <v>0</v>
      </c>
      <c r="AY481">
        <v>320.16000000000003</v>
      </c>
      <c r="AZ481">
        <v>0</v>
      </c>
    </row>
    <row r="482" spans="1:52">
      <c r="A482" t="s">
        <v>65</v>
      </c>
      <c r="B482" t="s">
        <v>66</v>
      </c>
      <c r="C482" t="s">
        <v>67</v>
      </c>
      <c r="D482" t="s">
        <v>68</v>
      </c>
      <c r="E482" t="s">
        <v>69</v>
      </c>
      <c r="F482" t="s">
        <v>70</v>
      </c>
      <c r="G482" t="s">
        <v>71</v>
      </c>
      <c r="H482" t="s">
        <v>70</v>
      </c>
      <c r="I482" t="str">
        <f>"1101"</f>
        <v>1101</v>
      </c>
      <c r="J482" t="str">
        <f t="shared" si="121"/>
        <v>05</v>
      </c>
      <c r="K482" t="s">
        <v>68</v>
      </c>
      <c r="L482" t="s">
        <v>72</v>
      </c>
      <c r="M482" t="s">
        <v>68</v>
      </c>
      <c r="N482" t="s">
        <v>788</v>
      </c>
      <c r="O482" t="s">
        <v>789</v>
      </c>
      <c r="P482" t="s">
        <v>790</v>
      </c>
      <c r="R482" t="str">
        <f>"00030206920222"</f>
        <v>00030206920222</v>
      </c>
      <c r="S482" s="1">
        <v>34436</v>
      </c>
      <c r="T482" s="1">
        <v>34436</v>
      </c>
      <c r="U482" t="s">
        <v>790</v>
      </c>
      <c r="V482" t="str">
        <f>"1510"</f>
        <v>1510</v>
      </c>
      <c r="W482" t="str">
        <f t="shared" si="125"/>
        <v>11</v>
      </c>
      <c r="X482" t="s">
        <v>376</v>
      </c>
      <c r="Y482" t="s">
        <v>76</v>
      </c>
      <c r="Z482" t="s">
        <v>105</v>
      </c>
      <c r="AA482" t="s">
        <v>106</v>
      </c>
      <c r="AB482" t="s">
        <v>79</v>
      </c>
      <c r="AD482" t="s">
        <v>80</v>
      </c>
      <c r="AE482" t="s">
        <v>81</v>
      </c>
      <c r="AF482" t="s">
        <v>82</v>
      </c>
      <c r="AG482" t="s">
        <v>83</v>
      </c>
      <c r="AH482" t="s">
        <v>84</v>
      </c>
      <c r="AI482" t="str">
        <f t="shared" si="126"/>
        <v>01</v>
      </c>
      <c r="AJ482" t="str">
        <f t="shared" si="119"/>
        <v>1</v>
      </c>
      <c r="AK482" t="s">
        <v>154</v>
      </c>
      <c r="AL482" t="s">
        <v>155</v>
      </c>
      <c r="AM482" t="s">
        <v>87</v>
      </c>
      <c r="AN482" t="str">
        <f t="shared" si="123"/>
        <v>.9700</v>
      </c>
      <c r="AO482" t="str">
        <f>"7.25"</f>
        <v>7.25</v>
      </c>
      <c r="AP482" t="s">
        <v>156</v>
      </c>
      <c r="AQ482" t="str">
        <f>"7.25"</f>
        <v>7.25</v>
      </c>
      <c r="AR482">
        <v>0</v>
      </c>
      <c r="AS482">
        <v>-8</v>
      </c>
      <c r="AT482">
        <v>-8</v>
      </c>
      <c r="AU482">
        <v>0</v>
      </c>
      <c r="AV482">
        <v>0</v>
      </c>
      <c r="AW482">
        <v>0</v>
      </c>
      <c r="AX482">
        <v>-52.08</v>
      </c>
      <c r="AY482">
        <v>-52.08</v>
      </c>
      <c r="AZ482">
        <v>0</v>
      </c>
    </row>
    <row r="483" spans="1:52">
      <c r="A483" t="s">
        <v>65</v>
      </c>
      <c r="B483" t="s">
        <v>66</v>
      </c>
      <c r="C483" t="s">
        <v>67</v>
      </c>
      <c r="D483" t="s">
        <v>68</v>
      </c>
      <c r="E483" t="s">
        <v>69</v>
      </c>
      <c r="F483" t="s">
        <v>70</v>
      </c>
      <c r="G483" t="s">
        <v>71</v>
      </c>
      <c r="H483" t="s">
        <v>70</v>
      </c>
      <c r="I483" t="str">
        <f>"1101"</f>
        <v>1101</v>
      </c>
      <c r="J483" t="str">
        <f t="shared" si="121"/>
        <v>05</v>
      </c>
      <c r="K483" t="s">
        <v>68</v>
      </c>
      <c r="L483" t="s">
        <v>72</v>
      </c>
      <c r="M483" t="s">
        <v>68</v>
      </c>
      <c r="N483" t="s">
        <v>181</v>
      </c>
      <c r="O483" t="s">
        <v>791</v>
      </c>
      <c r="P483" t="s">
        <v>792</v>
      </c>
      <c r="R483" t="str">
        <f>"00030206526820"</f>
        <v>00030206526820</v>
      </c>
      <c r="S483" s="1">
        <v>34212</v>
      </c>
      <c r="T483" s="1">
        <v>34212</v>
      </c>
      <c r="U483" t="s">
        <v>792</v>
      </c>
      <c r="V483" t="str">
        <f>"1510"</f>
        <v>1510</v>
      </c>
      <c r="W483" t="str">
        <f t="shared" si="125"/>
        <v>11</v>
      </c>
      <c r="X483" t="s">
        <v>376</v>
      </c>
      <c r="Y483" t="s">
        <v>76</v>
      </c>
      <c r="Z483" t="s">
        <v>180</v>
      </c>
      <c r="AA483" t="s">
        <v>181</v>
      </c>
      <c r="AB483" t="s">
        <v>79</v>
      </c>
      <c r="AD483" t="s">
        <v>80</v>
      </c>
      <c r="AE483" t="s">
        <v>81</v>
      </c>
      <c r="AF483" t="s">
        <v>82</v>
      </c>
      <c r="AG483" t="s">
        <v>83</v>
      </c>
      <c r="AH483" t="s">
        <v>84</v>
      </c>
      <c r="AI483" t="str">
        <f t="shared" si="126"/>
        <v>01</v>
      </c>
      <c r="AJ483" t="str">
        <f t="shared" si="119"/>
        <v>1</v>
      </c>
      <c r="AK483" t="s">
        <v>154</v>
      </c>
      <c r="AL483" t="s">
        <v>155</v>
      </c>
      <c r="AM483" t="s">
        <v>87</v>
      </c>
      <c r="AN483" t="str">
        <f t="shared" si="123"/>
        <v>.9700</v>
      </c>
      <c r="AO483" t="str">
        <f>"7.25"</f>
        <v>7.25</v>
      </c>
      <c r="AP483" t="s">
        <v>156</v>
      </c>
      <c r="AQ483" t="str">
        <f>"7.25"</f>
        <v>7.25</v>
      </c>
      <c r="AR483">
        <v>0</v>
      </c>
      <c r="AS483">
        <v>-1</v>
      </c>
      <c r="AT483">
        <v>-1</v>
      </c>
      <c r="AU483">
        <v>0</v>
      </c>
      <c r="AV483">
        <v>0</v>
      </c>
      <c r="AW483">
        <v>0</v>
      </c>
      <c r="AX483">
        <v>-6.72</v>
      </c>
      <c r="AY483">
        <v>-6.72</v>
      </c>
      <c r="AZ483">
        <v>0</v>
      </c>
    </row>
    <row r="484" spans="1:52">
      <c r="A484" t="s">
        <v>65</v>
      </c>
      <c r="B484" t="s">
        <v>66</v>
      </c>
      <c r="C484" t="s">
        <v>67</v>
      </c>
      <c r="D484" t="s">
        <v>68</v>
      </c>
      <c r="E484" t="s">
        <v>69</v>
      </c>
      <c r="F484" t="s">
        <v>70</v>
      </c>
      <c r="G484" t="s">
        <v>71</v>
      </c>
      <c r="H484" t="s">
        <v>70</v>
      </c>
      <c r="I484" t="str">
        <f>"1101"</f>
        <v>1101</v>
      </c>
      <c r="J484" t="str">
        <f t="shared" si="121"/>
        <v>05</v>
      </c>
      <c r="K484" t="s">
        <v>68</v>
      </c>
      <c r="L484" t="s">
        <v>72</v>
      </c>
      <c r="M484" t="s">
        <v>68</v>
      </c>
      <c r="N484" t="s">
        <v>181</v>
      </c>
      <c r="O484" t="s">
        <v>793</v>
      </c>
      <c r="P484" t="s">
        <v>794</v>
      </c>
      <c r="R484" t="str">
        <f>"00030206826227"</f>
        <v>00030206826227</v>
      </c>
      <c r="S484" s="1">
        <v>32461</v>
      </c>
      <c r="T484" s="1">
        <v>32461</v>
      </c>
      <c r="U484" t="s">
        <v>794</v>
      </c>
      <c r="V484" t="str">
        <f>"1510"</f>
        <v>1510</v>
      </c>
      <c r="W484" t="str">
        <f t="shared" si="125"/>
        <v>11</v>
      </c>
      <c r="X484" t="s">
        <v>75</v>
      </c>
      <c r="Y484" t="s">
        <v>76</v>
      </c>
      <c r="Z484" t="s">
        <v>180</v>
      </c>
      <c r="AA484" t="s">
        <v>181</v>
      </c>
      <c r="AB484" t="s">
        <v>79</v>
      </c>
      <c r="AD484" t="s">
        <v>80</v>
      </c>
      <c r="AE484" t="s">
        <v>81</v>
      </c>
      <c r="AF484" t="s">
        <v>82</v>
      </c>
      <c r="AG484" t="s">
        <v>83</v>
      </c>
      <c r="AH484" t="s">
        <v>84</v>
      </c>
      <c r="AI484" t="str">
        <f t="shared" si="126"/>
        <v>01</v>
      </c>
      <c r="AJ484" t="str">
        <f t="shared" si="119"/>
        <v>1</v>
      </c>
      <c r="AK484" t="s">
        <v>154</v>
      </c>
      <c r="AL484" t="s">
        <v>155</v>
      </c>
      <c r="AM484" t="s">
        <v>87</v>
      </c>
      <c r="AN484" t="str">
        <f t="shared" si="123"/>
        <v>.9700</v>
      </c>
      <c r="AO484" t="str">
        <f>"7.25"</f>
        <v>7.25</v>
      </c>
      <c r="AP484" t="s">
        <v>156</v>
      </c>
      <c r="AQ484" t="str">
        <f>"7.25"</f>
        <v>7.25</v>
      </c>
      <c r="AR484">
        <v>35</v>
      </c>
      <c r="AS484">
        <v>-1</v>
      </c>
      <c r="AT484">
        <v>34</v>
      </c>
      <c r="AU484">
        <v>253.75</v>
      </c>
      <c r="AV484">
        <v>27.84</v>
      </c>
      <c r="AW484">
        <v>225.91</v>
      </c>
      <c r="AX484">
        <v>-6.49</v>
      </c>
      <c r="AY484">
        <v>219.42</v>
      </c>
      <c r="AZ484">
        <v>0</v>
      </c>
    </row>
    <row r="485" spans="1:52">
      <c r="A485" t="s">
        <v>65</v>
      </c>
      <c r="B485" t="s">
        <v>66</v>
      </c>
      <c r="C485" t="s">
        <v>67</v>
      </c>
      <c r="D485" t="s">
        <v>68</v>
      </c>
      <c r="E485" t="s">
        <v>69</v>
      </c>
      <c r="F485" t="s">
        <v>70</v>
      </c>
      <c r="G485" t="s">
        <v>71</v>
      </c>
      <c r="H485" t="s">
        <v>70</v>
      </c>
      <c r="I485" t="str">
        <f>"1101"</f>
        <v>1101</v>
      </c>
      <c r="J485" t="str">
        <f t="shared" si="121"/>
        <v>05</v>
      </c>
      <c r="K485" t="s">
        <v>68</v>
      </c>
      <c r="L485" t="s">
        <v>72</v>
      </c>
      <c r="M485" t="s">
        <v>68</v>
      </c>
      <c r="N485" t="s">
        <v>693</v>
      </c>
      <c r="O485" t="s">
        <v>104</v>
      </c>
      <c r="P485" t="s">
        <v>795</v>
      </c>
      <c r="R485" t="str">
        <f>"00030206102529"</f>
        <v>00030206102529</v>
      </c>
      <c r="S485" s="1">
        <v>36130</v>
      </c>
      <c r="T485" s="1">
        <v>36130</v>
      </c>
      <c r="U485" t="s">
        <v>795</v>
      </c>
      <c r="V485" t="str">
        <f>"1510"</f>
        <v>1510</v>
      </c>
      <c r="W485" t="str">
        <f t="shared" si="125"/>
        <v>11</v>
      </c>
      <c r="X485" t="s">
        <v>75</v>
      </c>
      <c r="Y485" t="s">
        <v>76</v>
      </c>
      <c r="Z485" t="s">
        <v>105</v>
      </c>
      <c r="AA485" t="s">
        <v>106</v>
      </c>
      <c r="AB485" t="s">
        <v>79</v>
      </c>
      <c r="AD485" t="s">
        <v>80</v>
      </c>
      <c r="AE485" t="s">
        <v>81</v>
      </c>
      <c r="AF485" t="s">
        <v>82</v>
      </c>
      <c r="AG485" t="s">
        <v>83</v>
      </c>
      <c r="AH485" t="s">
        <v>84</v>
      </c>
      <c r="AI485" t="str">
        <f t="shared" si="126"/>
        <v>01</v>
      </c>
      <c r="AJ485" t="str">
        <f t="shared" si="119"/>
        <v>1</v>
      </c>
      <c r="AK485" t="s">
        <v>154</v>
      </c>
      <c r="AL485" t="s">
        <v>155</v>
      </c>
      <c r="AM485" t="s">
        <v>87</v>
      </c>
      <c r="AN485" t="str">
        <f t="shared" si="123"/>
        <v>.9700</v>
      </c>
      <c r="AO485" t="str">
        <f>"7.25"</f>
        <v>7.25</v>
      </c>
      <c r="AP485" t="s">
        <v>156</v>
      </c>
      <c r="AQ485" t="str">
        <f>"7.25"</f>
        <v>7.25</v>
      </c>
      <c r="AR485">
        <v>30</v>
      </c>
      <c r="AS485">
        <v>-4</v>
      </c>
      <c r="AT485">
        <v>26</v>
      </c>
      <c r="AU485">
        <v>217.5</v>
      </c>
      <c r="AV485">
        <v>26.1</v>
      </c>
      <c r="AW485">
        <v>191.4</v>
      </c>
      <c r="AX485">
        <v>-26.6</v>
      </c>
      <c r="AY485">
        <v>164.8</v>
      </c>
      <c r="AZ485">
        <v>0</v>
      </c>
    </row>
    <row r="486" spans="1:52">
      <c r="A486" t="s">
        <v>65</v>
      </c>
      <c r="B486" t="s">
        <v>66</v>
      </c>
      <c r="C486" t="s">
        <v>67</v>
      </c>
      <c r="D486" t="s">
        <v>68</v>
      </c>
      <c r="E486" t="s">
        <v>69</v>
      </c>
      <c r="F486" t="s">
        <v>70</v>
      </c>
      <c r="G486" t="s">
        <v>71</v>
      </c>
      <c r="H486" t="s">
        <v>70</v>
      </c>
      <c r="I486" t="str">
        <f t="shared" ref="I486:I506" si="127">"1350"</f>
        <v>1350</v>
      </c>
      <c r="J486" t="str">
        <f t="shared" si="121"/>
        <v>05</v>
      </c>
      <c r="K486" t="s">
        <v>68</v>
      </c>
      <c r="L486" t="s">
        <v>72</v>
      </c>
      <c r="M486" t="s">
        <v>68</v>
      </c>
      <c r="N486" t="s">
        <v>796</v>
      </c>
      <c r="O486" t="s">
        <v>300</v>
      </c>
      <c r="P486" t="str">
        <f>"3020619412"</f>
        <v>3020619412</v>
      </c>
      <c r="R486" t="str">
        <f>"00030206194128"</f>
        <v>00030206194128</v>
      </c>
      <c r="S486" s="1">
        <v>41247</v>
      </c>
      <c r="T486" s="1">
        <v>41247</v>
      </c>
      <c r="U486" t="str">
        <f>"3020619412"</f>
        <v>3020619412</v>
      </c>
      <c r="V486" t="str">
        <f t="shared" ref="V486:V512" si="128">"1010"</f>
        <v>1010</v>
      </c>
      <c r="W486" t="str">
        <f t="shared" si="125"/>
        <v>11</v>
      </c>
      <c r="X486" t="s">
        <v>75</v>
      </c>
      <c r="Y486" t="s">
        <v>76</v>
      </c>
      <c r="Z486" t="s">
        <v>77</v>
      </c>
      <c r="AA486" t="s">
        <v>78</v>
      </c>
      <c r="AB486" t="s">
        <v>79</v>
      </c>
      <c r="AD486" t="s">
        <v>80</v>
      </c>
      <c r="AE486" t="s">
        <v>81</v>
      </c>
      <c r="AF486" t="s">
        <v>82</v>
      </c>
      <c r="AG486" t="s">
        <v>83</v>
      </c>
      <c r="AH486" t="s">
        <v>84</v>
      </c>
      <c r="AI486" t="str">
        <f t="shared" si="126"/>
        <v>01</v>
      </c>
      <c r="AJ486" t="str">
        <f t="shared" si="119"/>
        <v>1</v>
      </c>
      <c r="AK486" t="s">
        <v>114</v>
      </c>
      <c r="AL486" t="s">
        <v>86</v>
      </c>
      <c r="AM486" t="s">
        <v>87</v>
      </c>
      <c r="AN486" t="str">
        <f t="shared" si="123"/>
        <v>.9700</v>
      </c>
      <c r="AO486" t="str">
        <f>"7.00"</f>
        <v>7.00</v>
      </c>
      <c r="AP486" t="s">
        <v>115</v>
      </c>
      <c r="AQ486" t="str">
        <f>"7.00"</f>
        <v>7.00</v>
      </c>
      <c r="AR486">
        <v>12</v>
      </c>
      <c r="AS486">
        <v>-1</v>
      </c>
      <c r="AT486">
        <v>11</v>
      </c>
      <c r="AU486">
        <v>84</v>
      </c>
      <c r="AV486">
        <v>7.7</v>
      </c>
      <c r="AW486">
        <v>76.3</v>
      </c>
      <c r="AX486">
        <v>-5.6</v>
      </c>
      <c r="AY486">
        <v>70.7</v>
      </c>
      <c r="AZ486">
        <v>0</v>
      </c>
    </row>
    <row r="487" spans="1:52">
      <c r="A487" t="s">
        <v>65</v>
      </c>
      <c r="B487" t="s">
        <v>66</v>
      </c>
      <c r="C487" t="s">
        <v>67</v>
      </c>
      <c r="D487" t="s">
        <v>68</v>
      </c>
      <c r="E487" t="s">
        <v>69</v>
      </c>
      <c r="F487" t="s">
        <v>70</v>
      </c>
      <c r="G487" t="s">
        <v>71</v>
      </c>
      <c r="H487" t="s">
        <v>70</v>
      </c>
      <c r="I487" t="str">
        <f t="shared" si="127"/>
        <v>1350</v>
      </c>
      <c r="J487" t="str">
        <f t="shared" si="121"/>
        <v>05</v>
      </c>
      <c r="K487" t="s">
        <v>68</v>
      </c>
      <c r="L487" t="s">
        <v>72</v>
      </c>
      <c r="M487" t="s">
        <v>68</v>
      </c>
      <c r="N487" t="s">
        <v>797</v>
      </c>
      <c r="O487" t="s">
        <v>798</v>
      </c>
      <c r="P487" t="str">
        <f>"3020620062"</f>
        <v>3020620062</v>
      </c>
      <c r="R487" t="str">
        <f>"00030206200621"</f>
        <v>00030206200621</v>
      </c>
      <c r="S487" s="1">
        <v>41793</v>
      </c>
      <c r="T487" s="1">
        <v>41793</v>
      </c>
      <c r="U487" t="str">
        <f>"3020620062"</f>
        <v>3020620062</v>
      </c>
      <c r="V487" t="str">
        <f t="shared" si="128"/>
        <v>1010</v>
      </c>
      <c r="W487" t="str">
        <f t="shared" si="125"/>
        <v>11</v>
      </c>
      <c r="X487" t="s">
        <v>75</v>
      </c>
      <c r="Y487" t="s">
        <v>139</v>
      </c>
      <c r="Z487" t="s">
        <v>77</v>
      </c>
      <c r="AA487" t="s">
        <v>78</v>
      </c>
      <c r="AB487" t="s">
        <v>79</v>
      </c>
      <c r="AD487" t="s">
        <v>80</v>
      </c>
      <c r="AE487" t="s">
        <v>81</v>
      </c>
      <c r="AF487" t="s">
        <v>82</v>
      </c>
      <c r="AG487" t="s">
        <v>83</v>
      </c>
      <c r="AH487" t="s">
        <v>84</v>
      </c>
      <c r="AI487" t="str">
        <f t="shared" si="126"/>
        <v>01</v>
      </c>
      <c r="AJ487" t="str">
        <f t="shared" si="119"/>
        <v>1</v>
      </c>
      <c r="AK487" t="s">
        <v>98</v>
      </c>
      <c r="AL487" t="s">
        <v>86</v>
      </c>
      <c r="AM487" t="s">
        <v>95</v>
      </c>
      <c r="AN487" t="str">
        <f t="shared" si="123"/>
        <v>.9700</v>
      </c>
      <c r="AO487" t="str">
        <f>"8.00"</f>
        <v>8.00</v>
      </c>
      <c r="AP487" t="s">
        <v>99</v>
      </c>
      <c r="AQ487" t="str">
        <f>"8.00"</f>
        <v>8.00</v>
      </c>
      <c r="AR487">
        <v>217</v>
      </c>
      <c r="AS487">
        <v>0</v>
      </c>
      <c r="AT487">
        <v>217</v>
      </c>
      <c r="AU487">
        <v>1736</v>
      </c>
      <c r="AV487">
        <v>109.2</v>
      </c>
      <c r="AW487">
        <v>1626.8</v>
      </c>
      <c r="AX487">
        <v>0</v>
      </c>
      <c r="AY487">
        <v>1626.8</v>
      </c>
      <c r="AZ487">
        <v>0</v>
      </c>
    </row>
    <row r="488" spans="1:52">
      <c r="A488" t="s">
        <v>65</v>
      </c>
      <c r="B488" t="s">
        <v>66</v>
      </c>
      <c r="C488" t="s">
        <v>67</v>
      </c>
      <c r="D488" t="s">
        <v>68</v>
      </c>
      <c r="E488" t="s">
        <v>69</v>
      </c>
      <c r="F488" t="s">
        <v>70</v>
      </c>
      <c r="G488" t="s">
        <v>71</v>
      </c>
      <c r="H488" t="s">
        <v>70</v>
      </c>
      <c r="I488" t="str">
        <f t="shared" si="127"/>
        <v>1350</v>
      </c>
      <c r="J488" t="str">
        <f t="shared" si="121"/>
        <v>05</v>
      </c>
      <c r="K488" t="s">
        <v>68</v>
      </c>
      <c r="L488" t="s">
        <v>72</v>
      </c>
      <c r="M488" t="s">
        <v>68</v>
      </c>
      <c r="N488" t="s">
        <v>799</v>
      </c>
      <c r="O488" t="s">
        <v>300</v>
      </c>
      <c r="P488" t="str">
        <f>"3020619422"</f>
        <v>3020619422</v>
      </c>
      <c r="R488" t="str">
        <f>"00030206194227"</f>
        <v>00030206194227</v>
      </c>
      <c r="S488" s="1">
        <v>41247</v>
      </c>
      <c r="T488" s="1">
        <v>41247</v>
      </c>
      <c r="U488" t="str">
        <f>"3020619422"</f>
        <v>3020619422</v>
      </c>
      <c r="V488" t="str">
        <f t="shared" si="128"/>
        <v>1010</v>
      </c>
      <c r="W488" t="str">
        <f t="shared" si="125"/>
        <v>11</v>
      </c>
      <c r="X488" t="s">
        <v>75</v>
      </c>
      <c r="Y488" t="s">
        <v>76</v>
      </c>
      <c r="Z488" t="s">
        <v>77</v>
      </c>
      <c r="AA488" t="s">
        <v>78</v>
      </c>
      <c r="AB488" t="s">
        <v>79</v>
      </c>
      <c r="AD488" t="s">
        <v>80</v>
      </c>
      <c r="AE488" t="s">
        <v>81</v>
      </c>
      <c r="AF488" t="s">
        <v>82</v>
      </c>
      <c r="AG488" t="s">
        <v>83</v>
      </c>
      <c r="AH488" t="s">
        <v>84</v>
      </c>
      <c r="AI488" t="str">
        <f t="shared" si="126"/>
        <v>01</v>
      </c>
      <c r="AJ488" t="str">
        <f t="shared" si="119"/>
        <v>1</v>
      </c>
      <c r="AK488" t="s">
        <v>114</v>
      </c>
      <c r="AL488" t="s">
        <v>86</v>
      </c>
      <c r="AM488" t="s">
        <v>87</v>
      </c>
      <c r="AN488" t="str">
        <f t="shared" si="123"/>
        <v>.9700</v>
      </c>
      <c r="AO488" t="str">
        <f>"7.00"</f>
        <v>7.00</v>
      </c>
      <c r="AP488" t="s">
        <v>115</v>
      </c>
      <c r="AQ488" t="str">
        <f>"7.00"</f>
        <v>7.00</v>
      </c>
      <c r="AR488">
        <v>7</v>
      </c>
      <c r="AS488">
        <v>-2</v>
      </c>
      <c r="AT488">
        <v>5</v>
      </c>
      <c r="AU488">
        <v>49</v>
      </c>
      <c r="AV488">
        <v>4.9000000000000004</v>
      </c>
      <c r="AW488">
        <v>44.1</v>
      </c>
      <c r="AX488">
        <v>-11.61</v>
      </c>
      <c r="AY488">
        <v>32.49</v>
      </c>
      <c r="AZ488">
        <v>0</v>
      </c>
    </row>
    <row r="489" spans="1:52">
      <c r="A489" t="s">
        <v>65</v>
      </c>
      <c r="B489" t="s">
        <v>66</v>
      </c>
      <c r="C489" t="s">
        <v>67</v>
      </c>
      <c r="D489" t="s">
        <v>68</v>
      </c>
      <c r="E489" t="s">
        <v>69</v>
      </c>
      <c r="F489" t="s">
        <v>70</v>
      </c>
      <c r="G489" t="s">
        <v>71</v>
      </c>
      <c r="H489" t="s">
        <v>70</v>
      </c>
      <c r="I489" t="str">
        <f t="shared" si="127"/>
        <v>1350</v>
      </c>
      <c r="J489" t="str">
        <f t="shared" si="121"/>
        <v>05</v>
      </c>
      <c r="K489" t="s">
        <v>68</v>
      </c>
      <c r="L489" t="s">
        <v>72</v>
      </c>
      <c r="M489" t="s">
        <v>68</v>
      </c>
      <c r="N489" t="s">
        <v>800</v>
      </c>
      <c r="O489" t="s">
        <v>801</v>
      </c>
      <c r="P489" t="str">
        <f>"3020619852"</f>
        <v>3020619852</v>
      </c>
      <c r="R489" t="str">
        <f>"00030206198522"</f>
        <v>00030206198522</v>
      </c>
      <c r="S489" s="1">
        <v>41589</v>
      </c>
      <c r="T489" s="1">
        <v>41590</v>
      </c>
      <c r="U489" t="str">
        <f>"3020619852"</f>
        <v>3020619852</v>
      </c>
      <c r="V489" t="str">
        <f t="shared" si="128"/>
        <v>1010</v>
      </c>
      <c r="W489" t="str">
        <f t="shared" si="125"/>
        <v>11</v>
      </c>
      <c r="X489" t="s">
        <v>75</v>
      </c>
      <c r="Y489" t="s">
        <v>173</v>
      </c>
      <c r="Z489" t="s">
        <v>77</v>
      </c>
      <c r="AA489" t="s">
        <v>78</v>
      </c>
      <c r="AB489" t="s">
        <v>79</v>
      </c>
      <c r="AD489" t="s">
        <v>80</v>
      </c>
      <c r="AE489" t="s">
        <v>81</v>
      </c>
      <c r="AF489" t="s">
        <v>82</v>
      </c>
      <c r="AG489" t="s">
        <v>83</v>
      </c>
      <c r="AH489" t="s">
        <v>84</v>
      </c>
      <c r="AJ489" t="str">
        <f t="shared" si="119"/>
        <v>1</v>
      </c>
      <c r="AK489" t="s">
        <v>85</v>
      </c>
      <c r="AL489" t="s">
        <v>86</v>
      </c>
      <c r="AM489" t="s">
        <v>87</v>
      </c>
      <c r="AN489" t="str">
        <f t="shared" si="123"/>
        <v>.9700</v>
      </c>
      <c r="AO489" t="str">
        <f>"7.50"</f>
        <v>7.50</v>
      </c>
      <c r="AP489" t="s">
        <v>88</v>
      </c>
      <c r="AQ489" t="str">
        <f>"7.50"</f>
        <v>7.50</v>
      </c>
      <c r="AR489">
        <v>72</v>
      </c>
      <c r="AS489">
        <v>-6</v>
      </c>
      <c r="AT489">
        <v>66</v>
      </c>
      <c r="AU489">
        <v>539</v>
      </c>
      <c r="AV489">
        <v>48</v>
      </c>
      <c r="AW489">
        <v>491</v>
      </c>
      <c r="AX489">
        <v>-40.229999999999997</v>
      </c>
      <c r="AY489">
        <v>450.77</v>
      </c>
      <c r="AZ489">
        <v>0</v>
      </c>
    </row>
    <row r="490" spans="1:52">
      <c r="A490" t="s">
        <v>65</v>
      </c>
      <c r="B490" t="s">
        <v>66</v>
      </c>
      <c r="C490" t="s">
        <v>67</v>
      </c>
      <c r="D490" t="s">
        <v>68</v>
      </c>
      <c r="E490" t="s">
        <v>69</v>
      </c>
      <c r="F490" t="s">
        <v>70</v>
      </c>
      <c r="G490" t="s">
        <v>71</v>
      </c>
      <c r="H490" t="s">
        <v>70</v>
      </c>
      <c r="I490" t="str">
        <f t="shared" si="127"/>
        <v>1350</v>
      </c>
      <c r="J490" t="str">
        <f t="shared" si="121"/>
        <v>05</v>
      </c>
      <c r="K490" t="s">
        <v>68</v>
      </c>
      <c r="L490" t="s">
        <v>72</v>
      </c>
      <c r="M490" t="s">
        <v>68</v>
      </c>
      <c r="N490" t="s">
        <v>802</v>
      </c>
      <c r="O490" t="s">
        <v>300</v>
      </c>
      <c r="P490" t="str">
        <f>"3020619432"</f>
        <v>3020619432</v>
      </c>
      <c r="R490" t="str">
        <f>"00030206194326"</f>
        <v>00030206194326</v>
      </c>
      <c r="S490" s="1">
        <v>41247</v>
      </c>
      <c r="T490" s="1">
        <v>41247</v>
      </c>
      <c r="U490" t="str">
        <f>"3020619432"</f>
        <v>3020619432</v>
      </c>
      <c r="V490" t="str">
        <f t="shared" si="128"/>
        <v>1010</v>
      </c>
      <c r="W490" t="str">
        <f t="shared" si="125"/>
        <v>11</v>
      </c>
      <c r="X490" t="s">
        <v>75</v>
      </c>
      <c r="Y490" t="s">
        <v>76</v>
      </c>
      <c r="Z490" t="s">
        <v>77</v>
      </c>
      <c r="AA490" t="s">
        <v>78</v>
      </c>
      <c r="AB490" t="s">
        <v>79</v>
      </c>
      <c r="AD490" t="s">
        <v>80</v>
      </c>
      <c r="AE490" t="s">
        <v>81</v>
      </c>
      <c r="AF490" t="s">
        <v>82</v>
      </c>
      <c r="AG490" t="s">
        <v>83</v>
      </c>
      <c r="AH490" t="s">
        <v>84</v>
      </c>
      <c r="AI490" t="str">
        <f>"01"</f>
        <v>01</v>
      </c>
      <c r="AJ490" t="str">
        <f t="shared" si="119"/>
        <v>1</v>
      </c>
      <c r="AK490" t="s">
        <v>114</v>
      </c>
      <c r="AL490" t="s">
        <v>86</v>
      </c>
      <c r="AM490" t="s">
        <v>87</v>
      </c>
      <c r="AN490" t="str">
        <f t="shared" si="123"/>
        <v>.9700</v>
      </c>
      <c r="AO490" t="str">
        <f>"7.00"</f>
        <v>7.00</v>
      </c>
      <c r="AP490" t="s">
        <v>115</v>
      </c>
      <c r="AQ490" t="str">
        <f>"7.00"</f>
        <v>7.00</v>
      </c>
      <c r="AR490">
        <v>5</v>
      </c>
      <c r="AS490">
        <v>-3</v>
      </c>
      <c r="AT490">
        <v>2</v>
      </c>
      <c r="AU490">
        <v>35</v>
      </c>
      <c r="AV490">
        <v>3.5</v>
      </c>
      <c r="AW490">
        <v>31.5</v>
      </c>
      <c r="AX490">
        <v>-16.84</v>
      </c>
      <c r="AY490">
        <v>14.66</v>
      </c>
      <c r="AZ490">
        <v>0</v>
      </c>
    </row>
    <row r="491" spans="1:52">
      <c r="A491" t="s">
        <v>65</v>
      </c>
      <c r="B491" t="s">
        <v>66</v>
      </c>
      <c r="C491" t="s">
        <v>67</v>
      </c>
      <c r="D491" t="s">
        <v>68</v>
      </c>
      <c r="E491" t="s">
        <v>69</v>
      </c>
      <c r="F491" t="s">
        <v>70</v>
      </c>
      <c r="G491" t="s">
        <v>71</v>
      </c>
      <c r="H491" t="s">
        <v>70</v>
      </c>
      <c r="I491" t="str">
        <f t="shared" si="127"/>
        <v>1350</v>
      </c>
      <c r="J491" t="str">
        <f t="shared" si="121"/>
        <v>05</v>
      </c>
      <c r="K491" t="s">
        <v>68</v>
      </c>
      <c r="L491" t="s">
        <v>72</v>
      </c>
      <c r="M491" t="s">
        <v>68</v>
      </c>
      <c r="N491" t="s">
        <v>803</v>
      </c>
      <c r="O491" t="s">
        <v>804</v>
      </c>
      <c r="P491" t="str">
        <f>"3020619812"</f>
        <v>3020619812</v>
      </c>
      <c r="R491" t="str">
        <f>"00030206198126"</f>
        <v>00030206198126</v>
      </c>
      <c r="S491" s="1">
        <v>41589</v>
      </c>
      <c r="T491" s="1">
        <v>41576</v>
      </c>
      <c r="U491" t="str">
        <f>"3020619812"</f>
        <v>3020619812</v>
      </c>
      <c r="V491" t="str">
        <f t="shared" si="128"/>
        <v>1010</v>
      </c>
      <c r="W491" t="str">
        <f t="shared" si="125"/>
        <v>11</v>
      </c>
      <c r="X491" t="s">
        <v>75</v>
      </c>
      <c r="Y491" t="s">
        <v>173</v>
      </c>
      <c r="Z491" t="s">
        <v>77</v>
      </c>
      <c r="AA491" t="s">
        <v>78</v>
      </c>
      <c r="AB491" t="s">
        <v>79</v>
      </c>
      <c r="AD491" t="s">
        <v>80</v>
      </c>
      <c r="AE491" t="s">
        <v>81</v>
      </c>
      <c r="AF491" t="s">
        <v>82</v>
      </c>
      <c r="AG491" t="s">
        <v>83</v>
      </c>
      <c r="AH491" t="s">
        <v>84</v>
      </c>
      <c r="AJ491" t="str">
        <f t="shared" si="119"/>
        <v>1</v>
      </c>
      <c r="AK491" t="s">
        <v>98</v>
      </c>
      <c r="AL491" t="s">
        <v>86</v>
      </c>
      <c r="AM491" t="s">
        <v>95</v>
      </c>
      <c r="AN491" t="str">
        <f t="shared" si="123"/>
        <v>.9700</v>
      </c>
      <c r="AO491" t="str">
        <f>"8.00"</f>
        <v>8.00</v>
      </c>
      <c r="AP491" t="s">
        <v>99</v>
      </c>
      <c r="AQ491" t="str">
        <f>"8.00"</f>
        <v>8.00</v>
      </c>
      <c r="AR491">
        <v>123</v>
      </c>
      <c r="AS491">
        <v>-56</v>
      </c>
      <c r="AT491">
        <v>67</v>
      </c>
      <c r="AU491">
        <v>984.45</v>
      </c>
      <c r="AV491">
        <v>451.25</v>
      </c>
      <c r="AW491">
        <v>533.20000000000005</v>
      </c>
      <c r="AX491">
        <v>-355.49</v>
      </c>
      <c r="AY491">
        <v>177.71</v>
      </c>
      <c r="AZ491">
        <v>0</v>
      </c>
    </row>
    <row r="492" spans="1:52">
      <c r="A492" t="s">
        <v>65</v>
      </c>
      <c r="B492" t="s">
        <v>66</v>
      </c>
      <c r="C492" t="s">
        <v>67</v>
      </c>
      <c r="D492" t="s">
        <v>68</v>
      </c>
      <c r="E492" t="s">
        <v>69</v>
      </c>
      <c r="F492" t="s">
        <v>70</v>
      </c>
      <c r="G492" t="s">
        <v>71</v>
      </c>
      <c r="H492" t="s">
        <v>70</v>
      </c>
      <c r="I492" t="str">
        <f t="shared" si="127"/>
        <v>1350</v>
      </c>
      <c r="J492" t="str">
        <f t="shared" si="121"/>
        <v>05</v>
      </c>
      <c r="K492" t="s">
        <v>68</v>
      </c>
      <c r="L492" t="s">
        <v>72</v>
      </c>
      <c r="M492" t="s">
        <v>68</v>
      </c>
      <c r="N492" t="s">
        <v>278</v>
      </c>
      <c r="O492" t="s">
        <v>805</v>
      </c>
      <c r="P492" t="str">
        <f>"3020619792"</f>
        <v>3020619792</v>
      </c>
      <c r="R492" t="str">
        <f>"00030206197921"</f>
        <v>00030206197921</v>
      </c>
      <c r="S492" s="1">
        <v>41576</v>
      </c>
      <c r="T492" s="1">
        <v>41562</v>
      </c>
      <c r="U492" t="str">
        <f>"3020619792"</f>
        <v>3020619792</v>
      </c>
      <c r="V492" t="str">
        <f t="shared" si="128"/>
        <v>1010</v>
      </c>
      <c r="W492" t="str">
        <f t="shared" si="125"/>
        <v>11</v>
      </c>
      <c r="X492" t="s">
        <v>75</v>
      </c>
      <c r="Y492" t="s">
        <v>173</v>
      </c>
      <c r="Z492" t="s">
        <v>77</v>
      </c>
      <c r="AA492" t="s">
        <v>78</v>
      </c>
      <c r="AB492" t="s">
        <v>79</v>
      </c>
      <c r="AD492" t="s">
        <v>80</v>
      </c>
      <c r="AE492" t="s">
        <v>81</v>
      </c>
      <c r="AF492" t="s">
        <v>82</v>
      </c>
      <c r="AG492" t="s">
        <v>83</v>
      </c>
      <c r="AH492" t="s">
        <v>84</v>
      </c>
      <c r="AJ492" t="str">
        <f>"2"</f>
        <v>2</v>
      </c>
      <c r="AK492" t="s">
        <v>93</v>
      </c>
      <c r="AL492" t="s">
        <v>94</v>
      </c>
      <c r="AM492" t="s">
        <v>95</v>
      </c>
      <c r="AN492" t="str">
        <f t="shared" si="123"/>
        <v>.9700</v>
      </c>
      <c r="AO492" t="str">
        <f>"11.41"</f>
        <v>11.41</v>
      </c>
      <c r="AP492" t="s">
        <v>96</v>
      </c>
      <c r="AQ492" t="str">
        <f>"11.41"</f>
        <v>11.41</v>
      </c>
      <c r="AR492">
        <v>22</v>
      </c>
      <c r="AS492">
        <v>-13</v>
      </c>
      <c r="AT492">
        <v>9</v>
      </c>
      <c r="AU492">
        <v>251.04</v>
      </c>
      <c r="AV492">
        <v>18.260000000000002</v>
      </c>
      <c r="AW492">
        <v>232.78</v>
      </c>
      <c r="AX492">
        <v>-123.5</v>
      </c>
      <c r="AY492">
        <v>109.28</v>
      </c>
      <c r="AZ492">
        <v>0</v>
      </c>
    </row>
    <row r="493" spans="1:52">
      <c r="A493" t="s">
        <v>65</v>
      </c>
      <c r="B493" t="s">
        <v>66</v>
      </c>
      <c r="C493" t="s">
        <v>67</v>
      </c>
      <c r="D493" t="s">
        <v>68</v>
      </c>
      <c r="E493" t="s">
        <v>69</v>
      </c>
      <c r="F493" t="s">
        <v>70</v>
      </c>
      <c r="G493" t="s">
        <v>71</v>
      </c>
      <c r="H493" t="s">
        <v>70</v>
      </c>
      <c r="I493" t="str">
        <f t="shared" si="127"/>
        <v>1350</v>
      </c>
      <c r="J493" t="str">
        <f t="shared" si="121"/>
        <v>05</v>
      </c>
      <c r="K493" t="s">
        <v>68</v>
      </c>
      <c r="L493" t="s">
        <v>72</v>
      </c>
      <c r="M493" t="s">
        <v>68</v>
      </c>
      <c r="N493" t="s">
        <v>806</v>
      </c>
      <c r="O493" t="s">
        <v>807</v>
      </c>
      <c r="P493" t="str">
        <f>"3020619932"</f>
        <v>3020619932</v>
      </c>
      <c r="R493" t="str">
        <f>"00030206199321"</f>
        <v>00030206199321</v>
      </c>
      <c r="S493" s="1">
        <v>41618</v>
      </c>
      <c r="T493" s="1">
        <v>41618</v>
      </c>
      <c r="U493" t="str">
        <f>"3020619932"</f>
        <v>3020619932</v>
      </c>
      <c r="V493" t="str">
        <f t="shared" si="128"/>
        <v>1010</v>
      </c>
      <c r="W493" t="str">
        <f t="shared" si="125"/>
        <v>11</v>
      </c>
      <c r="X493" t="s">
        <v>75</v>
      </c>
      <c r="Y493" t="s">
        <v>173</v>
      </c>
      <c r="Z493" t="s">
        <v>77</v>
      </c>
      <c r="AA493" t="s">
        <v>78</v>
      </c>
      <c r="AB493" t="s">
        <v>79</v>
      </c>
      <c r="AD493" t="s">
        <v>80</v>
      </c>
      <c r="AE493" t="s">
        <v>81</v>
      </c>
      <c r="AF493" t="s">
        <v>82</v>
      </c>
      <c r="AG493" t="s">
        <v>83</v>
      </c>
      <c r="AH493" t="s">
        <v>84</v>
      </c>
      <c r="AJ493" t="str">
        <f t="shared" ref="AJ493:AJ500" si="129">"1"</f>
        <v>1</v>
      </c>
      <c r="AK493" t="s">
        <v>85</v>
      </c>
      <c r="AL493" t="s">
        <v>86</v>
      </c>
      <c r="AM493" t="s">
        <v>87</v>
      </c>
      <c r="AN493" t="str">
        <f t="shared" si="123"/>
        <v>.9700</v>
      </c>
      <c r="AO493" t="str">
        <f>"7.50"</f>
        <v>7.50</v>
      </c>
      <c r="AP493" t="s">
        <v>88</v>
      </c>
      <c r="AQ493" t="str">
        <f>"7.50"</f>
        <v>7.50</v>
      </c>
      <c r="AR493">
        <v>71</v>
      </c>
      <c r="AS493">
        <v>-32</v>
      </c>
      <c r="AT493">
        <v>39</v>
      </c>
      <c r="AU493">
        <v>528.5</v>
      </c>
      <c r="AV493">
        <v>47.25</v>
      </c>
      <c r="AW493">
        <v>481.25</v>
      </c>
      <c r="AX493">
        <v>-196.92</v>
      </c>
      <c r="AY493">
        <v>284.33</v>
      </c>
      <c r="AZ493">
        <v>0</v>
      </c>
    </row>
    <row r="494" spans="1:52">
      <c r="A494" t="s">
        <v>65</v>
      </c>
      <c r="B494" t="s">
        <v>66</v>
      </c>
      <c r="C494" t="s">
        <v>67</v>
      </c>
      <c r="D494" t="s">
        <v>68</v>
      </c>
      <c r="E494" t="s">
        <v>69</v>
      </c>
      <c r="F494" t="s">
        <v>70</v>
      </c>
      <c r="G494" t="s">
        <v>71</v>
      </c>
      <c r="H494" t="s">
        <v>70</v>
      </c>
      <c r="I494" t="str">
        <f t="shared" si="127"/>
        <v>1350</v>
      </c>
      <c r="J494" t="str">
        <f t="shared" si="121"/>
        <v>05</v>
      </c>
      <c r="K494" t="s">
        <v>68</v>
      </c>
      <c r="L494" t="s">
        <v>72</v>
      </c>
      <c r="M494" t="s">
        <v>68</v>
      </c>
      <c r="N494" t="s">
        <v>808</v>
      </c>
      <c r="O494" t="s">
        <v>809</v>
      </c>
      <c r="P494" t="str">
        <f>"3020619822"</f>
        <v>3020619822</v>
      </c>
      <c r="R494" t="str">
        <f>"00030206198225"</f>
        <v>00030206198225</v>
      </c>
      <c r="S494" s="1">
        <v>41576</v>
      </c>
      <c r="T494" s="1">
        <v>41576</v>
      </c>
      <c r="U494" t="str">
        <f>"3020619822"</f>
        <v>3020619822</v>
      </c>
      <c r="V494" t="str">
        <f t="shared" si="128"/>
        <v>1010</v>
      </c>
      <c r="W494" t="str">
        <f t="shared" si="125"/>
        <v>11</v>
      </c>
      <c r="X494" t="s">
        <v>75</v>
      </c>
      <c r="Y494" t="s">
        <v>173</v>
      </c>
      <c r="Z494" t="s">
        <v>77</v>
      </c>
      <c r="AA494" t="s">
        <v>78</v>
      </c>
      <c r="AB494" t="s">
        <v>79</v>
      </c>
      <c r="AD494" t="s">
        <v>80</v>
      </c>
      <c r="AE494" t="s">
        <v>81</v>
      </c>
      <c r="AF494" t="s">
        <v>82</v>
      </c>
      <c r="AG494" t="s">
        <v>83</v>
      </c>
      <c r="AH494" t="s">
        <v>84</v>
      </c>
      <c r="AJ494" t="str">
        <f t="shared" si="129"/>
        <v>1</v>
      </c>
      <c r="AK494" t="s">
        <v>98</v>
      </c>
      <c r="AL494" t="s">
        <v>86</v>
      </c>
      <c r="AM494" t="s">
        <v>95</v>
      </c>
      <c r="AN494" t="str">
        <f t="shared" si="123"/>
        <v>.9700</v>
      </c>
      <c r="AO494" t="str">
        <f>"8.00"</f>
        <v>8.00</v>
      </c>
      <c r="AP494" t="s">
        <v>99</v>
      </c>
      <c r="AQ494" t="str">
        <f>"8.00"</f>
        <v>8.00</v>
      </c>
      <c r="AR494">
        <v>17</v>
      </c>
      <c r="AS494">
        <v>-20</v>
      </c>
      <c r="AT494">
        <v>-3</v>
      </c>
      <c r="AU494">
        <v>136</v>
      </c>
      <c r="AV494">
        <v>13.6</v>
      </c>
      <c r="AW494">
        <v>122.4</v>
      </c>
      <c r="AX494">
        <v>-145.80000000000001</v>
      </c>
      <c r="AY494">
        <v>-23.4</v>
      </c>
      <c r="AZ494">
        <v>0</v>
      </c>
    </row>
    <row r="495" spans="1:52">
      <c r="A495" t="s">
        <v>65</v>
      </c>
      <c r="B495" t="s">
        <v>66</v>
      </c>
      <c r="C495" t="s">
        <v>67</v>
      </c>
      <c r="D495" t="s">
        <v>68</v>
      </c>
      <c r="E495" t="s">
        <v>69</v>
      </c>
      <c r="F495" t="s">
        <v>70</v>
      </c>
      <c r="G495" t="s">
        <v>71</v>
      </c>
      <c r="H495" t="s">
        <v>70</v>
      </c>
      <c r="I495" t="str">
        <f t="shared" si="127"/>
        <v>1350</v>
      </c>
      <c r="J495" t="str">
        <f t="shared" si="121"/>
        <v>05</v>
      </c>
      <c r="K495" t="s">
        <v>68</v>
      </c>
      <c r="L495" t="s">
        <v>72</v>
      </c>
      <c r="M495" t="s">
        <v>68</v>
      </c>
      <c r="N495" t="s">
        <v>810</v>
      </c>
      <c r="O495" t="s">
        <v>811</v>
      </c>
      <c r="P495" t="str">
        <f>"3020619882"</f>
        <v>3020619882</v>
      </c>
      <c r="R495" t="str">
        <f>"00030206198829"</f>
        <v>00030206198829</v>
      </c>
      <c r="S495" s="1">
        <v>41611</v>
      </c>
      <c r="T495" s="1">
        <v>41611</v>
      </c>
      <c r="U495" t="str">
        <f>"3020619882"</f>
        <v>3020619882</v>
      </c>
      <c r="V495" t="str">
        <f t="shared" si="128"/>
        <v>1010</v>
      </c>
      <c r="W495" t="str">
        <f t="shared" si="125"/>
        <v>11</v>
      </c>
      <c r="X495" t="s">
        <v>75</v>
      </c>
      <c r="Y495" t="s">
        <v>173</v>
      </c>
      <c r="Z495" t="s">
        <v>77</v>
      </c>
      <c r="AA495" t="s">
        <v>78</v>
      </c>
      <c r="AB495" t="s">
        <v>79</v>
      </c>
      <c r="AD495" t="s">
        <v>80</v>
      </c>
      <c r="AE495" t="s">
        <v>81</v>
      </c>
      <c r="AF495" t="s">
        <v>82</v>
      </c>
      <c r="AG495" t="s">
        <v>83</v>
      </c>
      <c r="AH495" t="s">
        <v>84</v>
      </c>
      <c r="AJ495" t="str">
        <f t="shared" si="129"/>
        <v>1</v>
      </c>
      <c r="AK495" t="s">
        <v>85</v>
      </c>
      <c r="AL495" t="s">
        <v>86</v>
      </c>
      <c r="AM495" t="s">
        <v>87</v>
      </c>
      <c r="AN495" t="str">
        <f t="shared" si="123"/>
        <v>.9700</v>
      </c>
      <c r="AO495" t="str">
        <f>"7.50"</f>
        <v>7.50</v>
      </c>
      <c r="AP495" t="s">
        <v>88</v>
      </c>
      <c r="AQ495" t="str">
        <f>"7.50"</f>
        <v>7.50</v>
      </c>
      <c r="AR495">
        <v>63</v>
      </c>
      <c r="AS495">
        <v>-6</v>
      </c>
      <c r="AT495">
        <v>57</v>
      </c>
      <c r="AU495">
        <v>471.5</v>
      </c>
      <c r="AV495">
        <v>45</v>
      </c>
      <c r="AW495">
        <v>426.5</v>
      </c>
      <c r="AX495">
        <v>-38.58</v>
      </c>
      <c r="AY495">
        <v>387.92</v>
      </c>
      <c r="AZ495">
        <v>0</v>
      </c>
    </row>
    <row r="496" spans="1:52">
      <c r="A496" t="s">
        <v>65</v>
      </c>
      <c r="B496" t="s">
        <v>66</v>
      </c>
      <c r="C496" t="s">
        <v>67</v>
      </c>
      <c r="D496" t="s">
        <v>68</v>
      </c>
      <c r="E496" t="s">
        <v>69</v>
      </c>
      <c r="F496" t="s">
        <v>70</v>
      </c>
      <c r="G496" t="s">
        <v>71</v>
      </c>
      <c r="H496" t="s">
        <v>70</v>
      </c>
      <c r="I496" t="str">
        <f t="shared" si="127"/>
        <v>1350</v>
      </c>
      <c r="J496" t="str">
        <f t="shared" si="121"/>
        <v>05</v>
      </c>
      <c r="K496" t="s">
        <v>68</v>
      </c>
      <c r="L496" t="s">
        <v>72</v>
      </c>
      <c r="M496" t="s">
        <v>68</v>
      </c>
      <c r="N496" t="s">
        <v>812</v>
      </c>
      <c r="O496" t="s">
        <v>813</v>
      </c>
      <c r="P496" t="str">
        <f>"3020619682"</f>
        <v>3020619682</v>
      </c>
      <c r="R496" t="str">
        <f>"00030206196825"</f>
        <v>00030206196825</v>
      </c>
      <c r="S496" s="1">
        <v>41520</v>
      </c>
      <c r="T496" s="1">
        <v>41520</v>
      </c>
      <c r="U496" t="str">
        <f>"3020619682"</f>
        <v>3020619682</v>
      </c>
      <c r="V496" t="str">
        <f t="shared" si="128"/>
        <v>1010</v>
      </c>
      <c r="W496" t="str">
        <f t="shared" si="125"/>
        <v>11</v>
      </c>
      <c r="X496" t="s">
        <v>75</v>
      </c>
      <c r="Y496" t="s">
        <v>173</v>
      </c>
      <c r="Z496" t="s">
        <v>77</v>
      </c>
      <c r="AA496" t="s">
        <v>78</v>
      </c>
      <c r="AB496" t="s">
        <v>79</v>
      </c>
      <c r="AD496" t="s">
        <v>80</v>
      </c>
      <c r="AE496" t="s">
        <v>81</v>
      </c>
      <c r="AF496" t="s">
        <v>82</v>
      </c>
      <c r="AG496" t="s">
        <v>83</v>
      </c>
      <c r="AH496" t="s">
        <v>84</v>
      </c>
      <c r="AJ496" t="str">
        <f t="shared" si="129"/>
        <v>1</v>
      </c>
      <c r="AK496" t="s">
        <v>98</v>
      </c>
      <c r="AL496" t="s">
        <v>143</v>
      </c>
      <c r="AM496" t="s">
        <v>95</v>
      </c>
      <c r="AN496" t="str">
        <f t="shared" si="123"/>
        <v>.9700</v>
      </c>
      <c r="AO496" t="str">
        <f>"8.00"</f>
        <v>8.00</v>
      </c>
      <c r="AP496" t="s">
        <v>99</v>
      </c>
      <c r="AQ496" t="str">
        <f>"8.00"</f>
        <v>8.00</v>
      </c>
      <c r="AR496">
        <v>15</v>
      </c>
      <c r="AS496">
        <v>-2</v>
      </c>
      <c r="AT496">
        <v>13</v>
      </c>
      <c r="AU496">
        <v>120</v>
      </c>
      <c r="AV496">
        <v>12</v>
      </c>
      <c r="AW496">
        <v>108</v>
      </c>
      <c r="AX496">
        <v>-13.09</v>
      </c>
      <c r="AY496">
        <v>94.91</v>
      </c>
      <c r="AZ496">
        <v>0</v>
      </c>
    </row>
    <row r="497" spans="1:52">
      <c r="A497" t="s">
        <v>65</v>
      </c>
      <c r="B497" t="s">
        <v>66</v>
      </c>
      <c r="C497" t="s">
        <v>67</v>
      </c>
      <c r="D497" t="s">
        <v>68</v>
      </c>
      <c r="E497" t="s">
        <v>69</v>
      </c>
      <c r="F497" t="s">
        <v>70</v>
      </c>
      <c r="G497" t="s">
        <v>71</v>
      </c>
      <c r="H497" t="s">
        <v>70</v>
      </c>
      <c r="I497" t="str">
        <f t="shared" si="127"/>
        <v>1350</v>
      </c>
      <c r="J497" t="str">
        <f t="shared" si="121"/>
        <v>05</v>
      </c>
      <c r="K497" t="s">
        <v>68</v>
      </c>
      <c r="L497" t="s">
        <v>72</v>
      </c>
      <c r="M497" t="s">
        <v>68</v>
      </c>
      <c r="N497" t="s">
        <v>814</v>
      </c>
      <c r="O497" t="s">
        <v>815</v>
      </c>
      <c r="P497" t="str">
        <f>"3020619992"</f>
        <v>3020619992</v>
      </c>
      <c r="R497" t="str">
        <f>"00030206199925"</f>
        <v>00030206199925</v>
      </c>
      <c r="S497" s="1">
        <v>41765</v>
      </c>
      <c r="T497" s="1">
        <v>41765</v>
      </c>
      <c r="U497" t="str">
        <f>"3020619992"</f>
        <v>3020619992</v>
      </c>
      <c r="V497" t="str">
        <f t="shared" si="128"/>
        <v>1010</v>
      </c>
      <c r="W497" t="str">
        <f t="shared" si="125"/>
        <v>11</v>
      </c>
      <c r="X497" t="s">
        <v>75</v>
      </c>
      <c r="Y497" t="s">
        <v>139</v>
      </c>
      <c r="Z497" t="s">
        <v>77</v>
      </c>
      <c r="AA497" t="s">
        <v>78</v>
      </c>
      <c r="AB497" t="s">
        <v>79</v>
      </c>
      <c r="AD497" t="s">
        <v>80</v>
      </c>
      <c r="AE497" t="s">
        <v>81</v>
      </c>
      <c r="AF497" t="s">
        <v>82</v>
      </c>
      <c r="AG497" t="s">
        <v>83</v>
      </c>
      <c r="AH497" t="s">
        <v>84</v>
      </c>
      <c r="AJ497" t="str">
        <f t="shared" si="129"/>
        <v>1</v>
      </c>
      <c r="AK497" t="s">
        <v>98</v>
      </c>
      <c r="AL497" t="s">
        <v>143</v>
      </c>
      <c r="AM497" t="s">
        <v>95</v>
      </c>
      <c r="AN497" t="str">
        <f t="shared" si="123"/>
        <v>.9700</v>
      </c>
      <c r="AO497" t="str">
        <f>"8.00"</f>
        <v>8.00</v>
      </c>
      <c r="AP497" t="s">
        <v>99</v>
      </c>
      <c r="AQ497" t="str">
        <f>"8.00"</f>
        <v>8.00</v>
      </c>
      <c r="AR497">
        <v>6</v>
      </c>
      <c r="AS497">
        <v>-4</v>
      </c>
      <c r="AT497">
        <v>2</v>
      </c>
      <c r="AU497">
        <v>46.5</v>
      </c>
      <c r="AV497">
        <v>0</v>
      </c>
      <c r="AW497">
        <v>46.5</v>
      </c>
      <c r="AX497">
        <v>-25.36</v>
      </c>
      <c r="AY497">
        <v>21.14</v>
      </c>
      <c r="AZ497">
        <v>0</v>
      </c>
    </row>
    <row r="498" spans="1:52">
      <c r="A498" t="s">
        <v>65</v>
      </c>
      <c r="B498" t="s">
        <v>66</v>
      </c>
      <c r="C498" t="s">
        <v>67</v>
      </c>
      <c r="D498" t="s">
        <v>68</v>
      </c>
      <c r="E498" t="s">
        <v>69</v>
      </c>
      <c r="F498" t="s">
        <v>70</v>
      </c>
      <c r="G498" t="s">
        <v>71</v>
      </c>
      <c r="H498" t="s">
        <v>70</v>
      </c>
      <c r="I498" t="str">
        <f t="shared" si="127"/>
        <v>1350</v>
      </c>
      <c r="J498" t="str">
        <f t="shared" si="121"/>
        <v>05</v>
      </c>
      <c r="K498" t="s">
        <v>68</v>
      </c>
      <c r="L498" t="s">
        <v>72</v>
      </c>
      <c r="M498" t="s">
        <v>68</v>
      </c>
      <c r="N498" t="s">
        <v>702</v>
      </c>
      <c r="O498" t="s">
        <v>816</v>
      </c>
      <c r="P498" t="str">
        <f>"3020619502"</f>
        <v>3020619502</v>
      </c>
      <c r="R498" t="str">
        <f>"00030206195026"</f>
        <v>00030206195026</v>
      </c>
      <c r="S498" s="1">
        <v>41359</v>
      </c>
      <c r="T498" s="1">
        <v>41359</v>
      </c>
      <c r="U498" t="str">
        <f>"3020619502"</f>
        <v>3020619502</v>
      </c>
      <c r="V498" t="str">
        <f t="shared" si="128"/>
        <v>1010</v>
      </c>
      <c r="W498" t="str">
        <f t="shared" si="125"/>
        <v>11</v>
      </c>
      <c r="X498" t="s">
        <v>75</v>
      </c>
      <c r="Y498" t="s">
        <v>173</v>
      </c>
      <c r="Z498" t="s">
        <v>77</v>
      </c>
      <c r="AA498" t="s">
        <v>78</v>
      </c>
      <c r="AB498" t="s">
        <v>79</v>
      </c>
      <c r="AD498" t="s">
        <v>80</v>
      </c>
      <c r="AE498" t="s">
        <v>81</v>
      </c>
      <c r="AF498" t="s">
        <v>82</v>
      </c>
      <c r="AG498" t="s">
        <v>83</v>
      </c>
      <c r="AH498" t="s">
        <v>84</v>
      </c>
      <c r="AJ498" t="str">
        <f t="shared" si="129"/>
        <v>1</v>
      </c>
      <c r="AK498" t="s">
        <v>114</v>
      </c>
      <c r="AL498" t="s">
        <v>86</v>
      </c>
      <c r="AM498" t="s">
        <v>87</v>
      </c>
      <c r="AN498" t="str">
        <f t="shared" si="123"/>
        <v>.9700</v>
      </c>
      <c r="AO498" t="str">
        <f>"7.00"</f>
        <v>7.00</v>
      </c>
      <c r="AP498" t="s">
        <v>115</v>
      </c>
      <c r="AQ498" t="str">
        <f>"7.00"</f>
        <v>7.00</v>
      </c>
      <c r="AR498">
        <v>0</v>
      </c>
      <c r="AS498">
        <v>-7</v>
      </c>
      <c r="AT498">
        <v>-7</v>
      </c>
      <c r="AU498">
        <v>0</v>
      </c>
      <c r="AV498">
        <v>0</v>
      </c>
      <c r="AW498">
        <v>0</v>
      </c>
      <c r="AX498">
        <v>-41.48</v>
      </c>
      <c r="AY498">
        <v>-41.48</v>
      </c>
      <c r="AZ498">
        <v>0</v>
      </c>
    </row>
    <row r="499" spans="1:52">
      <c r="A499" t="s">
        <v>65</v>
      </c>
      <c r="B499" t="s">
        <v>66</v>
      </c>
      <c r="C499" t="s">
        <v>67</v>
      </c>
      <c r="D499" t="s">
        <v>68</v>
      </c>
      <c r="E499" t="s">
        <v>69</v>
      </c>
      <c r="F499" t="s">
        <v>70</v>
      </c>
      <c r="G499" t="s">
        <v>71</v>
      </c>
      <c r="H499" t="s">
        <v>70</v>
      </c>
      <c r="I499" t="str">
        <f t="shared" si="127"/>
        <v>1350</v>
      </c>
      <c r="J499" t="str">
        <f t="shared" si="121"/>
        <v>05</v>
      </c>
      <c r="K499" t="s">
        <v>68</v>
      </c>
      <c r="L499" t="s">
        <v>72</v>
      </c>
      <c r="M499" t="s">
        <v>68</v>
      </c>
      <c r="N499" t="s">
        <v>702</v>
      </c>
      <c r="O499" t="s">
        <v>817</v>
      </c>
      <c r="P499" t="str">
        <f>"3020619692"</f>
        <v>3020619692</v>
      </c>
      <c r="R499" t="str">
        <f>"00030206196924"</f>
        <v>00030206196924</v>
      </c>
      <c r="S499" s="1">
        <v>41527</v>
      </c>
      <c r="T499" s="1">
        <v>41520</v>
      </c>
      <c r="U499" t="str">
        <f>"3020619692"</f>
        <v>3020619692</v>
      </c>
      <c r="V499" t="str">
        <f t="shared" si="128"/>
        <v>1010</v>
      </c>
      <c r="W499" t="str">
        <f t="shared" si="125"/>
        <v>11</v>
      </c>
      <c r="X499" t="s">
        <v>75</v>
      </c>
      <c r="Y499" t="s">
        <v>173</v>
      </c>
      <c r="Z499" t="s">
        <v>77</v>
      </c>
      <c r="AA499" t="s">
        <v>78</v>
      </c>
      <c r="AB499" t="s">
        <v>79</v>
      </c>
      <c r="AD499" t="s">
        <v>80</v>
      </c>
      <c r="AE499" t="s">
        <v>81</v>
      </c>
      <c r="AF499" t="s">
        <v>82</v>
      </c>
      <c r="AG499" t="s">
        <v>83</v>
      </c>
      <c r="AH499" t="s">
        <v>84</v>
      </c>
      <c r="AJ499" t="str">
        <f t="shared" si="129"/>
        <v>1</v>
      </c>
      <c r="AK499" t="s">
        <v>114</v>
      </c>
      <c r="AL499" t="s">
        <v>86</v>
      </c>
      <c r="AM499" t="s">
        <v>87</v>
      </c>
      <c r="AN499" t="str">
        <f t="shared" si="123"/>
        <v>.9700</v>
      </c>
      <c r="AO499" t="str">
        <f>"7.00"</f>
        <v>7.00</v>
      </c>
      <c r="AP499" t="s">
        <v>115</v>
      </c>
      <c r="AQ499" t="str">
        <f>"7.00"</f>
        <v>7.00</v>
      </c>
      <c r="AR499">
        <v>16</v>
      </c>
      <c r="AS499">
        <v>0</v>
      </c>
      <c r="AT499">
        <v>16</v>
      </c>
      <c r="AU499">
        <v>109.5</v>
      </c>
      <c r="AV499">
        <v>0</v>
      </c>
      <c r="AW499">
        <v>109.5</v>
      </c>
      <c r="AX499">
        <v>0</v>
      </c>
      <c r="AY499">
        <v>109.5</v>
      </c>
      <c r="AZ499">
        <v>0</v>
      </c>
    </row>
    <row r="500" spans="1:52">
      <c r="A500" t="s">
        <v>65</v>
      </c>
      <c r="B500" t="s">
        <v>66</v>
      </c>
      <c r="C500" t="s">
        <v>67</v>
      </c>
      <c r="D500" t="s">
        <v>68</v>
      </c>
      <c r="E500" t="s">
        <v>69</v>
      </c>
      <c r="F500" t="s">
        <v>70</v>
      </c>
      <c r="G500" t="s">
        <v>71</v>
      </c>
      <c r="H500" t="s">
        <v>70</v>
      </c>
      <c r="I500" t="str">
        <f t="shared" si="127"/>
        <v>1350</v>
      </c>
      <c r="J500" t="str">
        <f t="shared" si="121"/>
        <v>05</v>
      </c>
      <c r="K500" t="s">
        <v>68</v>
      </c>
      <c r="L500" t="s">
        <v>72</v>
      </c>
      <c r="M500" t="s">
        <v>68</v>
      </c>
      <c r="N500" t="s">
        <v>702</v>
      </c>
      <c r="O500" t="s">
        <v>818</v>
      </c>
      <c r="P500" t="str">
        <f>"3020620052"</f>
        <v>3020620052</v>
      </c>
      <c r="R500" t="str">
        <f>"00030206200522"</f>
        <v>00030206200522</v>
      </c>
      <c r="S500" s="1">
        <v>41793</v>
      </c>
      <c r="T500" s="1">
        <v>41793</v>
      </c>
      <c r="U500" t="str">
        <f>"3020620052"</f>
        <v>3020620052</v>
      </c>
      <c r="V500" t="str">
        <f t="shared" si="128"/>
        <v>1010</v>
      </c>
      <c r="W500" t="str">
        <f t="shared" si="125"/>
        <v>11</v>
      </c>
      <c r="X500" t="s">
        <v>75</v>
      </c>
      <c r="Y500" t="s">
        <v>139</v>
      </c>
      <c r="Z500" t="s">
        <v>77</v>
      </c>
      <c r="AA500" t="s">
        <v>78</v>
      </c>
      <c r="AB500" t="s">
        <v>79</v>
      </c>
      <c r="AD500" t="s">
        <v>80</v>
      </c>
      <c r="AE500" t="s">
        <v>81</v>
      </c>
      <c r="AF500" t="s">
        <v>82</v>
      </c>
      <c r="AG500" t="s">
        <v>83</v>
      </c>
      <c r="AH500" t="s">
        <v>84</v>
      </c>
      <c r="AI500" t="str">
        <f>"01"</f>
        <v>01</v>
      </c>
      <c r="AJ500" t="str">
        <f t="shared" si="129"/>
        <v>1</v>
      </c>
      <c r="AK500" t="s">
        <v>114</v>
      </c>
      <c r="AL500" t="s">
        <v>86</v>
      </c>
      <c r="AM500" t="s">
        <v>87</v>
      </c>
      <c r="AN500" t="str">
        <f t="shared" si="123"/>
        <v>.9700</v>
      </c>
      <c r="AO500" t="str">
        <f>"7.00"</f>
        <v>7.00</v>
      </c>
      <c r="AP500" t="s">
        <v>115</v>
      </c>
      <c r="AQ500" t="str">
        <f>"7.00"</f>
        <v>7.00</v>
      </c>
      <c r="AR500">
        <v>32</v>
      </c>
      <c r="AS500">
        <v>0</v>
      </c>
      <c r="AT500">
        <v>32</v>
      </c>
      <c r="AU500">
        <v>223.5</v>
      </c>
      <c r="AV500">
        <v>27.3</v>
      </c>
      <c r="AW500">
        <v>196.2</v>
      </c>
      <c r="AX500">
        <v>0</v>
      </c>
      <c r="AY500">
        <v>196.2</v>
      </c>
      <c r="AZ500">
        <v>0</v>
      </c>
    </row>
    <row r="501" spans="1:52">
      <c r="A501" t="s">
        <v>65</v>
      </c>
      <c r="B501" t="s">
        <v>66</v>
      </c>
      <c r="C501" t="s">
        <v>67</v>
      </c>
      <c r="D501" t="s">
        <v>68</v>
      </c>
      <c r="E501" t="s">
        <v>69</v>
      </c>
      <c r="F501" t="s">
        <v>70</v>
      </c>
      <c r="G501" t="s">
        <v>71</v>
      </c>
      <c r="H501" t="s">
        <v>70</v>
      </c>
      <c r="I501" t="str">
        <f t="shared" si="127"/>
        <v>1350</v>
      </c>
      <c r="J501" t="str">
        <f t="shared" si="121"/>
        <v>05</v>
      </c>
      <c r="K501" t="s">
        <v>68</v>
      </c>
      <c r="L501" t="s">
        <v>72</v>
      </c>
      <c r="M501" t="s">
        <v>68</v>
      </c>
      <c r="N501" t="s">
        <v>702</v>
      </c>
      <c r="O501" t="s">
        <v>819</v>
      </c>
      <c r="P501" t="str">
        <f>"3020619342"</f>
        <v>3020619342</v>
      </c>
      <c r="R501" t="str">
        <f>"00030206193428"</f>
        <v>00030206193428</v>
      </c>
      <c r="S501" s="1">
        <v>41184</v>
      </c>
      <c r="T501" s="1">
        <v>41170</v>
      </c>
      <c r="U501" t="str">
        <f>"3020619342"</f>
        <v>3020619342</v>
      </c>
      <c r="V501" t="str">
        <f t="shared" si="128"/>
        <v>1010</v>
      </c>
      <c r="W501" t="str">
        <f t="shared" si="125"/>
        <v>11</v>
      </c>
      <c r="X501" t="s">
        <v>75</v>
      </c>
      <c r="Y501" t="s">
        <v>76</v>
      </c>
      <c r="Z501" t="s">
        <v>105</v>
      </c>
      <c r="AA501" t="s">
        <v>106</v>
      </c>
      <c r="AB501" t="s">
        <v>79</v>
      </c>
      <c r="AD501" t="s">
        <v>80</v>
      </c>
      <c r="AE501" t="s">
        <v>81</v>
      </c>
      <c r="AF501" t="s">
        <v>82</v>
      </c>
      <c r="AG501" t="s">
        <v>83</v>
      </c>
      <c r="AH501" t="s">
        <v>84</v>
      </c>
      <c r="AI501" t="str">
        <f>"02"</f>
        <v>02</v>
      </c>
      <c r="AJ501" t="str">
        <f>"2"</f>
        <v>2</v>
      </c>
      <c r="AK501" t="s">
        <v>135</v>
      </c>
      <c r="AL501" t="s">
        <v>94</v>
      </c>
      <c r="AM501" t="s">
        <v>95</v>
      </c>
      <c r="AN501" t="str">
        <f>"1.9400"</f>
        <v>1.9400</v>
      </c>
      <c r="AO501" t="str">
        <f>"12.02"</f>
        <v>12.02</v>
      </c>
      <c r="AP501" t="s">
        <v>136</v>
      </c>
      <c r="AQ501" t="str">
        <f>"12.02"</f>
        <v>12.02</v>
      </c>
      <c r="AR501">
        <v>4</v>
      </c>
      <c r="AS501">
        <v>0</v>
      </c>
      <c r="AT501">
        <v>4</v>
      </c>
      <c r="AU501">
        <v>48.09</v>
      </c>
      <c r="AV501">
        <v>4.8099999999999996</v>
      </c>
      <c r="AW501">
        <v>43.28</v>
      </c>
      <c r="AX501">
        <v>0</v>
      </c>
      <c r="AY501">
        <v>43.28</v>
      </c>
      <c r="AZ501">
        <v>0</v>
      </c>
    </row>
    <row r="502" spans="1:52">
      <c r="A502" t="s">
        <v>65</v>
      </c>
      <c r="B502" t="s">
        <v>66</v>
      </c>
      <c r="C502" t="s">
        <v>67</v>
      </c>
      <c r="D502" t="s">
        <v>68</v>
      </c>
      <c r="E502" t="s">
        <v>69</v>
      </c>
      <c r="F502" t="s">
        <v>70</v>
      </c>
      <c r="G502" t="s">
        <v>71</v>
      </c>
      <c r="H502" t="s">
        <v>70</v>
      </c>
      <c r="I502" t="str">
        <f t="shared" si="127"/>
        <v>1350</v>
      </c>
      <c r="J502" t="str">
        <f t="shared" si="121"/>
        <v>05</v>
      </c>
      <c r="K502" t="s">
        <v>68</v>
      </c>
      <c r="L502" t="s">
        <v>72</v>
      </c>
      <c r="M502" t="s">
        <v>68</v>
      </c>
      <c r="N502" t="s">
        <v>702</v>
      </c>
      <c r="O502" t="s">
        <v>820</v>
      </c>
      <c r="P502" t="str">
        <f>"3020619972"</f>
        <v>3020619972</v>
      </c>
      <c r="R502" t="str">
        <f>"00030206199727"</f>
        <v>00030206199727</v>
      </c>
      <c r="S502" s="1">
        <v>41744</v>
      </c>
      <c r="T502" s="1">
        <v>41737</v>
      </c>
      <c r="U502" t="str">
        <f>"3020619972"</f>
        <v>3020619972</v>
      </c>
      <c r="V502" t="str">
        <f t="shared" si="128"/>
        <v>1010</v>
      </c>
      <c r="W502" t="str">
        <f t="shared" si="125"/>
        <v>11</v>
      </c>
      <c r="X502" t="s">
        <v>75</v>
      </c>
      <c r="Y502" t="s">
        <v>139</v>
      </c>
      <c r="Z502" t="s">
        <v>77</v>
      </c>
      <c r="AA502" t="s">
        <v>78</v>
      </c>
      <c r="AB502" t="s">
        <v>79</v>
      </c>
      <c r="AD502" t="s">
        <v>80</v>
      </c>
      <c r="AE502" t="s">
        <v>81</v>
      </c>
      <c r="AF502" t="s">
        <v>82</v>
      </c>
      <c r="AG502" t="s">
        <v>83</v>
      </c>
      <c r="AH502" t="s">
        <v>84</v>
      </c>
      <c r="AJ502" t="str">
        <f>"2"</f>
        <v>2</v>
      </c>
      <c r="AK502" t="s">
        <v>93</v>
      </c>
      <c r="AL502" t="s">
        <v>143</v>
      </c>
      <c r="AM502" t="s">
        <v>95</v>
      </c>
      <c r="AN502" t="str">
        <f>".9700"</f>
        <v>.9700</v>
      </c>
      <c r="AO502" t="str">
        <f>"11.41"</f>
        <v>11.41</v>
      </c>
      <c r="AP502" t="s">
        <v>96</v>
      </c>
      <c r="AQ502" t="str">
        <f>"11.41"</f>
        <v>11.41</v>
      </c>
      <c r="AR502">
        <v>3</v>
      </c>
      <c r="AS502">
        <v>-13</v>
      </c>
      <c r="AT502">
        <v>-10</v>
      </c>
      <c r="AU502">
        <v>31.32</v>
      </c>
      <c r="AV502">
        <v>0</v>
      </c>
      <c r="AW502">
        <v>31.32</v>
      </c>
      <c r="AX502">
        <v>-121.55</v>
      </c>
      <c r="AY502">
        <v>-90.23</v>
      </c>
      <c r="AZ502">
        <v>0</v>
      </c>
    </row>
    <row r="503" spans="1:52">
      <c r="A503" t="s">
        <v>65</v>
      </c>
      <c r="B503" t="s">
        <v>66</v>
      </c>
      <c r="C503" t="s">
        <v>67</v>
      </c>
      <c r="D503" t="s">
        <v>68</v>
      </c>
      <c r="E503" t="s">
        <v>69</v>
      </c>
      <c r="F503" t="s">
        <v>70</v>
      </c>
      <c r="G503" t="s">
        <v>71</v>
      </c>
      <c r="H503" t="s">
        <v>70</v>
      </c>
      <c r="I503" t="str">
        <f t="shared" si="127"/>
        <v>1350</v>
      </c>
      <c r="J503" t="str">
        <f t="shared" si="121"/>
        <v>05</v>
      </c>
      <c r="K503" t="s">
        <v>68</v>
      </c>
      <c r="L503" t="s">
        <v>72</v>
      </c>
      <c r="M503" t="s">
        <v>68</v>
      </c>
      <c r="N503" t="s">
        <v>702</v>
      </c>
      <c r="O503" t="s">
        <v>821</v>
      </c>
      <c r="P503" t="str">
        <f>"3020619642"</f>
        <v>3020619642</v>
      </c>
      <c r="R503" t="str">
        <f>"00030206196429"</f>
        <v>00030206196429</v>
      </c>
      <c r="S503" s="1">
        <v>41492</v>
      </c>
      <c r="T503" s="1">
        <v>41492</v>
      </c>
      <c r="U503" t="str">
        <f>"3020619642"</f>
        <v>3020619642</v>
      </c>
      <c r="V503" t="str">
        <f t="shared" si="128"/>
        <v>1010</v>
      </c>
      <c r="W503" t="str">
        <f t="shared" si="125"/>
        <v>11</v>
      </c>
      <c r="X503" t="s">
        <v>75</v>
      </c>
      <c r="Y503" t="s">
        <v>173</v>
      </c>
      <c r="Z503" t="s">
        <v>77</v>
      </c>
      <c r="AA503" t="s">
        <v>78</v>
      </c>
      <c r="AB503" t="s">
        <v>79</v>
      </c>
      <c r="AD503" t="s">
        <v>80</v>
      </c>
      <c r="AE503" t="s">
        <v>81</v>
      </c>
      <c r="AF503" t="s">
        <v>82</v>
      </c>
      <c r="AG503" t="s">
        <v>83</v>
      </c>
      <c r="AH503" t="s">
        <v>84</v>
      </c>
      <c r="AJ503" t="str">
        <f>"1"</f>
        <v>1</v>
      </c>
      <c r="AK503" t="s">
        <v>85</v>
      </c>
      <c r="AL503" t="s">
        <v>143</v>
      </c>
      <c r="AM503" t="s">
        <v>87</v>
      </c>
      <c r="AN503" t="str">
        <f>".9700"</f>
        <v>.9700</v>
      </c>
      <c r="AO503" t="str">
        <f>"7.50"</f>
        <v>7.50</v>
      </c>
      <c r="AP503" t="s">
        <v>88</v>
      </c>
      <c r="AQ503" t="str">
        <f>"7.50"</f>
        <v>7.50</v>
      </c>
      <c r="AR503">
        <v>31</v>
      </c>
      <c r="AS503">
        <v>-1</v>
      </c>
      <c r="AT503">
        <v>30</v>
      </c>
      <c r="AU503">
        <v>232.5</v>
      </c>
      <c r="AV503">
        <v>22.5</v>
      </c>
      <c r="AW503">
        <v>210</v>
      </c>
      <c r="AX503">
        <v>-6.31</v>
      </c>
      <c r="AY503">
        <v>203.69</v>
      </c>
      <c r="AZ503">
        <v>0</v>
      </c>
    </row>
    <row r="504" spans="1:52">
      <c r="A504" t="s">
        <v>65</v>
      </c>
      <c r="B504" t="s">
        <v>66</v>
      </c>
      <c r="C504" t="s">
        <v>67</v>
      </c>
      <c r="D504" t="s">
        <v>68</v>
      </c>
      <c r="E504" t="s">
        <v>69</v>
      </c>
      <c r="F504" t="s">
        <v>70</v>
      </c>
      <c r="G504" t="s">
        <v>71</v>
      </c>
      <c r="H504" t="s">
        <v>70</v>
      </c>
      <c r="I504" t="str">
        <f t="shared" si="127"/>
        <v>1350</v>
      </c>
      <c r="J504" t="str">
        <f t="shared" si="121"/>
        <v>05</v>
      </c>
      <c r="K504" t="s">
        <v>68</v>
      </c>
      <c r="L504" t="s">
        <v>72</v>
      </c>
      <c r="M504" t="s">
        <v>68</v>
      </c>
      <c r="N504" t="s">
        <v>702</v>
      </c>
      <c r="O504" t="s">
        <v>822</v>
      </c>
      <c r="P504" t="str">
        <f>"3020620072"</f>
        <v>3020620072</v>
      </c>
      <c r="R504" t="str">
        <f>"00030206200720"</f>
        <v>00030206200720</v>
      </c>
      <c r="S504" s="1">
        <v>41807</v>
      </c>
      <c r="T504" s="1">
        <v>41807</v>
      </c>
      <c r="U504" t="str">
        <f>"3020620072"</f>
        <v>3020620072</v>
      </c>
      <c r="V504" t="str">
        <f t="shared" si="128"/>
        <v>1010</v>
      </c>
      <c r="W504" t="str">
        <f t="shared" si="125"/>
        <v>11</v>
      </c>
      <c r="X504" t="s">
        <v>75</v>
      </c>
      <c r="Y504" t="s">
        <v>139</v>
      </c>
      <c r="Z504" t="s">
        <v>77</v>
      </c>
      <c r="AA504" t="s">
        <v>78</v>
      </c>
      <c r="AB504" t="s">
        <v>79</v>
      </c>
      <c r="AD504" t="s">
        <v>80</v>
      </c>
      <c r="AE504" t="s">
        <v>81</v>
      </c>
      <c r="AF504" t="s">
        <v>82</v>
      </c>
      <c r="AG504" t="s">
        <v>83</v>
      </c>
      <c r="AH504" t="s">
        <v>84</v>
      </c>
      <c r="AJ504" t="str">
        <f>"2"</f>
        <v>2</v>
      </c>
      <c r="AK504" t="s">
        <v>135</v>
      </c>
      <c r="AL504" t="s">
        <v>94</v>
      </c>
      <c r="AM504" t="s">
        <v>95</v>
      </c>
      <c r="AN504" t="str">
        <f>"1.9400"</f>
        <v>1.9400</v>
      </c>
      <c r="AO504" t="str">
        <f>"12.02"</f>
        <v>12.02</v>
      </c>
      <c r="AP504" t="s">
        <v>136</v>
      </c>
      <c r="AQ504" t="str">
        <f>"12.02"</f>
        <v>12.02</v>
      </c>
      <c r="AR504">
        <v>17</v>
      </c>
      <c r="AS504">
        <v>0</v>
      </c>
      <c r="AT504">
        <v>17</v>
      </c>
      <c r="AU504">
        <v>204.35</v>
      </c>
      <c r="AV504">
        <v>18.010000000000002</v>
      </c>
      <c r="AW504">
        <v>186.34</v>
      </c>
      <c r="AX504">
        <v>0</v>
      </c>
      <c r="AY504">
        <v>186.34</v>
      </c>
      <c r="AZ504">
        <v>0</v>
      </c>
    </row>
    <row r="505" spans="1:52">
      <c r="A505" t="s">
        <v>65</v>
      </c>
      <c r="B505" t="s">
        <v>66</v>
      </c>
      <c r="C505" t="s">
        <v>67</v>
      </c>
      <c r="D505" t="s">
        <v>68</v>
      </c>
      <c r="E505" t="s">
        <v>69</v>
      </c>
      <c r="F505" t="s">
        <v>70</v>
      </c>
      <c r="G505" t="s">
        <v>71</v>
      </c>
      <c r="H505" t="s">
        <v>70</v>
      </c>
      <c r="I505" t="str">
        <f t="shared" si="127"/>
        <v>1350</v>
      </c>
      <c r="J505" t="str">
        <f t="shared" si="121"/>
        <v>05</v>
      </c>
      <c r="K505" t="s">
        <v>68</v>
      </c>
      <c r="L505" t="s">
        <v>72</v>
      </c>
      <c r="M505" t="s">
        <v>68</v>
      </c>
      <c r="N505" t="s">
        <v>702</v>
      </c>
      <c r="O505" t="s">
        <v>822</v>
      </c>
      <c r="P505" t="str">
        <f>"3020620072"</f>
        <v>3020620072</v>
      </c>
      <c r="R505" t="str">
        <f>"00030206200720"</f>
        <v>00030206200720</v>
      </c>
      <c r="S505" s="1">
        <v>41807</v>
      </c>
      <c r="T505" s="1">
        <v>41807</v>
      </c>
      <c r="U505" t="str">
        <f>"3020620072"</f>
        <v>3020620072</v>
      </c>
      <c r="V505" t="str">
        <f t="shared" si="128"/>
        <v>1010</v>
      </c>
      <c r="W505" t="str">
        <f t="shared" si="125"/>
        <v>11</v>
      </c>
      <c r="X505" t="s">
        <v>80</v>
      </c>
      <c r="Y505" t="s">
        <v>139</v>
      </c>
      <c r="Z505" t="s">
        <v>77</v>
      </c>
      <c r="AA505" t="s">
        <v>78</v>
      </c>
      <c r="AB505" t="s">
        <v>79</v>
      </c>
      <c r="AD505" t="s">
        <v>80</v>
      </c>
      <c r="AE505" t="s">
        <v>81</v>
      </c>
      <c r="AF505" t="s">
        <v>82</v>
      </c>
      <c r="AG505" t="s">
        <v>83</v>
      </c>
      <c r="AH505" t="s">
        <v>84</v>
      </c>
      <c r="AJ505" t="str">
        <f>"2"</f>
        <v>2</v>
      </c>
      <c r="AK505" t="s">
        <v>135</v>
      </c>
      <c r="AL505" t="s">
        <v>94</v>
      </c>
      <c r="AM505" t="s">
        <v>95</v>
      </c>
      <c r="AN505" t="str">
        <f>"1.9400"</f>
        <v>1.9400</v>
      </c>
      <c r="AO505" t="str">
        <f>"12.02"</f>
        <v>12.02</v>
      </c>
      <c r="AP505" t="s">
        <v>136</v>
      </c>
      <c r="AQ505" t="str">
        <f>"12.02"</f>
        <v>12.02</v>
      </c>
      <c r="AR505">
        <v>205</v>
      </c>
      <c r="AS505">
        <v>0</v>
      </c>
      <c r="AT505">
        <v>205</v>
      </c>
      <c r="AU505">
        <v>2464.63</v>
      </c>
      <c r="AV505">
        <v>369.53</v>
      </c>
      <c r="AW505">
        <v>2095.1</v>
      </c>
      <c r="AX505">
        <v>0</v>
      </c>
      <c r="AY505">
        <v>2095.1</v>
      </c>
      <c r="AZ505">
        <v>0</v>
      </c>
    </row>
    <row r="506" spans="1:52">
      <c r="A506" t="s">
        <v>65</v>
      </c>
      <c r="B506" t="s">
        <v>66</v>
      </c>
      <c r="C506" t="s">
        <v>67</v>
      </c>
      <c r="D506" t="s">
        <v>68</v>
      </c>
      <c r="E506" t="s">
        <v>69</v>
      </c>
      <c r="F506" t="s">
        <v>70</v>
      </c>
      <c r="G506" t="s">
        <v>71</v>
      </c>
      <c r="H506" t="s">
        <v>70</v>
      </c>
      <c r="I506" t="str">
        <f t="shared" si="127"/>
        <v>1350</v>
      </c>
      <c r="J506" t="str">
        <f t="shared" si="121"/>
        <v>05</v>
      </c>
      <c r="K506" t="s">
        <v>68</v>
      </c>
      <c r="L506" t="s">
        <v>72</v>
      </c>
      <c r="M506" t="s">
        <v>68</v>
      </c>
      <c r="N506" t="s">
        <v>823</v>
      </c>
      <c r="O506" t="s">
        <v>824</v>
      </c>
      <c r="P506" t="str">
        <f>"3020619982"</f>
        <v>3020619982</v>
      </c>
      <c r="R506" t="str">
        <f>"00030206199826"</f>
        <v>00030206199826</v>
      </c>
      <c r="S506" s="1">
        <v>41744</v>
      </c>
      <c r="T506" s="1">
        <v>41737</v>
      </c>
      <c r="U506" t="str">
        <f>"3020619982"</f>
        <v>3020619982</v>
      </c>
      <c r="V506" t="str">
        <f t="shared" si="128"/>
        <v>1010</v>
      </c>
      <c r="W506" t="str">
        <f t="shared" si="125"/>
        <v>11</v>
      </c>
      <c r="X506" t="s">
        <v>75</v>
      </c>
      <c r="Y506" t="s">
        <v>139</v>
      </c>
      <c r="Z506" t="s">
        <v>77</v>
      </c>
      <c r="AA506" t="s">
        <v>78</v>
      </c>
      <c r="AB506" t="s">
        <v>79</v>
      </c>
      <c r="AD506" t="s">
        <v>80</v>
      </c>
      <c r="AE506" t="s">
        <v>81</v>
      </c>
      <c r="AF506" t="s">
        <v>82</v>
      </c>
      <c r="AG506" t="s">
        <v>83</v>
      </c>
      <c r="AH506" t="s">
        <v>84</v>
      </c>
      <c r="AJ506" t="str">
        <f t="shared" ref="AJ506:AJ522" si="130">"1"</f>
        <v>1</v>
      </c>
      <c r="AK506" t="s">
        <v>98</v>
      </c>
      <c r="AL506" t="s">
        <v>86</v>
      </c>
      <c r="AM506" t="s">
        <v>95</v>
      </c>
      <c r="AN506" t="str">
        <f t="shared" ref="AN506:AN569" si="131">".9700"</f>
        <v>.9700</v>
      </c>
      <c r="AO506" t="str">
        <f>"8.00"</f>
        <v>8.00</v>
      </c>
      <c r="AP506" t="s">
        <v>99</v>
      </c>
      <c r="AQ506" t="str">
        <f>"8.00"</f>
        <v>8.00</v>
      </c>
      <c r="AR506">
        <v>8</v>
      </c>
      <c r="AS506">
        <v>-31</v>
      </c>
      <c r="AT506">
        <v>-23</v>
      </c>
      <c r="AU506">
        <v>64</v>
      </c>
      <c r="AV506">
        <v>0</v>
      </c>
      <c r="AW506">
        <v>64</v>
      </c>
      <c r="AX506">
        <v>-199.95</v>
      </c>
      <c r="AY506">
        <v>-135.94999999999999</v>
      </c>
      <c r="AZ506">
        <v>0</v>
      </c>
    </row>
    <row r="507" spans="1:52">
      <c r="A507" t="s">
        <v>65</v>
      </c>
      <c r="B507" t="s">
        <v>66</v>
      </c>
      <c r="C507" t="s">
        <v>67</v>
      </c>
      <c r="D507" t="s">
        <v>68</v>
      </c>
      <c r="E507" t="s">
        <v>69</v>
      </c>
      <c r="F507" t="s">
        <v>70</v>
      </c>
      <c r="G507" t="s">
        <v>71</v>
      </c>
      <c r="H507" t="s">
        <v>70</v>
      </c>
      <c r="I507" t="str">
        <f>"1360"</f>
        <v>1360</v>
      </c>
      <c r="J507" t="str">
        <f t="shared" si="121"/>
        <v>05</v>
      </c>
      <c r="K507" t="s">
        <v>68</v>
      </c>
      <c r="L507" t="s">
        <v>72</v>
      </c>
      <c r="M507" t="s">
        <v>68</v>
      </c>
      <c r="N507" t="s">
        <v>825</v>
      </c>
      <c r="O507" t="s">
        <v>826</v>
      </c>
      <c r="P507" t="str">
        <f>"3020671812"</f>
        <v>3020671812</v>
      </c>
      <c r="R507" t="str">
        <f>"00030206718126"</f>
        <v>00030206718126</v>
      </c>
      <c r="S507" s="1">
        <v>41373</v>
      </c>
      <c r="T507" s="1">
        <v>41366</v>
      </c>
      <c r="U507" t="str">
        <f>"3020671812"</f>
        <v>3020671812</v>
      </c>
      <c r="V507" t="str">
        <f t="shared" si="128"/>
        <v>1010</v>
      </c>
      <c r="W507" t="str">
        <f t="shared" si="125"/>
        <v>11</v>
      </c>
      <c r="X507" t="s">
        <v>75</v>
      </c>
      <c r="Y507" t="s">
        <v>173</v>
      </c>
      <c r="Z507" t="s">
        <v>105</v>
      </c>
      <c r="AA507" t="s">
        <v>106</v>
      </c>
      <c r="AB507" t="s">
        <v>79</v>
      </c>
      <c r="AD507" t="s">
        <v>80</v>
      </c>
      <c r="AE507" t="s">
        <v>81</v>
      </c>
      <c r="AF507" t="s">
        <v>82</v>
      </c>
      <c r="AG507" t="s">
        <v>83</v>
      </c>
      <c r="AH507" t="s">
        <v>84</v>
      </c>
      <c r="AJ507" t="str">
        <f t="shared" si="130"/>
        <v>1</v>
      </c>
      <c r="AK507" t="s">
        <v>101</v>
      </c>
      <c r="AL507" t="s">
        <v>143</v>
      </c>
      <c r="AM507" t="s">
        <v>95</v>
      </c>
      <c r="AN507" t="str">
        <f t="shared" si="131"/>
        <v>.9700</v>
      </c>
      <c r="AO507" t="str">
        <f>"9.07"</f>
        <v>9.07</v>
      </c>
      <c r="AP507" t="s">
        <v>102</v>
      </c>
      <c r="AQ507" t="str">
        <f>"9.07"</f>
        <v>9.07</v>
      </c>
      <c r="AR507">
        <v>0</v>
      </c>
      <c r="AS507">
        <v>-3</v>
      </c>
      <c r="AT507">
        <v>-3</v>
      </c>
      <c r="AU507">
        <v>0</v>
      </c>
      <c r="AV507">
        <v>0</v>
      </c>
      <c r="AW507">
        <v>0</v>
      </c>
      <c r="AX507">
        <v>-25.32</v>
      </c>
      <c r="AY507">
        <v>-25.32</v>
      </c>
      <c r="AZ507">
        <v>0</v>
      </c>
    </row>
    <row r="508" spans="1:52">
      <c r="A508" t="s">
        <v>65</v>
      </c>
      <c r="B508" t="s">
        <v>66</v>
      </c>
      <c r="C508" t="s">
        <v>67</v>
      </c>
      <c r="D508" t="s">
        <v>68</v>
      </c>
      <c r="E508" t="s">
        <v>69</v>
      </c>
      <c r="F508" t="s">
        <v>70</v>
      </c>
      <c r="G508" t="s">
        <v>71</v>
      </c>
      <c r="H508" t="s">
        <v>70</v>
      </c>
      <c r="I508" t="str">
        <f>"1360"</f>
        <v>1360</v>
      </c>
      <c r="J508" t="str">
        <f t="shared" si="121"/>
        <v>05</v>
      </c>
      <c r="K508" t="s">
        <v>68</v>
      </c>
      <c r="L508" t="s">
        <v>72</v>
      </c>
      <c r="M508" t="s">
        <v>68</v>
      </c>
      <c r="N508" t="s">
        <v>702</v>
      </c>
      <c r="O508" t="s">
        <v>709</v>
      </c>
      <c r="P508" t="str">
        <f>"3020619232"</f>
        <v>3020619232</v>
      </c>
      <c r="R508" t="str">
        <f>"00030206192322"</f>
        <v>00030206192322</v>
      </c>
      <c r="S508" s="1">
        <v>41163</v>
      </c>
      <c r="T508" s="1">
        <v>41156</v>
      </c>
      <c r="U508" t="str">
        <f>"3020619232"</f>
        <v>3020619232</v>
      </c>
      <c r="V508" t="str">
        <f t="shared" si="128"/>
        <v>1010</v>
      </c>
      <c r="W508" t="str">
        <f t="shared" si="125"/>
        <v>11</v>
      </c>
      <c r="X508" t="s">
        <v>75</v>
      </c>
      <c r="Y508" t="s">
        <v>76</v>
      </c>
      <c r="Z508" t="s">
        <v>105</v>
      </c>
      <c r="AA508" t="s">
        <v>106</v>
      </c>
      <c r="AB508" t="s">
        <v>79</v>
      </c>
      <c r="AD508" t="s">
        <v>80</v>
      </c>
      <c r="AE508" t="s">
        <v>81</v>
      </c>
      <c r="AF508" t="s">
        <v>82</v>
      </c>
      <c r="AG508" t="s">
        <v>83</v>
      </c>
      <c r="AH508" t="s">
        <v>84</v>
      </c>
      <c r="AI508" t="str">
        <f>"01"</f>
        <v>01</v>
      </c>
      <c r="AJ508" t="str">
        <f t="shared" si="130"/>
        <v>1</v>
      </c>
      <c r="AK508" t="s">
        <v>207</v>
      </c>
      <c r="AL508" t="s">
        <v>162</v>
      </c>
      <c r="AM508" t="s">
        <v>208</v>
      </c>
      <c r="AN508" t="str">
        <f t="shared" si="131"/>
        <v>.9700</v>
      </c>
      <c r="AO508" t="str">
        <f>"5.99"</f>
        <v>5.99</v>
      </c>
      <c r="AP508" t="s">
        <v>209</v>
      </c>
      <c r="AQ508" t="str">
        <f>"5.99"</f>
        <v>5.99</v>
      </c>
      <c r="AR508">
        <v>11</v>
      </c>
      <c r="AS508">
        <v>-2</v>
      </c>
      <c r="AT508">
        <v>9</v>
      </c>
      <c r="AU508">
        <v>65.88</v>
      </c>
      <c r="AV508">
        <v>5.99</v>
      </c>
      <c r="AW508">
        <v>59.89</v>
      </c>
      <c r="AX508">
        <v>-9.74</v>
      </c>
      <c r="AY508">
        <v>50.15</v>
      </c>
      <c r="AZ508">
        <v>0</v>
      </c>
    </row>
    <row r="509" spans="1:52">
      <c r="A509" t="s">
        <v>65</v>
      </c>
      <c r="B509" t="s">
        <v>66</v>
      </c>
      <c r="C509" t="s">
        <v>67</v>
      </c>
      <c r="D509" t="s">
        <v>68</v>
      </c>
      <c r="E509" t="s">
        <v>69</v>
      </c>
      <c r="F509" t="s">
        <v>70</v>
      </c>
      <c r="G509" t="s">
        <v>71</v>
      </c>
      <c r="H509" t="s">
        <v>70</v>
      </c>
      <c r="I509" t="str">
        <f>"2040"</f>
        <v>2040</v>
      </c>
      <c r="J509" t="str">
        <f t="shared" si="121"/>
        <v>05</v>
      </c>
      <c r="K509" t="s">
        <v>68</v>
      </c>
      <c r="L509" t="s">
        <v>72</v>
      </c>
      <c r="M509" t="s">
        <v>68</v>
      </c>
      <c r="O509" t="s">
        <v>827</v>
      </c>
      <c r="P509" t="str">
        <f>"3020624182"</f>
        <v>3020624182</v>
      </c>
      <c r="R509" t="str">
        <f>"00030206241822"</f>
        <v>00030206241822</v>
      </c>
      <c r="S509" s="1">
        <v>41520</v>
      </c>
      <c r="T509" s="1">
        <v>41520</v>
      </c>
      <c r="U509" t="str">
        <f>"3020624182"</f>
        <v>3020624182</v>
      </c>
      <c r="V509" t="str">
        <f t="shared" si="128"/>
        <v>1010</v>
      </c>
      <c r="W509" t="str">
        <f t="shared" si="125"/>
        <v>11</v>
      </c>
      <c r="X509" t="s">
        <v>75</v>
      </c>
      <c r="Y509" t="s">
        <v>173</v>
      </c>
      <c r="Z509" t="s">
        <v>169</v>
      </c>
      <c r="AA509" t="s">
        <v>170</v>
      </c>
      <c r="AB509" t="s">
        <v>79</v>
      </c>
      <c r="AD509" t="s">
        <v>80</v>
      </c>
      <c r="AE509" t="s">
        <v>81</v>
      </c>
      <c r="AF509" t="s">
        <v>82</v>
      </c>
      <c r="AG509" t="s">
        <v>83</v>
      </c>
      <c r="AH509" t="s">
        <v>84</v>
      </c>
      <c r="AJ509" t="str">
        <f t="shared" si="130"/>
        <v>1</v>
      </c>
      <c r="AK509" t="s">
        <v>85</v>
      </c>
      <c r="AL509" t="s">
        <v>143</v>
      </c>
      <c r="AM509" t="s">
        <v>87</v>
      </c>
      <c r="AN509" t="str">
        <f t="shared" si="131"/>
        <v>.9700</v>
      </c>
      <c r="AO509" t="str">
        <f>"7.50"</f>
        <v>7.50</v>
      </c>
      <c r="AP509" t="s">
        <v>88</v>
      </c>
      <c r="AQ509" t="str">
        <f>"7.50"</f>
        <v>7.50</v>
      </c>
      <c r="AR509">
        <v>55</v>
      </c>
      <c r="AS509">
        <v>-5</v>
      </c>
      <c r="AT509">
        <v>50</v>
      </c>
      <c r="AU509">
        <v>412.5</v>
      </c>
      <c r="AV509">
        <v>0</v>
      </c>
      <c r="AW509">
        <v>412.5</v>
      </c>
      <c r="AX509">
        <v>-34.28</v>
      </c>
      <c r="AY509">
        <v>378.22</v>
      </c>
      <c r="AZ509">
        <v>0</v>
      </c>
    </row>
    <row r="510" spans="1:52">
      <c r="A510" t="s">
        <v>65</v>
      </c>
      <c r="B510" t="s">
        <v>66</v>
      </c>
      <c r="C510" t="s">
        <v>67</v>
      </c>
      <c r="D510" t="s">
        <v>68</v>
      </c>
      <c r="E510" t="s">
        <v>69</v>
      </c>
      <c r="F510" t="s">
        <v>70</v>
      </c>
      <c r="G510" t="s">
        <v>71</v>
      </c>
      <c r="H510" t="s">
        <v>70</v>
      </c>
      <c r="I510" t="str">
        <f>"2040"</f>
        <v>2040</v>
      </c>
      <c r="J510" t="str">
        <f t="shared" si="121"/>
        <v>05</v>
      </c>
      <c r="K510" t="s">
        <v>68</v>
      </c>
      <c r="L510" t="s">
        <v>72</v>
      </c>
      <c r="M510" t="s">
        <v>68</v>
      </c>
      <c r="N510" t="s">
        <v>408</v>
      </c>
      <c r="O510" t="s">
        <v>828</v>
      </c>
      <c r="P510" t="str">
        <f>"3020619962"</f>
        <v>3020619962</v>
      </c>
      <c r="R510" t="str">
        <f>"00030206199628"</f>
        <v>00030206199628</v>
      </c>
      <c r="S510" s="1">
        <v>41618</v>
      </c>
      <c r="T510" s="1">
        <v>41618</v>
      </c>
      <c r="U510" t="str">
        <f>"3020619962"</f>
        <v>3020619962</v>
      </c>
      <c r="V510" t="str">
        <f t="shared" si="128"/>
        <v>1010</v>
      </c>
      <c r="W510" t="str">
        <f t="shared" si="125"/>
        <v>11</v>
      </c>
      <c r="X510" t="s">
        <v>75</v>
      </c>
      <c r="Y510" t="s">
        <v>173</v>
      </c>
      <c r="Z510" t="s">
        <v>169</v>
      </c>
      <c r="AA510" t="s">
        <v>170</v>
      </c>
      <c r="AB510" t="s">
        <v>79</v>
      </c>
      <c r="AD510" t="s">
        <v>80</v>
      </c>
      <c r="AE510" t="s">
        <v>81</v>
      </c>
      <c r="AF510" t="s">
        <v>82</v>
      </c>
      <c r="AG510" t="s">
        <v>83</v>
      </c>
      <c r="AH510" t="s">
        <v>84</v>
      </c>
      <c r="AJ510" t="str">
        <f t="shared" si="130"/>
        <v>1</v>
      </c>
      <c r="AK510" t="s">
        <v>85</v>
      </c>
      <c r="AL510" t="s">
        <v>86</v>
      </c>
      <c r="AM510" t="s">
        <v>87</v>
      </c>
      <c r="AN510" t="str">
        <f t="shared" si="131"/>
        <v>.9700</v>
      </c>
      <c r="AO510" t="str">
        <f>"7.50"</f>
        <v>7.50</v>
      </c>
      <c r="AP510" t="s">
        <v>88</v>
      </c>
      <c r="AQ510" t="str">
        <f>"7.50"</f>
        <v>7.50</v>
      </c>
      <c r="AR510">
        <v>63</v>
      </c>
      <c r="AS510">
        <v>-9</v>
      </c>
      <c r="AT510">
        <v>54</v>
      </c>
      <c r="AU510">
        <v>472.5</v>
      </c>
      <c r="AV510">
        <v>45</v>
      </c>
      <c r="AW510">
        <v>427.5</v>
      </c>
      <c r="AX510">
        <v>-54.27</v>
      </c>
      <c r="AY510">
        <v>373.23</v>
      </c>
      <c r="AZ510">
        <v>0</v>
      </c>
    </row>
    <row r="511" spans="1:52">
      <c r="A511" t="s">
        <v>65</v>
      </c>
      <c r="B511" t="s">
        <v>66</v>
      </c>
      <c r="C511" t="s">
        <v>67</v>
      </c>
      <c r="D511" t="s">
        <v>68</v>
      </c>
      <c r="E511" t="s">
        <v>69</v>
      </c>
      <c r="F511" t="s">
        <v>70</v>
      </c>
      <c r="G511" t="s">
        <v>71</v>
      </c>
      <c r="H511" t="s">
        <v>70</v>
      </c>
      <c r="I511" t="str">
        <f>"2040"</f>
        <v>2040</v>
      </c>
      <c r="J511" t="str">
        <f t="shared" si="121"/>
        <v>05</v>
      </c>
      <c r="K511" t="s">
        <v>68</v>
      </c>
      <c r="L511" t="s">
        <v>72</v>
      </c>
      <c r="M511" t="s">
        <v>68</v>
      </c>
      <c r="N511" t="s">
        <v>829</v>
      </c>
      <c r="O511" t="s">
        <v>830</v>
      </c>
      <c r="P511" t="str">
        <f>"3020624192"</f>
        <v>3020624192</v>
      </c>
      <c r="R511" t="str">
        <f>"00030206241921"</f>
        <v>00030206241921</v>
      </c>
      <c r="S511" s="1">
        <v>41541</v>
      </c>
      <c r="T511" s="1">
        <v>41541</v>
      </c>
      <c r="U511" t="str">
        <f>"3020624192"</f>
        <v>3020624192</v>
      </c>
      <c r="V511" t="str">
        <f t="shared" si="128"/>
        <v>1010</v>
      </c>
      <c r="W511" t="str">
        <f t="shared" si="125"/>
        <v>11</v>
      </c>
      <c r="X511" t="s">
        <v>75</v>
      </c>
      <c r="Y511" t="s">
        <v>173</v>
      </c>
      <c r="Z511" t="s">
        <v>169</v>
      </c>
      <c r="AA511" t="s">
        <v>170</v>
      </c>
      <c r="AB511" t="s">
        <v>79</v>
      </c>
      <c r="AD511" t="s">
        <v>80</v>
      </c>
      <c r="AE511" t="s">
        <v>81</v>
      </c>
      <c r="AF511" t="s">
        <v>82</v>
      </c>
      <c r="AG511" t="s">
        <v>83</v>
      </c>
      <c r="AH511" t="s">
        <v>84</v>
      </c>
      <c r="AI511" t="str">
        <f>"01"</f>
        <v>01</v>
      </c>
      <c r="AJ511" t="str">
        <f t="shared" si="130"/>
        <v>1</v>
      </c>
      <c r="AK511" t="s">
        <v>85</v>
      </c>
      <c r="AL511" t="s">
        <v>143</v>
      </c>
      <c r="AM511" t="s">
        <v>87</v>
      </c>
      <c r="AN511" t="str">
        <f t="shared" si="131"/>
        <v>.9700</v>
      </c>
      <c r="AO511" t="str">
        <f>"7.50"</f>
        <v>7.50</v>
      </c>
      <c r="AP511" t="s">
        <v>88</v>
      </c>
      <c r="AQ511" t="str">
        <f>"7.50"</f>
        <v>7.50</v>
      </c>
      <c r="AR511">
        <v>99</v>
      </c>
      <c r="AS511">
        <v>-4</v>
      </c>
      <c r="AT511">
        <v>95</v>
      </c>
      <c r="AU511">
        <v>730.5</v>
      </c>
      <c r="AV511">
        <v>0</v>
      </c>
      <c r="AW511">
        <v>730.5</v>
      </c>
      <c r="AX511">
        <v>-26.63</v>
      </c>
      <c r="AY511">
        <v>703.87</v>
      </c>
      <c r="AZ511">
        <v>0</v>
      </c>
    </row>
    <row r="512" spans="1:52">
      <c r="A512" t="s">
        <v>65</v>
      </c>
      <c r="B512" t="s">
        <v>66</v>
      </c>
      <c r="C512" t="s">
        <v>67</v>
      </c>
      <c r="D512" t="s">
        <v>68</v>
      </c>
      <c r="E512" t="s">
        <v>69</v>
      </c>
      <c r="F512" t="s">
        <v>70</v>
      </c>
      <c r="G512" t="s">
        <v>71</v>
      </c>
      <c r="H512" t="s">
        <v>70</v>
      </c>
      <c r="I512" t="str">
        <f>"2040"</f>
        <v>2040</v>
      </c>
      <c r="J512" t="str">
        <f t="shared" si="121"/>
        <v>05</v>
      </c>
      <c r="K512" t="s">
        <v>68</v>
      </c>
      <c r="L512" t="s">
        <v>72</v>
      </c>
      <c r="M512" t="s">
        <v>68</v>
      </c>
      <c r="N512" t="s">
        <v>831</v>
      </c>
      <c r="O512" t="s">
        <v>832</v>
      </c>
      <c r="P512" t="str">
        <f>"3020619542"</f>
        <v>3020619542</v>
      </c>
      <c r="R512" t="str">
        <f>"00030206195422"</f>
        <v>00030206195422</v>
      </c>
      <c r="S512" s="1">
        <v>41408</v>
      </c>
      <c r="T512" s="1">
        <v>41408</v>
      </c>
      <c r="U512" t="str">
        <f>"3020619542"</f>
        <v>3020619542</v>
      </c>
      <c r="V512" t="str">
        <f t="shared" si="128"/>
        <v>1010</v>
      </c>
      <c r="W512" t="str">
        <f t="shared" si="125"/>
        <v>11</v>
      </c>
      <c r="X512" t="s">
        <v>75</v>
      </c>
      <c r="Y512" t="s">
        <v>173</v>
      </c>
      <c r="Z512" t="s">
        <v>169</v>
      </c>
      <c r="AA512" t="s">
        <v>170</v>
      </c>
      <c r="AB512" t="s">
        <v>79</v>
      </c>
      <c r="AD512" t="s">
        <v>80</v>
      </c>
      <c r="AE512" t="s">
        <v>81</v>
      </c>
      <c r="AF512" t="s">
        <v>82</v>
      </c>
      <c r="AG512" t="s">
        <v>83</v>
      </c>
      <c r="AH512" t="s">
        <v>84</v>
      </c>
      <c r="AJ512" t="str">
        <f t="shared" si="130"/>
        <v>1</v>
      </c>
      <c r="AK512" t="s">
        <v>114</v>
      </c>
      <c r="AL512" t="s">
        <v>86</v>
      </c>
      <c r="AM512" t="s">
        <v>87</v>
      </c>
      <c r="AN512" t="str">
        <f t="shared" si="131"/>
        <v>.9700</v>
      </c>
      <c r="AO512" t="str">
        <f>"7.00"</f>
        <v>7.00</v>
      </c>
      <c r="AP512" t="s">
        <v>115</v>
      </c>
      <c r="AQ512" t="str">
        <f>"7.00"</f>
        <v>7.00</v>
      </c>
      <c r="AR512">
        <v>2</v>
      </c>
      <c r="AS512">
        <v>-2</v>
      </c>
      <c r="AT512">
        <v>0</v>
      </c>
      <c r="AU512">
        <v>14</v>
      </c>
      <c r="AV512">
        <v>0</v>
      </c>
      <c r="AW512">
        <v>14</v>
      </c>
      <c r="AX512">
        <v>-11.6</v>
      </c>
      <c r="AY512">
        <v>2.4</v>
      </c>
      <c r="AZ512">
        <v>0</v>
      </c>
    </row>
    <row r="513" spans="1:52">
      <c r="A513" t="s">
        <v>833</v>
      </c>
      <c r="B513" t="s">
        <v>834</v>
      </c>
      <c r="C513" t="s">
        <v>835</v>
      </c>
      <c r="D513" t="s">
        <v>836</v>
      </c>
      <c r="E513" t="s">
        <v>69</v>
      </c>
      <c r="F513" t="s">
        <v>70</v>
      </c>
      <c r="G513" t="s">
        <v>837</v>
      </c>
      <c r="H513" t="s">
        <v>838</v>
      </c>
      <c r="I513" t="str">
        <f t="shared" ref="I513:I544" si="132">"1010"</f>
        <v>1010</v>
      </c>
      <c r="J513" t="s">
        <v>839</v>
      </c>
      <c r="K513" t="s">
        <v>838</v>
      </c>
      <c r="L513" t="s">
        <v>840</v>
      </c>
      <c r="M513" t="s">
        <v>838</v>
      </c>
      <c r="N513" t="s">
        <v>841</v>
      </c>
      <c r="O513" t="s">
        <v>842</v>
      </c>
      <c r="P513" t="str">
        <f>"3020668722"</f>
        <v>3020668722</v>
      </c>
      <c r="R513" t="str">
        <f>"00030206687224"</f>
        <v>00030206687224</v>
      </c>
      <c r="S513" s="1">
        <v>39560</v>
      </c>
      <c r="T513" s="1">
        <v>39560</v>
      </c>
      <c r="U513" t="str">
        <f>"3020668722"</f>
        <v>3020668722</v>
      </c>
      <c r="V513" t="str">
        <f t="shared" ref="V513:V534" si="133">"1510"</f>
        <v>1510</v>
      </c>
      <c r="W513" t="str">
        <f t="shared" si="125"/>
        <v>11</v>
      </c>
      <c r="X513" t="s">
        <v>75</v>
      </c>
      <c r="Y513" t="s">
        <v>76</v>
      </c>
      <c r="Z513" t="s">
        <v>254</v>
      </c>
      <c r="AA513" t="s">
        <v>255</v>
      </c>
      <c r="AB513" t="s">
        <v>79</v>
      </c>
      <c r="AD513" t="s">
        <v>80</v>
      </c>
      <c r="AE513" t="s">
        <v>81</v>
      </c>
      <c r="AF513" t="s">
        <v>82</v>
      </c>
      <c r="AG513" t="s">
        <v>83</v>
      </c>
      <c r="AH513" t="s">
        <v>84</v>
      </c>
      <c r="AI513" t="str">
        <f t="shared" ref="AI513:AI522" si="134">"01"</f>
        <v>01</v>
      </c>
      <c r="AJ513" t="str">
        <f t="shared" si="130"/>
        <v>1</v>
      </c>
      <c r="AK513" t="s">
        <v>85</v>
      </c>
      <c r="AL513" t="s">
        <v>94</v>
      </c>
      <c r="AM513" t="s">
        <v>87</v>
      </c>
      <c r="AN513" t="str">
        <f t="shared" si="131"/>
        <v>.9700</v>
      </c>
      <c r="AO513" t="str">
        <f>"7.50"</f>
        <v>7.50</v>
      </c>
      <c r="AP513" t="s">
        <v>88</v>
      </c>
      <c r="AQ513" t="str">
        <f>"7.50"</f>
        <v>7.50</v>
      </c>
      <c r="AR513">
        <v>33</v>
      </c>
      <c r="AS513">
        <v>0</v>
      </c>
      <c r="AT513">
        <v>33</v>
      </c>
      <c r="AU513">
        <v>247.5</v>
      </c>
      <c r="AV513">
        <v>27</v>
      </c>
      <c r="AW513">
        <v>220.5</v>
      </c>
      <c r="AX513">
        <v>0</v>
      </c>
      <c r="AY513">
        <v>220.5</v>
      </c>
      <c r="AZ513">
        <v>0</v>
      </c>
    </row>
    <row r="514" spans="1:52">
      <c r="A514" t="s">
        <v>833</v>
      </c>
      <c r="B514" t="s">
        <v>834</v>
      </c>
      <c r="C514" t="s">
        <v>835</v>
      </c>
      <c r="D514" t="s">
        <v>836</v>
      </c>
      <c r="E514" t="s">
        <v>69</v>
      </c>
      <c r="F514" t="s">
        <v>70</v>
      </c>
      <c r="G514" t="s">
        <v>837</v>
      </c>
      <c r="H514" t="s">
        <v>838</v>
      </c>
      <c r="I514" t="str">
        <f t="shared" si="132"/>
        <v>1010</v>
      </c>
      <c r="J514" t="s">
        <v>839</v>
      </c>
      <c r="K514" t="s">
        <v>838</v>
      </c>
      <c r="L514" t="s">
        <v>840</v>
      </c>
      <c r="M514" t="s">
        <v>838</v>
      </c>
      <c r="N514" t="s">
        <v>843</v>
      </c>
      <c r="O514" t="s">
        <v>844</v>
      </c>
      <c r="P514" t="str">
        <f>"3020668802"</f>
        <v>3020668802</v>
      </c>
      <c r="R514" t="str">
        <f>"00030206688023"</f>
        <v>00030206688023</v>
      </c>
      <c r="S514" s="1">
        <v>39525</v>
      </c>
      <c r="T514" s="1">
        <v>39518</v>
      </c>
      <c r="U514" t="str">
        <f>"3020668802"</f>
        <v>3020668802</v>
      </c>
      <c r="V514" t="str">
        <f t="shared" si="133"/>
        <v>1510</v>
      </c>
      <c r="W514" t="str">
        <f t="shared" si="125"/>
        <v>11</v>
      </c>
      <c r="X514" t="s">
        <v>75</v>
      </c>
      <c r="Y514" t="s">
        <v>76</v>
      </c>
      <c r="Z514" t="s">
        <v>91</v>
      </c>
      <c r="AA514" t="s">
        <v>92</v>
      </c>
      <c r="AB514" t="s">
        <v>79</v>
      </c>
      <c r="AD514" t="s">
        <v>80</v>
      </c>
      <c r="AE514" t="s">
        <v>81</v>
      </c>
      <c r="AF514" t="s">
        <v>82</v>
      </c>
      <c r="AG514" t="s">
        <v>83</v>
      </c>
      <c r="AH514" t="s">
        <v>84</v>
      </c>
      <c r="AI514" t="str">
        <f t="shared" si="134"/>
        <v>01</v>
      </c>
      <c r="AJ514" t="str">
        <f t="shared" si="130"/>
        <v>1</v>
      </c>
      <c r="AK514" t="s">
        <v>101</v>
      </c>
      <c r="AL514" t="s">
        <v>94</v>
      </c>
      <c r="AM514" t="s">
        <v>95</v>
      </c>
      <c r="AN514" t="str">
        <f t="shared" si="131"/>
        <v>.9700</v>
      </c>
      <c r="AO514" t="str">
        <f>"9.07"</f>
        <v>9.07</v>
      </c>
      <c r="AP514" t="s">
        <v>102</v>
      </c>
      <c r="AQ514" t="str">
        <f>"9.07"</f>
        <v>9.07</v>
      </c>
      <c r="AR514">
        <v>73</v>
      </c>
      <c r="AS514">
        <v>-3</v>
      </c>
      <c r="AT514">
        <v>70</v>
      </c>
      <c r="AU514">
        <v>662.02</v>
      </c>
      <c r="AV514">
        <v>77.58</v>
      </c>
      <c r="AW514">
        <v>584.44000000000005</v>
      </c>
      <c r="AX514">
        <v>-25.51</v>
      </c>
      <c r="AY514">
        <v>558.92999999999995</v>
      </c>
      <c r="AZ514">
        <v>0</v>
      </c>
    </row>
    <row r="515" spans="1:52">
      <c r="A515" t="s">
        <v>833</v>
      </c>
      <c r="B515" t="s">
        <v>834</v>
      </c>
      <c r="C515" t="s">
        <v>835</v>
      </c>
      <c r="D515" t="s">
        <v>836</v>
      </c>
      <c r="E515" t="s">
        <v>69</v>
      </c>
      <c r="F515" t="s">
        <v>70</v>
      </c>
      <c r="G515" t="s">
        <v>837</v>
      </c>
      <c r="H515" t="s">
        <v>838</v>
      </c>
      <c r="I515" t="str">
        <f t="shared" si="132"/>
        <v>1010</v>
      </c>
      <c r="J515" t="s">
        <v>839</v>
      </c>
      <c r="K515" t="s">
        <v>838</v>
      </c>
      <c r="L515" t="s">
        <v>840</v>
      </c>
      <c r="M515" t="s">
        <v>838</v>
      </c>
      <c r="N515" t="s">
        <v>123</v>
      </c>
      <c r="O515" t="s">
        <v>845</v>
      </c>
      <c r="P515" t="str">
        <f>"3020668942"</f>
        <v>3020668942</v>
      </c>
      <c r="R515" t="str">
        <f>"00030206689426"</f>
        <v>00030206689426</v>
      </c>
      <c r="S515" s="1">
        <v>39679</v>
      </c>
      <c r="T515" s="1">
        <v>39679</v>
      </c>
      <c r="U515" t="str">
        <f>"3020668942"</f>
        <v>3020668942</v>
      </c>
      <c r="V515" t="str">
        <f t="shared" si="133"/>
        <v>1510</v>
      </c>
      <c r="W515" t="str">
        <f t="shared" si="125"/>
        <v>11</v>
      </c>
      <c r="X515" t="s">
        <v>75</v>
      </c>
      <c r="Y515" t="s">
        <v>76</v>
      </c>
      <c r="Z515" t="s">
        <v>254</v>
      </c>
      <c r="AA515" t="s">
        <v>255</v>
      </c>
      <c r="AB515" t="s">
        <v>79</v>
      </c>
      <c r="AD515" t="s">
        <v>80</v>
      </c>
      <c r="AE515" t="s">
        <v>81</v>
      </c>
      <c r="AF515" t="s">
        <v>82</v>
      </c>
      <c r="AG515" t="s">
        <v>83</v>
      </c>
      <c r="AH515" t="s">
        <v>84</v>
      </c>
      <c r="AI515" t="str">
        <f t="shared" si="134"/>
        <v>01</v>
      </c>
      <c r="AJ515" t="str">
        <f t="shared" si="130"/>
        <v>1</v>
      </c>
      <c r="AK515" t="s">
        <v>85</v>
      </c>
      <c r="AL515" t="s">
        <v>94</v>
      </c>
      <c r="AM515" t="s">
        <v>87</v>
      </c>
      <c r="AN515" t="str">
        <f t="shared" si="131"/>
        <v>.9700</v>
      </c>
      <c r="AO515" t="str">
        <f>"7.50"</f>
        <v>7.50</v>
      </c>
      <c r="AP515" t="s">
        <v>88</v>
      </c>
      <c r="AQ515" t="str">
        <f>"7.50"</f>
        <v>7.50</v>
      </c>
      <c r="AR515">
        <v>37</v>
      </c>
      <c r="AS515">
        <v>-3</v>
      </c>
      <c r="AT515">
        <v>34</v>
      </c>
      <c r="AU515">
        <v>277.52</v>
      </c>
      <c r="AV515">
        <v>33.08</v>
      </c>
      <c r="AW515">
        <v>244.44</v>
      </c>
      <c r="AX515">
        <v>-19.649999999999999</v>
      </c>
      <c r="AY515">
        <v>224.79</v>
      </c>
      <c r="AZ515">
        <v>0</v>
      </c>
    </row>
    <row r="516" spans="1:52">
      <c r="A516" t="s">
        <v>833</v>
      </c>
      <c r="B516" t="s">
        <v>834</v>
      </c>
      <c r="C516" t="s">
        <v>835</v>
      </c>
      <c r="D516" t="s">
        <v>836</v>
      </c>
      <c r="E516" t="s">
        <v>69</v>
      </c>
      <c r="F516" t="s">
        <v>70</v>
      </c>
      <c r="G516" t="s">
        <v>837</v>
      </c>
      <c r="H516" t="s">
        <v>838</v>
      </c>
      <c r="I516" t="str">
        <f t="shared" si="132"/>
        <v>1010</v>
      </c>
      <c r="J516" t="s">
        <v>839</v>
      </c>
      <c r="K516" t="s">
        <v>838</v>
      </c>
      <c r="L516" t="s">
        <v>840</v>
      </c>
      <c r="M516" t="s">
        <v>838</v>
      </c>
      <c r="N516" t="s">
        <v>253</v>
      </c>
      <c r="O516" t="s">
        <v>846</v>
      </c>
      <c r="P516" t="str">
        <f>"3020616102"</f>
        <v>3020616102</v>
      </c>
      <c r="R516" t="str">
        <f>"00030206161021"</f>
        <v>00030206161021</v>
      </c>
      <c r="S516" s="1">
        <v>38979</v>
      </c>
      <c r="T516" s="1">
        <v>38972</v>
      </c>
      <c r="U516" t="str">
        <f>"3020616102"</f>
        <v>3020616102</v>
      </c>
      <c r="V516" t="str">
        <f t="shared" si="133"/>
        <v>1510</v>
      </c>
      <c r="W516" t="str">
        <f t="shared" si="125"/>
        <v>11</v>
      </c>
      <c r="X516" t="s">
        <v>75</v>
      </c>
      <c r="Y516" t="s">
        <v>76</v>
      </c>
      <c r="Z516" t="s">
        <v>254</v>
      </c>
      <c r="AA516" t="s">
        <v>255</v>
      </c>
      <c r="AB516" t="s">
        <v>79</v>
      </c>
      <c r="AD516" t="s">
        <v>80</v>
      </c>
      <c r="AE516" t="s">
        <v>81</v>
      </c>
      <c r="AF516" t="s">
        <v>82</v>
      </c>
      <c r="AG516" t="s">
        <v>83</v>
      </c>
      <c r="AH516" t="s">
        <v>84</v>
      </c>
      <c r="AI516" t="str">
        <f t="shared" si="134"/>
        <v>01</v>
      </c>
      <c r="AJ516" t="str">
        <f t="shared" si="130"/>
        <v>1</v>
      </c>
      <c r="AK516" t="s">
        <v>198</v>
      </c>
      <c r="AL516" t="s">
        <v>162</v>
      </c>
      <c r="AM516" t="s">
        <v>87</v>
      </c>
      <c r="AN516" t="str">
        <f t="shared" si="131"/>
        <v>.9700</v>
      </c>
      <c r="AO516" t="str">
        <f>"4.40"</f>
        <v>4.40</v>
      </c>
      <c r="AP516" t="s">
        <v>199</v>
      </c>
      <c r="AQ516" t="str">
        <f>"4.40"</f>
        <v>4.40</v>
      </c>
      <c r="AR516">
        <v>4</v>
      </c>
      <c r="AS516">
        <v>-4</v>
      </c>
      <c r="AT516">
        <v>0</v>
      </c>
      <c r="AU516">
        <v>17.600000000000001</v>
      </c>
      <c r="AV516">
        <v>1.32</v>
      </c>
      <c r="AW516">
        <v>16.28</v>
      </c>
      <c r="AX516">
        <v>-16.02</v>
      </c>
      <c r="AY516">
        <v>0.26000000000000201</v>
      </c>
      <c r="AZ516">
        <v>0</v>
      </c>
    </row>
    <row r="517" spans="1:52">
      <c r="A517" t="s">
        <v>833</v>
      </c>
      <c r="B517" t="s">
        <v>834</v>
      </c>
      <c r="C517" t="s">
        <v>835</v>
      </c>
      <c r="D517" t="s">
        <v>836</v>
      </c>
      <c r="E517" t="s">
        <v>69</v>
      </c>
      <c r="F517" t="s">
        <v>70</v>
      </c>
      <c r="G517" t="s">
        <v>837</v>
      </c>
      <c r="H517" t="s">
        <v>838</v>
      </c>
      <c r="I517" t="str">
        <f t="shared" si="132"/>
        <v>1010</v>
      </c>
      <c r="J517" t="s">
        <v>839</v>
      </c>
      <c r="K517" t="s">
        <v>838</v>
      </c>
      <c r="L517" t="s">
        <v>840</v>
      </c>
      <c r="M517" t="s">
        <v>838</v>
      </c>
      <c r="N517" t="s">
        <v>847</v>
      </c>
      <c r="O517" t="s">
        <v>848</v>
      </c>
      <c r="P517" t="str">
        <f>"3020614602"</f>
        <v>3020614602</v>
      </c>
      <c r="R517" t="str">
        <f>"00030206146028"</f>
        <v>00030206146028</v>
      </c>
      <c r="S517" s="1">
        <v>38412</v>
      </c>
      <c r="T517" s="1">
        <v>38412</v>
      </c>
      <c r="U517" t="str">
        <f>"3020614602"</f>
        <v>3020614602</v>
      </c>
      <c r="V517" t="str">
        <f t="shared" si="133"/>
        <v>1510</v>
      </c>
      <c r="W517" t="str">
        <f t="shared" si="125"/>
        <v>11</v>
      </c>
      <c r="X517" t="s">
        <v>75</v>
      </c>
      <c r="Y517" t="s">
        <v>76</v>
      </c>
      <c r="Z517" t="s">
        <v>254</v>
      </c>
      <c r="AA517" t="s">
        <v>255</v>
      </c>
      <c r="AB517" t="s">
        <v>79</v>
      </c>
      <c r="AD517" t="s">
        <v>80</v>
      </c>
      <c r="AE517" t="s">
        <v>81</v>
      </c>
      <c r="AF517" t="s">
        <v>82</v>
      </c>
      <c r="AG517" t="s">
        <v>83</v>
      </c>
      <c r="AH517" t="s">
        <v>84</v>
      </c>
      <c r="AI517" t="str">
        <f t="shared" si="134"/>
        <v>01</v>
      </c>
      <c r="AJ517" t="str">
        <f t="shared" si="130"/>
        <v>1</v>
      </c>
      <c r="AK517" t="s">
        <v>114</v>
      </c>
      <c r="AL517" t="s">
        <v>162</v>
      </c>
      <c r="AM517" t="s">
        <v>87</v>
      </c>
      <c r="AN517" t="str">
        <f t="shared" si="131"/>
        <v>.9700</v>
      </c>
      <c r="AO517" t="str">
        <f>"7.00"</f>
        <v>7.00</v>
      </c>
      <c r="AP517" t="s">
        <v>115</v>
      </c>
      <c r="AQ517" t="str">
        <f>"7.00"</f>
        <v>7.00</v>
      </c>
      <c r="AR517">
        <v>8</v>
      </c>
      <c r="AS517">
        <v>-1</v>
      </c>
      <c r="AT517">
        <v>7</v>
      </c>
      <c r="AU517">
        <v>56.05</v>
      </c>
      <c r="AV517">
        <v>6.15</v>
      </c>
      <c r="AW517">
        <v>49.9</v>
      </c>
      <c r="AX517">
        <v>-6.6</v>
      </c>
      <c r="AY517">
        <v>43.3</v>
      </c>
      <c r="AZ517">
        <v>0</v>
      </c>
    </row>
    <row r="518" spans="1:52">
      <c r="A518" t="s">
        <v>833</v>
      </c>
      <c r="B518" t="s">
        <v>834</v>
      </c>
      <c r="C518" t="s">
        <v>835</v>
      </c>
      <c r="D518" t="s">
        <v>836</v>
      </c>
      <c r="E518" t="s">
        <v>69</v>
      </c>
      <c r="F518" t="s">
        <v>70</v>
      </c>
      <c r="G518" t="s">
        <v>837</v>
      </c>
      <c r="H518" t="s">
        <v>838</v>
      </c>
      <c r="I518" t="str">
        <f t="shared" si="132"/>
        <v>1010</v>
      </c>
      <c r="J518" t="s">
        <v>839</v>
      </c>
      <c r="K518" t="s">
        <v>838</v>
      </c>
      <c r="L518" t="s">
        <v>840</v>
      </c>
      <c r="M518" t="s">
        <v>838</v>
      </c>
      <c r="N518" t="s">
        <v>849</v>
      </c>
      <c r="O518" t="s">
        <v>850</v>
      </c>
      <c r="P518" t="str">
        <f>"3020668752"</f>
        <v>3020668752</v>
      </c>
      <c r="R518" t="str">
        <f>"00030206687521"</f>
        <v>00030206687521</v>
      </c>
      <c r="S518" s="1">
        <v>39504</v>
      </c>
      <c r="T518" s="1">
        <v>39504</v>
      </c>
      <c r="U518" t="str">
        <f>"3020668752"</f>
        <v>3020668752</v>
      </c>
      <c r="V518" t="str">
        <f t="shared" si="133"/>
        <v>1510</v>
      </c>
      <c r="W518" t="str">
        <f t="shared" si="125"/>
        <v>11</v>
      </c>
      <c r="X518" t="s">
        <v>75</v>
      </c>
      <c r="Y518" t="s">
        <v>76</v>
      </c>
      <c r="Z518" t="s">
        <v>105</v>
      </c>
      <c r="AA518" t="s">
        <v>106</v>
      </c>
      <c r="AB518" t="s">
        <v>79</v>
      </c>
      <c r="AD518" t="s">
        <v>80</v>
      </c>
      <c r="AE518" t="s">
        <v>81</v>
      </c>
      <c r="AF518" t="s">
        <v>82</v>
      </c>
      <c r="AG518" t="s">
        <v>83</v>
      </c>
      <c r="AH518" t="s">
        <v>84</v>
      </c>
      <c r="AI518" t="str">
        <f t="shared" si="134"/>
        <v>01</v>
      </c>
      <c r="AJ518" t="str">
        <f t="shared" si="130"/>
        <v>1</v>
      </c>
      <c r="AK518" t="s">
        <v>85</v>
      </c>
      <c r="AL518" t="s">
        <v>94</v>
      </c>
      <c r="AM518" t="s">
        <v>87</v>
      </c>
      <c r="AN518" t="str">
        <f t="shared" si="131"/>
        <v>.9700</v>
      </c>
      <c r="AO518" t="str">
        <f>"7.50"</f>
        <v>7.50</v>
      </c>
      <c r="AP518" t="s">
        <v>88</v>
      </c>
      <c r="AQ518" t="str">
        <f>"7.50"</f>
        <v>7.50</v>
      </c>
      <c r="AR518">
        <v>7</v>
      </c>
      <c r="AS518">
        <v>0</v>
      </c>
      <c r="AT518">
        <v>7</v>
      </c>
      <c r="AU518">
        <v>52.5</v>
      </c>
      <c r="AV518">
        <v>6.3</v>
      </c>
      <c r="AW518">
        <v>46.2</v>
      </c>
      <c r="AX518">
        <v>0</v>
      </c>
      <c r="AY518">
        <v>46.2</v>
      </c>
      <c r="AZ518">
        <v>0</v>
      </c>
    </row>
    <row r="519" spans="1:52">
      <c r="A519" t="s">
        <v>833</v>
      </c>
      <c r="B519" t="s">
        <v>834</v>
      </c>
      <c r="C519" t="s">
        <v>835</v>
      </c>
      <c r="D519" t="s">
        <v>836</v>
      </c>
      <c r="E519" t="s">
        <v>69</v>
      </c>
      <c r="F519" t="s">
        <v>70</v>
      </c>
      <c r="G519" t="s">
        <v>837</v>
      </c>
      <c r="H519" t="s">
        <v>838</v>
      </c>
      <c r="I519" t="str">
        <f t="shared" si="132"/>
        <v>1010</v>
      </c>
      <c r="J519" t="s">
        <v>839</v>
      </c>
      <c r="K519" t="s">
        <v>838</v>
      </c>
      <c r="L519" t="s">
        <v>840</v>
      </c>
      <c r="M519" t="s">
        <v>838</v>
      </c>
      <c r="N519" t="s">
        <v>851</v>
      </c>
      <c r="O519" t="s">
        <v>852</v>
      </c>
      <c r="P519" t="str">
        <f>"3020664252"</f>
        <v>3020664252</v>
      </c>
      <c r="Q519" t="str">
        <f>"050266425"</f>
        <v>050266425</v>
      </c>
      <c r="R519" t="str">
        <f>"00030206642520"</f>
        <v>00030206642520</v>
      </c>
      <c r="S519" s="1">
        <v>37586</v>
      </c>
      <c r="T519" s="1">
        <v>37586</v>
      </c>
      <c r="U519" t="str">
        <f>"3020664252"</f>
        <v>3020664252</v>
      </c>
      <c r="V519" t="str">
        <f t="shared" si="133"/>
        <v>1510</v>
      </c>
      <c r="W519" t="str">
        <f t="shared" si="125"/>
        <v>11</v>
      </c>
      <c r="X519" t="s">
        <v>75</v>
      </c>
      <c r="Y519" t="s">
        <v>76</v>
      </c>
      <c r="Z519" t="s">
        <v>126</v>
      </c>
      <c r="AA519" t="s">
        <v>127</v>
      </c>
      <c r="AB519" t="s">
        <v>79</v>
      </c>
      <c r="AD519" t="s">
        <v>80</v>
      </c>
      <c r="AE519" t="s">
        <v>81</v>
      </c>
      <c r="AF519" t="s">
        <v>82</v>
      </c>
      <c r="AG519" t="s">
        <v>83</v>
      </c>
      <c r="AH519" t="s">
        <v>84</v>
      </c>
      <c r="AI519" t="str">
        <f t="shared" si="134"/>
        <v>01</v>
      </c>
      <c r="AJ519" t="str">
        <f t="shared" si="130"/>
        <v>1</v>
      </c>
      <c r="AK519" t="s">
        <v>107</v>
      </c>
      <c r="AL519" t="s">
        <v>94</v>
      </c>
      <c r="AM519" t="s">
        <v>95</v>
      </c>
      <c r="AN519" t="str">
        <f t="shared" si="131"/>
        <v>.9700</v>
      </c>
      <c r="AO519" t="str">
        <f>"10.78"</f>
        <v>10.78</v>
      </c>
      <c r="AP519" t="s">
        <v>108</v>
      </c>
      <c r="AQ519" t="str">
        <f>"10.78"</f>
        <v>10.78</v>
      </c>
      <c r="AR519">
        <v>26</v>
      </c>
      <c r="AS519">
        <v>-1</v>
      </c>
      <c r="AT519">
        <v>25</v>
      </c>
      <c r="AU519">
        <v>280.33999999999997</v>
      </c>
      <c r="AV519">
        <v>19.41</v>
      </c>
      <c r="AW519">
        <v>260.93</v>
      </c>
      <c r="AX519">
        <v>-10.45</v>
      </c>
      <c r="AY519">
        <v>250.48</v>
      </c>
      <c r="AZ519">
        <v>0</v>
      </c>
    </row>
    <row r="520" spans="1:52">
      <c r="A520" t="s">
        <v>833</v>
      </c>
      <c r="B520" t="s">
        <v>834</v>
      </c>
      <c r="C520" t="s">
        <v>835</v>
      </c>
      <c r="D520" t="s">
        <v>836</v>
      </c>
      <c r="E520" t="s">
        <v>69</v>
      </c>
      <c r="F520" t="s">
        <v>70</v>
      </c>
      <c r="G520" t="s">
        <v>837</v>
      </c>
      <c r="H520" t="s">
        <v>838</v>
      </c>
      <c r="I520" t="str">
        <f t="shared" si="132"/>
        <v>1010</v>
      </c>
      <c r="J520" t="s">
        <v>839</v>
      </c>
      <c r="K520" t="s">
        <v>838</v>
      </c>
      <c r="L520" t="s">
        <v>840</v>
      </c>
      <c r="M520" t="s">
        <v>838</v>
      </c>
      <c r="N520" t="s">
        <v>851</v>
      </c>
      <c r="O520" t="s">
        <v>852</v>
      </c>
      <c r="P520" t="str">
        <f>"3020664252"</f>
        <v>3020664252</v>
      </c>
      <c r="Q520" t="str">
        <f>"050266425"</f>
        <v>050266425</v>
      </c>
      <c r="R520" t="str">
        <f>"00030206642520"</f>
        <v>00030206642520</v>
      </c>
      <c r="S520" s="1">
        <v>37586</v>
      </c>
      <c r="T520" s="1">
        <v>37586</v>
      </c>
      <c r="U520" t="str">
        <f>"3020664252"</f>
        <v>3020664252</v>
      </c>
      <c r="V520" t="str">
        <f t="shared" si="133"/>
        <v>1510</v>
      </c>
      <c r="W520" t="str">
        <f>"20"</f>
        <v>20</v>
      </c>
      <c r="X520" t="s">
        <v>75</v>
      </c>
      <c r="Y520" t="s">
        <v>76</v>
      </c>
      <c r="Z520" t="s">
        <v>126</v>
      </c>
      <c r="AA520" t="s">
        <v>127</v>
      </c>
      <c r="AB520" t="s">
        <v>80</v>
      </c>
      <c r="AD520" t="s">
        <v>80</v>
      </c>
      <c r="AE520" t="s">
        <v>81</v>
      </c>
      <c r="AF520" t="s">
        <v>82</v>
      </c>
      <c r="AG520" t="s">
        <v>83</v>
      </c>
      <c r="AH520" t="s">
        <v>84</v>
      </c>
      <c r="AI520" t="str">
        <f t="shared" si="134"/>
        <v>01</v>
      </c>
      <c r="AJ520" t="str">
        <f t="shared" si="130"/>
        <v>1</v>
      </c>
      <c r="AK520" t="s">
        <v>107</v>
      </c>
      <c r="AL520" t="s">
        <v>94</v>
      </c>
      <c r="AM520" t="s">
        <v>95</v>
      </c>
      <c r="AN520" t="str">
        <f t="shared" si="131"/>
        <v>.9700</v>
      </c>
      <c r="AO520" t="str">
        <f>"10.78"</f>
        <v>10.78</v>
      </c>
      <c r="AP520" t="s">
        <v>108</v>
      </c>
      <c r="AQ520" t="str">
        <f>"10.78"</f>
        <v>10.78</v>
      </c>
      <c r="AR520">
        <v>3</v>
      </c>
      <c r="AS520">
        <v>0</v>
      </c>
      <c r="AT520">
        <v>3</v>
      </c>
      <c r="AU520">
        <v>20.25</v>
      </c>
      <c r="AV520">
        <v>0</v>
      </c>
      <c r="AW520">
        <v>20.25</v>
      </c>
      <c r="AX520">
        <v>0</v>
      </c>
      <c r="AY520">
        <v>20.25</v>
      </c>
      <c r="AZ520">
        <v>0</v>
      </c>
    </row>
    <row r="521" spans="1:52">
      <c r="A521" t="s">
        <v>833</v>
      </c>
      <c r="B521" t="s">
        <v>834</v>
      </c>
      <c r="C521" t="s">
        <v>835</v>
      </c>
      <c r="D521" t="s">
        <v>836</v>
      </c>
      <c r="E521" t="s">
        <v>69</v>
      </c>
      <c r="F521" t="s">
        <v>70</v>
      </c>
      <c r="G521" t="s">
        <v>837</v>
      </c>
      <c r="H521" t="s">
        <v>838</v>
      </c>
      <c r="I521" t="str">
        <f t="shared" si="132"/>
        <v>1010</v>
      </c>
      <c r="J521" t="s">
        <v>839</v>
      </c>
      <c r="K521" t="s">
        <v>838</v>
      </c>
      <c r="L521" t="s">
        <v>840</v>
      </c>
      <c r="M521" t="s">
        <v>838</v>
      </c>
      <c r="N521" t="s">
        <v>435</v>
      </c>
      <c r="O521" t="s">
        <v>853</v>
      </c>
      <c r="P521" t="str">
        <f>"3020668992"</f>
        <v>3020668992</v>
      </c>
      <c r="R521" t="str">
        <f>"00030206689921"</f>
        <v>00030206689921</v>
      </c>
      <c r="S521" s="1">
        <v>39679</v>
      </c>
      <c r="T521" s="1">
        <v>39679</v>
      </c>
      <c r="U521" t="str">
        <f>"3020668992"</f>
        <v>3020668992</v>
      </c>
      <c r="V521" t="str">
        <f t="shared" si="133"/>
        <v>1510</v>
      </c>
      <c r="W521" t="str">
        <f t="shared" ref="W521:W538" si="135">"11"</f>
        <v>11</v>
      </c>
      <c r="X521" t="s">
        <v>75</v>
      </c>
      <c r="Y521" t="s">
        <v>76</v>
      </c>
      <c r="Z521" t="s">
        <v>254</v>
      </c>
      <c r="AA521" t="s">
        <v>255</v>
      </c>
      <c r="AB521" t="s">
        <v>79</v>
      </c>
      <c r="AD521" t="s">
        <v>80</v>
      </c>
      <c r="AE521" t="s">
        <v>81</v>
      </c>
      <c r="AF521" t="s">
        <v>82</v>
      </c>
      <c r="AG521" t="s">
        <v>83</v>
      </c>
      <c r="AH521" t="s">
        <v>84</v>
      </c>
      <c r="AI521" t="str">
        <f t="shared" si="134"/>
        <v>01</v>
      </c>
      <c r="AJ521" t="str">
        <f t="shared" si="130"/>
        <v>1</v>
      </c>
      <c r="AK521" t="s">
        <v>85</v>
      </c>
      <c r="AL521" t="s">
        <v>94</v>
      </c>
      <c r="AM521" t="s">
        <v>87</v>
      </c>
      <c r="AN521" t="str">
        <f t="shared" si="131"/>
        <v>.9700</v>
      </c>
      <c r="AO521" t="str">
        <f>"7.50"</f>
        <v>7.50</v>
      </c>
      <c r="AP521" t="s">
        <v>88</v>
      </c>
      <c r="AQ521" t="str">
        <f>"7.50"</f>
        <v>7.50</v>
      </c>
      <c r="AR521">
        <v>30</v>
      </c>
      <c r="AS521">
        <v>0</v>
      </c>
      <c r="AT521">
        <v>30</v>
      </c>
      <c r="AU521">
        <v>225.03</v>
      </c>
      <c r="AV521">
        <v>26.63</v>
      </c>
      <c r="AW521">
        <v>198.4</v>
      </c>
      <c r="AX521">
        <v>0</v>
      </c>
      <c r="AY521">
        <v>198.4</v>
      </c>
      <c r="AZ521">
        <v>0</v>
      </c>
    </row>
    <row r="522" spans="1:52">
      <c r="A522" t="s">
        <v>833</v>
      </c>
      <c r="B522" t="s">
        <v>834</v>
      </c>
      <c r="C522" t="s">
        <v>835</v>
      </c>
      <c r="D522" t="s">
        <v>836</v>
      </c>
      <c r="E522" t="s">
        <v>69</v>
      </c>
      <c r="F522" t="s">
        <v>70</v>
      </c>
      <c r="G522" t="s">
        <v>837</v>
      </c>
      <c r="H522" t="s">
        <v>838</v>
      </c>
      <c r="I522" t="str">
        <f t="shared" si="132"/>
        <v>1010</v>
      </c>
      <c r="J522" t="s">
        <v>839</v>
      </c>
      <c r="K522" t="s">
        <v>838</v>
      </c>
      <c r="L522" t="s">
        <v>840</v>
      </c>
      <c r="M522" t="s">
        <v>838</v>
      </c>
      <c r="N522" t="s">
        <v>702</v>
      </c>
      <c r="O522" t="s">
        <v>854</v>
      </c>
      <c r="P522" t="str">
        <f>"3020669722"</f>
        <v>3020669722</v>
      </c>
      <c r="R522" t="str">
        <f>"00030206697223"</f>
        <v>00030206697223</v>
      </c>
      <c r="S522" s="1">
        <v>40050</v>
      </c>
      <c r="T522" s="1">
        <v>40050</v>
      </c>
      <c r="U522" t="str">
        <f>"3020669722"</f>
        <v>3020669722</v>
      </c>
      <c r="V522" t="str">
        <f t="shared" si="133"/>
        <v>1510</v>
      </c>
      <c r="W522" t="str">
        <f t="shared" si="135"/>
        <v>11</v>
      </c>
      <c r="X522" t="s">
        <v>75</v>
      </c>
      <c r="Y522" t="s">
        <v>76</v>
      </c>
      <c r="Z522" t="s">
        <v>254</v>
      </c>
      <c r="AA522" t="s">
        <v>255</v>
      </c>
      <c r="AB522" t="s">
        <v>79</v>
      </c>
      <c r="AD522" t="s">
        <v>80</v>
      </c>
      <c r="AE522" t="s">
        <v>81</v>
      </c>
      <c r="AF522" t="s">
        <v>82</v>
      </c>
      <c r="AG522" t="s">
        <v>83</v>
      </c>
      <c r="AH522" t="s">
        <v>84</v>
      </c>
      <c r="AI522" t="str">
        <f t="shared" si="134"/>
        <v>01</v>
      </c>
      <c r="AJ522" t="str">
        <f t="shared" si="130"/>
        <v>1</v>
      </c>
      <c r="AK522" t="s">
        <v>85</v>
      </c>
      <c r="AL522" t="s">
        <v>86</v>
      </c>
      <c r="AM522" t="s">
        <v>87</v>
      </c>
      <c r="AN522" t="str">
        <f t="shared" si="131"/>
        <v>.9700</v>
      </c>
      <c r="AO522" t="str">
        <f>"7.50"</f>
        <v>7.50</v>
      </c>
      <c r="AP522" t="s">
        <v>88</v>
      </c>
      <c r="AQ522" t="str">
        <f>"7.50"</f>
        <v>7.50</v>
      </c>
      <c r="AR522">
        <v>2</v>
      </c>
      <c r="AS522">
        <v>0</v>
      </c>
      <c r="AT522">
        <v>2</v>
      </c>
      <c r="AU522">
        <v>15</v>
      </c>
      <c r="AV522">
        <v>0</v>
      </c>
      <c r="AW522">
        <v>15</v>
      </c>
      <c r="AX522">
        <v>0</v>
      </c>
      <c r="AY522">
        <v>15</v>
      </c>
      <c r="AZ522">
        <v>0</v>
      </c>
    </row>
    <row r="523" spans="1:52">
      <c r="A523" t="s">
        <v>833</v>
      </c>
      <c r="B523" t="s">
        <v>834</v>
      </c>
      <c r="C523" t="s">
        <v>835</v>
      </c>
      <c r="D523" t="s">
        <v>836</v>
      </c>
      <c r="E523" t="s">
        <v>69</v>
      </c>
      <c r="F523" t="s">
        <v>70</v>
      </c>
      <c r="G523" t="s">
        <v>837</v>
      </c>
      <c r="H523" t="s">
        <v>838</v>
      </c>
      <c r="I523" t="str">
        <f t="shared" si="132"/>
        <v>1010</v>
      </c>
      <c r="J523" t="s">
        <v>839</v>
      </c>
      <c r="K523" t="s">
        <v>838</v>
      </c>
      <c r="L523" t="s">
        <v>840</v>
      </c>
      <c r="M523" t="s">
        <v>838</v>
      </c>
      <c r="N523" t="s">
        <v>746</v>
      </c>
      <c r="O523" t="s">
        <v>104</v>
      </c>
      <c r="P523" t="str">
        <f>"3020610932"</f>
        <v>3020610932</v>
      </c>
      <c r="Q523" t="str">
        <f>"050261093"</f>
        <v>050261093</v>
      </c>
      <c r="R523" t="str">
        <f>"00030206109320"</f>
        <v>00030206109320</v>
      </c>
      <c r="S523" s="1">
        <v>36879</v>
      </c>
      <c r="T523" s="1">
        <v>36872</v>
      </c>
      <c r="U523" t="str">
        <f>"3020610932"</f>
        <v>3020610932</v>
      </c>
      <c r="V523" t="str">
        <f t="shared" si="133"/>
        <v>1510</v>
      </c>
      <c r="W523" t="str">
        <f t="shared" si="135"/>
        <v>11</v>
      </c>
      <c r="X523" t="s">
        <v>75</v>
      </c>
      <c r="Y523" t="s">
        <v>76</v>
      </c>
      <c r="Z523" t="s">
        <v>254</v>
      </c>
      <c r="AA523" t="s">
        <v>255</v>
      </c>
      <c r="AB523" t="s">
        <v>79</v>
      </c>
      <c r="AD523" t="s">
        <v>80</v>
      </c>
      <c r="AE523" t="s">
        <v>81</v>
      </c>
      <c r="AF523" t="s">
        <v>82</v>
      </c>
      <c r="AG523" t="s">
        <v>83</v>
      </c>
      <c r="AH523" t="s">
        <v>84</v>
      </c>
      <c r="AI523" t="str">
        <f>"02"</f>
        <v>02</v>
      </c>
      <c r="AJ523" t="str">
        <f>"2"</f>
        <v>2</v>
      </c>
      <c r="AK523" t="s">
        <v>93</v>
      </c>
      <c r="AL523" t="s">
        <v>94</v>
      </c>
      <c r="AM523" t="s">
        <v>95</v>
      </c>
      <c r="AN523" t="str">
        <f t="shared" si="131"/>
        <v>.9700</v>
      </c>
      <c r="AO523" t="str">
        <f>"11.41"</f>
        <v>11.41</v>
      </c>
      <c r="AP523" t="s">
        <v>96</v>
      </c>
      <c r="AQ523" t="str">
        <f>"11.41"</f>
        <v>11.41</v>
      </c>
      <c r="AR523">
        <v>3</v>
      </c>
      <c r="AS523">
        <v>0</v>
      </c>
      <c r="AT523">
        <v>3</v>
      </c>
      <c r="AU523">
        <v>34.229999999999997</v>
      </c>
      <c r="AV523">
        <v>3.42</v>
      </c>
      <c r="AW523">
        <v>30.81</v>
      </c>
      <c r="AX523">
        <v>0</v>
      </c>
      <c r="AY523">
        <v>30.81</v>
      </c>
      <c r="AZ523">
        <v>0</v>
      </c>
    </row>
    <row r="524" spans="1:52">
      <c r="A524" t="s">
        <v>833</v>
      </c>
      <c r="B524" t="s">
        <v>834</v>
      </c>
      <c r="C524" t="s">
        <v>835</v>
      </c>
      <c r="D524" t="s">
        <v>836</v>
      </c>
      <c r="E524" t="s">
        <v>69</v>
      </c>
      <c r="F524" t="s">
        <v>70</v>
      </c>
      <c r="G524" t="s">
        <v>837</v>
      </c>
      <c r="H524" t="s">
        <v>838</v>
      </c>
      <c r="I524" t="str">
        <f t="shared" si="132"/>
        <v>1010</v>
      </c>
      <c r="J524" t="s">
        <v>67</v>
      </c>
      <c r="K524" t="s">
        <v>855</v>
      </c>
      <c r="L524" t="s">
        <v>856</v>
      </c>
      <c r="M524" t="s">
        <v>855</v>
      </c>
      <c r="N524" t="s">
        <v>857</v>
      </c>
      <c r="O524" t="s">
        <v>858</v>
      </c>
      <c r="P524" t="str">
        <f>"3020665052"</f>
        <v>3020665052</v>
      </c>
      <c r="Q524" t="str">
        <f>"050365052"</f>
        <v>050365052</v>
      </c>
      <c r="R524" t="str">
        <f>"00030206650525"</f>
        <v>00030206650525</v>
      </c>
      <c r="S524" s="1">
        <v>38062</v>
      </c>
      <c r="T524" s="1">
        <v>38062</v>
      </c>
      <c r="U524" t="str">
        <f>"3020665052"</f>
        <v>3020665052</v>
      </c>
      <c r="V524" t="str">
        <f t="shared" si="133"/>
        <v>1510</v>
      </c>
      <c r="W524" t="str">
        <f t="shared" si="135"/>
        <v>11</v>
      </c>
      <c r="X524" t="s">
        <v>75</v>
      </c>
      <c r="Y524" t="s">
        <v>76</v>
      </c>
      <c r="Z524" t="s">
        <v>105</v>
      </c>
      <c r="AA524" t="s">
        <v>106</v>
      </c>
      <c r="AB524" t="s">
        <v>79</v>
      </c>
      <c r="AD524" t="s">
        <v>80</v>
      </c>
      <c r="AE524" t="s">
        <v>81</v>
      </c>
      <c r="AF524" t="s">
        <v>82</v>
      </c>
      <c r="AG524" t="s">
        <v>83</v>
      </c>
      <c r="AH524" t="s">
        <v>84</v>
      </c>
      <c r="AI524" t="str">
        <f>"02"</f>
        <v>02</v>
      </c>
      <c r="AJ524" t="str">
        <f>"2"</f>
        <v>2</v>
      </c>
      <c r="AK524" t="s">
        <v>859</v>
      </c>
      <c r="AL524" t="s">
        <v>94</v>
      </c>
      <c r="AM524" t="s">
        <v>95</v>
      </c>
      <c r="AN524" t="str">
        <f t="shared" si="131"/>
        <v>.9700</v>
      </c>
      <c r="AO524" t="str">
        <f>"14.81"</f>
        <v>14.81</v>
      </c>
      <c r="AP524" t="s">
        <v>860</v>
      </c>
      <c r="AQ524" t="str">
        <f>"14.81"</f>
        <v>14.81</v>
      </c>
      <c r="AR524">
        <v>28</v>
      </c>
      <c r="AS524">
        <v>-2</v>
      </c>
      <c r="AT524">
        <v>26</v>
      </c>
      <c r="AU524">
        <v>414.59</v>
      </c>
      <c r="AV524">
        <v>49.75</v>
      </c>
      <c r="AW524">
        <v>364.84</v>
      </c>
      <c r="AX524">
        <v>-27.16</v>
      </c>
      <c r="AY524">
        <v>337.68</v>
      </c>
      <c r="AZ524">
        <v>0</v>
      </c>
    </row>
    <row r="525" spans="1:52">
      <c r="A525" t="s">
        <v>833</v>
      </c>
      <c r="B525" t="s">
        <v>834</v>
      </c>
      <c r="C525" t="s">
        <v>835</v>
      </c>
      <c r="D525" t="s">
        <v>836</v>
      </c>
      <c r="E525" t="s">
        <v>69</v>
      </c>
      <c r="F525" t="s">
        <v>70</v>
      </c>
      <c r="G525" t="s">
        <v>837</v>
      </c>
      <c r="H525" t="s">
        <v>838</v>
      </c>
      <c r="I525" t="str">
        <f t="shared" si="132"/>
        <v>1010</v>
      </c>
      <c r="J525" t="s">
        <v>67</v>
      </c>
      <c r="K525" t="s">
        <v>855</v>
      </c>
      <c r="L525" t="s">
        <v>856</v>
      </c>
      <c r="M525" t="s">
        <v>855</v>
      </c>
      <c r="N525" t="s">
        <v>861</v>
      </c>
      <c r="O525" t="s">
        <v>861</v>
      </c>
      <c r="P525" t="str">
        <f>"3020624162"</f>
        <v>3020624162</v>
      </c>
      <c r="R525" t="str">
        <f>"00030206241624"</f>
        <v>00030206241624</v>
      </c>
      <c r="S525" s="1">
        <v>41072</v>
      </c>
      <c r="T525" s="1">
        <v>41072</v>
      </c>
      <c r="U525" t="str">
        <f>"3020624162"</f>
        <v>3020624162</v>
      </c>
      <c r="V525" t="str">
        <f t="shared" si="133"/>
        <v>1510</v>
      </c>
      <c r="W525" t="str">
        <f t="shared" si="135"/>
        <v>11</v>
      </c>
      <c r="X525" t="s">
        <v>75</v>
      </c>
      <c r="Y525" t="s">
        <v>76</v>
      </c>
      <c r="Z525" t="s">
        <v>169</v>
      </c>
      <c r="AA525" t="s">
        <v>170</v>
      </c>
      <c r="AB525" t="s">
        <v>79</v>
      </c>
      <c r="AD525" t="s">
        <v>80</v>
      </c>
      <c r="AE525" t="s">
        <v>81</v>
      </c>
      <c r="AF525" t="s">
        <v>82</v>
      </c>
      <c r="AG525" t="s">
        <v>83</v>
      </c>
      <c r="AH525" t="s">
        <v>84</v>
      </c>
      <c r="AI525" t="str">
        <f>"01"</f>
        <v>01</v>
      </c>
      <c r="AJ525" t="str">
        <f>"1"</f>
        <v>1</v>
      </c>
      <c r="AK525" t="s">
        <v>85</v>
      </c>
      <c r="AL525" t="s">
        <v>94</v>
      </c>
      <c r="AM525" t="s">
        <v>87</v>
      </c>
      <c r="AN525" t="str">
        <f t="shared" si="131"/>
        <v>.9700</v>
      </c>
      <c r="AO525" t="str">
        <f>"7.50"</f>
        <v>7.50</v>
      </c>
      <c r="AP525" t="s">
        <v>88</v>
      </c>
      <c r="AQ525" t="str">
        <f>"7.50"</f>
        <v>7.50</v>
      </c>
      <c r="AR525">
        <v>6</v>
      </c>
      <c r="AS525">
        <v>-17</v>
      </c>
      <c r="AT525">
        <v>-11</v>
      </c>
      <c r="AU525">
        <v>45.03</v>
      </c>
      <c r="AV525">
        <v>1.88</v>
      </c>
      <c r="AW525">
        <v>43.15</v>
      </c>
      <c r="AX525">
        <v>-117.29</v>
      </c>
      <c r="AY525">
        <v>-74.14</v>
      </c>
      <c r="AZ525">
        <v>0</v>
      </c>
    </row>
    <row r="526" spans="1:52">
      <c r="A526" t="s">
        <v>833</v>
      </c>
      <c r="B526" t="s">
        <v>834</v>
      </c>
      <c r="C526" t="s">
        <v>835</v>
      </c>
      <c r="D526" t="s">
        <v>836</v>
      </c>
      <c r="E526" t="s">
        <v>69</v>
      </c>
      <c r="F526" t="s">
        <v>70</v>
      </c>
      <c r="G526" t="s">
        <v>837</v>
      </c>
      <c r="H526" t="s">
        <v>838</v>
      </c>
      <c r="I526" t="str">
        <f t="shared" si="132"/>
        <v>1010</v>
      </c>
      <c r="J526" t="s">
        <v>67</v>
      </c>
      <c r="K526" t="s">
        <v>855</v>
      </c>
      <c r="L526" t="s">
        <v>856</v>
      </c>
      <c r="M526" t="s">
        <v>855</v>
      </c>
      <c r="N526" t="s">
        <v>841</v>
      </c>
      <c r="O526" t="s">
        <v>862</v>
      </c>
      <c r="P526" t="str">
        <f>"3020667302"</f>
        <v>3020667302</v>
      </c>
      <c r="R526" t="str">
        <f>"00030206673029"</f>
        <v>00030206673029</v>
      </c>
      <c r="S526" s="1">
        <v>38846</v>
      </c>
      <c r="T526" s="1">
        <v>38846</v>
      </c>
      <c r="U526" t="str">
        <f>"3020667302"</f>
        <v>3020667302</v>
      </c>
      <c r="V526" t="str">
        <f t="shared" si="133"/>
        <v>1510</v>
      </c>
      <c r="W526" t="str">
        <f t="shared" si="135"/>
        <v>11</v>
      </c>
      <c r="X526" t="s">
        <v>75</v>
      </c>
      <c r="Y526" t="s">
        <v>76</v>
      </c>
      <c r="Z526" t="s">
        <v>126</v>
      </c>
      <c r="AA526" t="s">
        <v>127</v>
      </c>
      <c r="AB526" t="s">
        <v>79</v>
      </c>
      <c r="AD526" t="s">
        <v>80</v>
      </c>
      <c r="AE526" t="s">
        <v>81</v>
      </c>
      <c r="AF526" t="s">
        <v>82</v>
      </c>
      <c r="AG526" t="s">
        <v>83</v>
      </c>
      <c r="AH526" t="s">
        <v>84</v>
      </c>
      <c r="AI526" t="str">
        <f>"01"</f>
        <v>01</v>
      </c>
      <c r="AJ526" t="str">
        <f>"1"</f>
        <v>1</v>
      </c>
      <c r="AK526" t="s">
        <v>101</v>
      </c>
      <c r="AL526" t="s">
        <v>94</v>
      </c>
      <c r="AM526" t="s">
        <v>95</v>
      </c>
      <c r="AN526" t="str">
        <f t="shared" si="131"/>
        <v>.9700</v>
      </c>
      <c r="AO526" t="str">
        <f>"9.07"</f>
        <v>9.07</v>
      </c>
      <c r="AP526" t="s">
        <v>102</v>
      </c>
      <c r="AQ526" t="str">
        <f>"9.07"</f>
        <v>9.07</v>
      </c>
      <c r="AR526">
        <v>0</v>
      </c>
      <c r="AS526">
        <v>-2</v>
      </c>
      <c r="AT526">
        <v>-2</v>
      </c>
      <c r="AU526">
        <v>0</v>
      </c>
      <c r="AV526">
        <v>0</v>
      </c>
      <c r="AW526">
        <v>0</v>
      </c>
      <c r="AX526">
        <v>-16.66</v>
      </c>
      <c r="AY526">
        <v>-16.66</v>
      </c>
      <c r="AZ526">
        <v>0</v>
      </c>
    </row>
    <row r="527" spans="1:52">
      <c r="A527" t="s">
        <v>833</v>
      </c>
      <c r="B527" t="s">
        <v>834</v>
      </c>
      <c r="C527" t="s">
        <v>835</v>
      </c>
      <c r="D527" t="s">
        <v>836</v>
      </c>
      <c r="E527" t="s">
        <v>69</v>
      </c>
      <c r="F527" t="s">
        <v>70</v>
      </c>
      <c r="G527" t="s">
        <v>837</v>
      </c>
      <c r="H527" t="s">
        <v>838</v>
      </c>
      <c r="I527" t="str">
        <f t="shared" si="132"/>
        <v>1010</v>
      </c>
      <c r="J527" t="s">
        <v>67</v>
      </c>
      <c r="K527" t="s">
        <v>855</v>
      </c>
      <c r="L527" t="s">
        <v>856</v>
      </c>
      <c r="M527" t="s">
        <v>855</v>
      </c>
      <c r="N527" t="s">
        <v>863</v>
      </c>
      <c r="O527" t="s">
        <v>864</v>
      </c>
      <c r="P527" t="str">
        <f>"3020669492"</f>
        <v>3020669492</v>
      </c>
      <c r="R527" t="str">
        <f>"00030206694925"</f>
        <v>00030206694925</v>
      </c>
      <c r="S527" s="1">
        <v>39945</v>
      </c>
      <c r="T527" s="1">
        <v>39917</v>
      </c>
      <c r="U527" t="str">
        <f>"3020669492"</f>
        <v>3020669492</v>
      </c>
      <c r="V527" t="str">
        <f t="shared" si="133"/>
        <v>1510</v>
      </c>
      <c r="W527" t="str">
        <f t="shared" si="135"/>
        <v>11</v>
      </c>
      <c r="X527" t="s">
        <v>75</v>
      </c>
      <c r="Y527" t="s">
        <v>76</v>
      </c>
      <c r="Z527" t="s">
        <v>91</v>
      </c>
      <c r="AA527" t="s">
        <v>92</v>
      </c>
      <c r="AB527" t="s">
        <v>79</v>
      </c>
      <c r="AD527" t="s">
        <v>80</v>
      </c>
      <c r="AE527" t="s">
        <v>81</v>
      </c>
      <c r="AF527" t="s">
        <v>82</v>
      </c>
      <c r="AG527" t="s">
        <v>83</v>
      </c>
      <c r="AH527" t="s">
        <v>84</v>
      </c>
      <c r="AI527" t="str">
        <f>"01"</f>
        <v>01</v>
      </c>
      <c r="AJ527" t="str">
        <f>"1"</f>
        <v>1</v>
      </c>
      <c r="AK527" t="s">
        <v>101</v>
      </c>
      <c r="AL527" t="s">
        <v>94</v>
      </c>
      <c r="AM527" t="s">
        <v>95</v>
      </c>
      <c r="AN527" t="str">
        <f t="shared" si="131"/>
        <v>.9700</v>
      </c>
      <c r="AO527" t="str">
        <f>"9.07"</f>
        <v>9.07</v>
      </c>
      <c r="AP527" t="s">
        <v>102</v>
      </c>
      <c r="AQ527" t="str">
        <f>"9.07"</f>
        <v>9.07</v>
      </c>
      <c r="AR527">
        <v>158</v>
      </c>
      <c r="AS527">
        <v>-5</v>
      </c>
      <c r="AT527">
        <v>153</v>
      </c>
      <c r="AU527">
        <v>1432.93</v>
      </c>
      <c r="AV527">
        <v>169.55</v>
      </c>
      <c r="AW527">
        <v>1263.3800000000001</v>
      </c>
      <c r="AX527">
        <v>-42.13</v>
      </c>
      <c r="AY527">
        <v>1221.25</v>
      </c>
      <c r="AZ527">
        <v>0</v>
      </c>
    </row>
    <row r="528" spans="1:52">
      <c r="A528" t="s">
        <v>833</v>
      </c>
      <c r="B528" t="s">
        <v>834</v>
      </c>
      <c r="C528" t="s">
        <v>835</v>
      </c>
      <c r="D528" t="s">
        <v>836</v>
      </c>
      <c r="E528" t="s">
        <v>69</v>
      </c>
      <c r="F528" t="s">
        <v>70</v>
      </c>
      <c r="G528" t="s">
        <v>837</v>
      </c>
      <c r="H528" t="s">
        <v>838</v>
      </c>
      <c r="I528" t="str">
        <f t="shared" si="132"/>
        <v>1010</v>
      </c>
      <c r="J528" t="s">
        <v>67</v>
      </c>
      <c r="K528" t="s">
        <v>855</v>
      </c>
      <c r="L528" t="s">
        <v>856</v>
      </c>
      <c r="M528" t="s">
        <v>855</v>
      </c>
      <c r="N528" t="s">
        <v>865</v>
      </c>
      <c r="O528" t="s">
        <v>866</v>
      </c>
      <c r="P528" t="str">
        <f>"3020667182"</f>
        <v>3020667182</v>
      </c>
      <c r="R528" t="str">
        <f>"00030206671827"</f>
        <v>00030206671827</v>
      </c>
      <c r="S528" s="1">
        <v>38797</v>
      </c>
      <c r="T528" s="1">
        <v>38797</v>
      </c>
      <c r="U528" t="str">
        <f>"3020667182"</f>
        <v>3020667182</v>
      </c>
      <c r="V528" t="str">
        <f t="shared" si="133"/>
        <v>1510</v>
      </c>
      <c r="W528" t="str">
        <f t="shared" si="135"/>
        <v>11</v>
      </c>
      <c r="X528" t="s">
        <v>75</v>
      </c>
      <c r="Y528" t="s">
        <v>76</v>
      </c>
      <c r="Z528" t="s">
        <v>126</v>
      </c>
      <c r="AA528" t="s">
        <v>127</v>
      </c>
      <c r="AB528" t="s">
        <v>79</v>
      </c>
      <c r="AD528" t="s">
        <v>80</v>
      </c>
      <c r="AE528" t="s">
        <v>81</v>
      </c>
      <c r="AF528" t="s">
        <v>82</v>
      </c>
      <c r="AG528" t="s">
        <v>867</v>
      </c>
      <c r="AH528" t="s">
        <v>868</v>
      </c>
      <c r="AJ528" t="str">
        <f>"1"</f>
        <v>1</v>
      </c>
      <c r="AK528" t="s">
        <v>869</v>
      </c>
      <c r="AL528" t="s">
        <v>870</v>
      </c>
      <c r="AM528" t="s">
        <v>95</v>
      </c>
      <c r="AN528" t="str">
        <f t="shared" si="131"/>
        <v>.9700</v>
      </c>
      <c r="AO528" t="str">
        <f>"9.51"</f>
        <v>9.51</v>
      </c>
      <c r="AP528" t="s">
        <v>871</v>
      </c>
      <c r="AQ528" t="str">
        <f>"9.51"</f>
        <v>9.51</v>
      </c>
      <c r="AR528">
        <v>0</v>
      </c>
      <c r="AS528">
        <v>-1</v>
      </c>
      <c r="AT528">
        <v>-1</v>
      </c>
      <c r="AU528">
        <v>0</v>
      </c>
      <c r="AV528">
        <v>0</v>
      </c>
      <c r="AW528">
        <v>0</v>
      </c>
      <c r="AX528">
        <v>-8.59</v>
      </c>
      <c r="AY528">
        <v>-8.59</v>
      </c>
      <c r="AZ528">
        <v>0</v>
      </c>
    </row>
    <row r="529" spans="1:52">
      <c r="A529" t="s">
        <v>833</v>
      </c>
      <c r="B529" t="s">
        <v>834</v>
      </c>
      <c r="C529" t="s">
        <v>835</v>
      </c>
      <c r="D529" t="s">
        <v>836</v>
      </c>
      <c r="E529" t="s">
        <v>69</v>
      </c>
      <c r="F529" t="s">
        <v>70</v>
      </c>
      <c r="G529" t="s">
        <v>837</v>
      </c>
      <c r="H529" t="s">
        <v>838</v>
      </c>
      <c r="I529" t="str">
        <f t="shared" si="132"/>
        <v>1010</v>
      </c>
      <c r="J529" t="s">
        <v>67</v>
      </c>
      <c r="K529" t="s">
        <v>855</v>
      </c>
      <c r="L529" t="s">
        <v>856</v>
      </c>
      <c r="M529" t="s">
        <v>855</v>
      </c>
      <c r="N529" t="s">
        <v>123</v>
      </c>
      <c r="O529" t="s">
        <v>872</v>
      </c>
      <c r="P529" t="str">
        <f>"3020662712"</f>
        <v>3020662712</v>
      </c>
      <c r="Q529" t="str">
        <f>"050266271"</f>
        <v>050266271</v>
      </c>
      <c r="R529" t="str">
        <f>"00030206627121"</f>
        <v>00030206627121</v>
      </c>
      <c r="S529" s="1">
        <v>37194</v>
      </c>
      <c r="T529" s="1">
        <v>37194</v>
      </c>
      <c r="U529" t="str">
        <f>"3020662712"</f>
        <v>3020662712</v>
      </c>
      <c r="V529" t="str">
        <f t="shared" si="133"/>
        <v>1510</v>
      </c>
      <c r="W529" t="str">
        <f t="shared" si="135"/>
        <v>11</v>
      </c>
      <c r="X529" t="s">
        <v>75</v>
      </c>
      <c r="Y529" t="s">
        <v>76</v>
      </c>
      <c r="Z529" t="s">
        <v>126</v>
      </c>
      <c r="AA529" t="s">
        <v>127</v>
      </c>
      <c r="AB529" t="s">
        <v>79</v>
      </c>
      <c r="AD529" t="s">
        <v>80</v>
      </c>
      <c r="AE529" t="s">
        <v>81</v>
      </c>
      <c r="AF529" t="s">
        <v>82</v>
      </c>
      <c r="AG529" t="s">
        <v>83</v>
      </c>
      <c r="AH529" t="s">
        <v>84</v>
      </c>
      <c r="AI529" t="str">
        <f>"01"</f>
        <v>01</v>
      </c>
      <c r="AJ529" t="str">
        <f>"1"</f>
        <v>1</v>
      </c>
      <c r="AK529" t="s">
        <v>107</v>
      </c>
      <c r="AL529" t="s">
        <v>94</v>
      </c>
      <c r="AM529" t="s">
        <v>95</v>
      </c>
      <c r="AN529" t="str">
        <f t="shared" si="131"/>
        <v>.9700</v>
      </c>
      <c r="AO529" t="str">
        <f>"10.78"</f>
        <v>10.78</v>
      </c>
      <c r="AP529" t="s">
        <v>108</v>
      </c>
      <c r="AQ529" t="str">
        <f>"10.78"</f>
        <v>10.78</v>
      </c>
      <c r="AR529">
        <v>11</v>
      </c>
      <c r="AS529">
        <v>0</v>
      </c>
      <c r="AT529">
        <v>11</v>
      </c>
      <c r="AU529">
        <v>118.58</v>
      </c>
      <c r="AV529">
        <v>7.44</v>
      </c>
      <c r="AW529">
        <v>111.14</v>
      </c>
      <c r="AX529">
        <v>0</v>
      </c>
      <c r="AY529">
        <v>111.14</v>
      </c>
      <c r="AZ529">
        <v>0</v>
      </c>
    </row>
    <row r="530" spans="1:52">
      <c r="A530" t="s">
        <v>833</v>
      </c>
      <c r="B530" t="s">
        <v>834</v>
      </c>
      <c r="C530" t="s">
        <v>835</v>
      </c>
      <c r="D530" t="s">
        <v>836</v>
      </c>
      <c r="E530" t="s">
        <v>69</v>
      </c>
      <c r="F530" t="s">
        <v>70</v>
      </c>
      <c r="G530" t="s">
        <v>837</v>
      </c>
      <c r="H530" t="s">
        <v>838</v>
      </c>
      <c r="I530" t="str">
        <f t="shared" si="132"/>
        <v>1010</v>
      </c>
      <c r="J530" t="s">
        <v>67</v>
      </c>
      <c r="K530" t="s">
        <v>855</v>
      </c>
      <c r="L530" t="s">
        <v>856</v>
      </c>
      <c r="M530" t="s">
        <v>855</v>
      </c>
      <c r="N530" t="s">
        <v>123</v>
      </c>
      <c r="O530" t="s">
        <v>873</v>
      </c>
      <c r="P530" t="str">
        <f>"3020664082"</f>
        <v>3020664082</v>
      </c>
      <c r="Q530" t="str">
        <f>"050366408"</f>
        <v>050366408</v>
      </c>
      <c r="R530" t="str">
        <f>"00030206640823"</f>
        <v>00030206640823</v>
      </c>
      <c r="S530" s="1">
        <v>37558</v>
      </c>
      <c r="T530" s="1">
        <v>37558</v>
      </c>
      <c r="U530" t="str">
        <f>"3020664082"</f>
        <v>3020664082</v>
      </c>
      <c r="V530" t="str">
        <f t="shared" si="133"/>
        <v>1510</v>
      </c>
      <c r="W530" t="str">
        <f t="shared" si="135"/>
        <v>11</v>
      </c>
      <c r="X530" t="s">
        <v>75</v>
      </c>
      <c r="Y530" t="s">
        <v>76</v>
      </c>
      <c r="Z530" t="s">
        <v>126</v>
      </c>
      <c r="AA530" t="s">
        <v>127</v>
      </c>
      <c r="AB530" t="s">
        <v>79</v>
      </c>
      <c r="AD530" t="s">
        <v>80</v>
      </c>
      <c r="AE530" t="s">
        <v>81</v>
      </c>
      <c r="AF530" t="s">
        <v>82</v>
      </c>
      <c r="AG530" t="s">
        <v>83</v>
      </c>
      <c r="AH530" t="s">
        <v>84</v>
      </c>
      <c r="AI530" t="str">
        <f>"02"</f>
        <v>02</v>
      </c>
      <c r="AJ530" t="str">
        <f>"2"</f>
        <v>2</v>
      </c>
      <c r="AK530" t="s">
        <v>240</v>
      </c>
      <c r="AL530" t="s">
        <v>94</v>
      </c>
      <c r="AM530" t="s">
        <v>95</v>
      </c>
      <c r="AN530" t="str">
        <f t="shared" si="131"/>
        <v>.9700</v>
      </c>
      <c r="AO530" t="str">
        <f>"12.65"</f>
        <v>12.65</v>
      </c>
      <c r="AP530" t="s">
        <v>241</v>
      </c>
      <c r="AQ530" t="str">
        <f>"12.65"</f>
        <v>12.65</v>
      </c>
      <c r="AR530">
        <v>2</v>
      </c>
      <c r="AS530">
        <v>0</v>
      </c>
      <c r="AT530">
        <v>2</v>
      </c>
      <c r="AU530">
        <v>25.3</v>
      </c>
      <c r="AV530">
        <v>0</v>
      </c>
      <c r="AW530">
        <v>25.3</v>
      </c>
      <c r="AX530">
        <v>0</v>
      </c>
      <c r="AY530">
        <v>25.3</v>
      </c>
      <c r="AZ530">
        <v>0</v>
      </c>
    </row>
    <row r="531" spans="1:52">
      <c r="A531" t="s">
        <v>833</v>
      </c>
      <c r="B531" t="s">
        <v>834</v>
      </c>
      <c r="C531" t="s">
        <v>835</v>
      </c>
      <c r="D531" t="s">
        <v>836</v>
      </c>
      <c r="E531" t="s">
        <v>69</v>
      </c>
      <c r="F531" t="s">
        <v>70</v>
      </c>
      <c r="G531" t="s">
        <v>837</v>
      </c>
      <c r="H531" t="s">
        <v>838</v>
      </c>
      <c r="I531" t="str">
        <f t="shared" si="132"/>
        <v>1010</v>
      </c>
      <c r="J531" t="s">
        <v>67</v>
      </c>
      <c r="K531" t="s">
        <v>855</v>
      </c>
      <c r="L531" t="s">
        <v>856</v>
      </c>
      <c r="M531" t="s">
        <v>855</v>
      </c>
      <c r="N531" t="s">
        <v>123</v>
      </c>
      <c r="O531" t="s">
        <v>874</v>
      </c>
      <c r="P531" t="str">
        <f>"3020670082"</f>
        <v>3020670082</v>
      </c>
      <c r="R531" t="str">
        <f>"00030206700824"</f>
        <v>00030206700824</v>
      </c>
      <c r="S531" s="1">
        <v>40274</v>
      </c>
      <c r="T531" s="1">
        <v>40274</v>
      </c>
      <c r="U531" t="str">
        <f>"3020670082"</f>
        <v>3020670082</v>
      </c>
      <c r="V531" t="str">
        <f t="shared" si="133"/>
        <v>1510</v>
      </c>
      <c r="W531" t="str">
        <f t="shared" si="135"/>
        <v>11</v>
      </c>
      <c r="X531" t="s">
        <v>75</v>
      </c>
      <c r="Y531" t="s">
        <v>76</v>
      </c>
      <c r="Z531" t="s">
        <v>126</v>
      </c>
      <c r="AA531" t="s">
        <v>127</v>
      </c>
      <c r="AB531" t="s">
        <v>79</v>
      </c>
      <c r="AD531" t="s">
        <v>80</v>
      </c>
      <c r="AE531" t="s">
        <v>81</v>
      </c>
      <c r="AF531" t="s">
        <v>82</v>
      </c>
      <c r="AG531" t="s">
        <v>83</v>
      </c>
      <c r="AH531" t="s">
        <v>84</v>
      </c>
      <c r="AI531" t="str">
        <f>"01"</f>
        <v>01</v>
      </c>
      <c r="AJ531" t="str">
        <f>"1"</f>
        <v>1</v>
      </c>
      <c r="AK531" t="s">
        <v>85</v>
      </c>
      <c r="AL531" t="s">
        <v>86</v>
      </c>
      <c r="AM531" t="s">
        <v>87</v>
      </c>
      <c r="AN531" t="str">
        <f t="shared" si="131"/>
        <v>.9700</v>
      </c>
      <c r="AO531" t="str">
        <f>"7.50"</f>
        <v>7.50</v>
      </c>
      <c r="AP531" t="s">
        <v>88</v>
      </c>
      <c r="AQ531" t="str">
        <f>"7.50"</f>
        <v>7.50</v>
      </c>
      <c r="AR531">
        <v>8</v>
      </c>
      <c r="AS531">
        <v>-1</v>
      </c>
      <c r="AT531">
        <v>7</v>
      </c>
      <c r="AU531">
        <v>60</v>
      </c>
      <c r="AV531">
        <v>7.16</v>
      </c>
      <c r="AW531">
        <v>52.84</v>
      </c>
      <c r="AX531">
        <v>-6.95</v>
      </c>
      <c r="AY531">
        <v>45.89</v>
      </c>
      <c r="AZ531">
        <v>0</v>
      </c>
    </row>
    <row r="532" spans="1:52">
      <c r="A532" t="s">
        <v>833</v>
      </c>
      <c r="B532" t="s">
        <v>834</v>
      </c>
      <c r="C532" t="s">
        <v>835</v>
      </c>
      <c r="D532" t="s">
        <v>836</v>
      </c>
      <c r="E532" t="s">
        <v>69</v>
      </c>
      <c r="F532" t="s">
        <v>70</v>
      </c>
      <c r="G532" t="s">
        <v>837</v>
      </c>
      <c r="H532" t="s">
        <v>838</v>
      </c>
      <c r="I532" t="str">
        <f t="shared" si="132"/>
        <v>1010</v>
      </c>
      <c r="J532" t="s">
        <v>67</v>
      </c>
      <c r="K532" t="s">
        <v>855</v>
      </c>
      <c r="L532" t="s">
        <v>856</v>
      </c>
      <c r="M532" t="s">
        <v>855</v>
      </c>
      <c r="N532" t="s">
        <v>875</v>
      </c>
      <c r="O532" t="s">
        <v>185</v>
      </c>
      <c r="P532" t="str">
        <f>"3020663042"</f>
        <v>3020663042</v>
      </c>
      <c r="Q532" t="str">
        <f>"050266304"</f>
        <v>050266304</v>
      </c>
      <c r="R532" t="str">
        <f>"00030206630428"</f>
        <v>00030206630428</v>
      </c>
      <c r="S532" s="1">
        <v>37383</v>
      </c>
      <c r="T532" s="1">
        <v>37383</v>
      </c>
      <c r="U532" t="str">
        <f>"3020663042"</f>
        <v>3020663042</v>
      </c>
      <c r="V532" t="str">
        <f t="shared" si="133"/>
        <v>1510</v>
      </c>
      <c r="W532" t="str">
        <f t="shared" si="135"/>
        <v>11</v>
      </c>
      <c r="X532" t="s">
        <v>75</v>
      </c>
      <c r="Y532" t="s">
        <v>76</v>
      </c>
      <c r="Z532" t="s">
        <v>105</v>
      </c>
      <c r="AA532" t="s">
        <v>106</v>
      </c>
      <c r="AB532" t="s">
        <v>79</v>
      </c>
      <c r="AD532" t="s">
        <v>80</v>
      </c>
      <c r="AE532" t="s">
        <v>81</v>
      </c>
      <c r="AF532" t="s">
        <v>82</v>
      </c>
      <c r="AG532" t="s">
        <v>83</v>
      </c>
      <c r="AH532" t="s">
        <v>84</v>
      </c>
      <c r="AI532" t="str">
        <f>"01"</f>
        <v>01</v>
      </c>
      <c r="AJ532" t="str">
        <f>"1"</f>
        <v>1</v>
      </c>
      <c r="AK532" t="s">
        <v>93</v>
      </c>
      <c r="AL532" t="s">
        <v>94</v>
      </c>
      <c r="AM532" t="s">
        <v>95</v>
      </c>
      <c r="AN532" t="str">
        <f t="shared" si="131"/>
        <v>.9700</v>
      </c>
      <c r="AO532" t="str">
        <f>"11.41"</f>
        <v>11.41</v>
      </c>
      <c r="AP532" t="s">
        <v>96</v>
      </c>
      <c r="AQ532" t="str">
        <f>"11.41"</f>
        <v>11.41</v>
      </c>
      <c r="AR532">
        <v>103</v>
      </c>
      <c r="AS532">
        <v>-2</v>
      </c>
      <c r="AT532">
        <v>101</v>
      </c>
      <c r="AU532">
        <v>1175.17</v>
      </c>
      <c r="AV532">
        <v>140.27000000000001</v>
      </c>
      <c r="AW532">
        <v>1034.9000000000001</v>
      </c>
      <c r="AX532">
        <v>-21.06</v>
      </c>
      <c r="AY532">
        <v>1013.84</v>
      </c>
      <c r="AZ532">
        <v>0</v>
      </c>
    </row>
    <row r="533" spans="1:52">
      <c r="A533" t="s">
        <v>833</v>
      </c>
      <c r="B533" t="s">
        <v>834</v>
      </c>
      <c r="C533" t="s">
        <v>835</v>
      </c>
      <c r="D533" t="s">
        <v>836</v>
      </c>
      <c r="E533" t="s">
        <v>69</v>
      </c>
      <c r="F533" t="s">
        <v>70</v>
      </c>
      <c r="G533" t="s">
        <v>837</v>
      </c>
      <c r="H533" t="s">
        <v>838</v>
      </c>
      <c r="I533" t="str">
        <f t="shared" si="132"/>
        <v>1010</v>
      </c>
      <c r="J533" t="s">
        <v>67</v>
      </c>
      <c r="K533" t="s">
        <v>855</v>
      </c>
      <c r="L533" t="s">
        <v>856</v>
      </c>
      <c r="M533" t="s">
        <v>855</v>
      </c>
      <c r="N533" t="s">
        <v>876</v>
      </c>
      <c r="O533" t="s">
        <v>877</v>
      </c>
      <c r="P533" t="str">
        <f>"3020617482"</f>
        <v>3020617482</v>
      </c>
      <c r="R533" t="str">
        <f>"00030206174823"</f>
        <v>00030206174823</v>
      </c>
      <c r="S533" s="1">
        <v>39959</v>
      </c>
      <c r="T533" s="1">
        <v>39770</v>
      </c>
      <c r="U533" t="str">
        <f>"3020617482"</f>
        <v>3020617482</v>
      </c>
      <c r="V533" t="str">
        <f t="shared" si="133"/>
        <v>1510</v>
      </c>
      <c r="W533" t="str">
        <f t="shared" si="135"/>
        <v>11</v>
      </c>
      <c r="X533" t="s">
        <v>75</v>
      </c>
      <c r="Y533" t="s">
        <v>76</v>
      </c>
      <c r="Z533" t="s">
        <v>105</v>
      </c>
      <c r="AA533" t="s">
        <v>106</v>
      </c>
      <c r="AB533" t="s">
        <v>79</v>
      </c>
      <c r="AD533" t="s">
        <v>80</v>
      </c>
      <c r="AE533" t="s">
        <v>81</v>
      </c>
      <c r="AF533" t="s">
        <v>82</v>
      </c>
      <c r="AG533" t="s">
        <v>133</v>
      </c>
      <c r="AH533" t="s">
        <v>134</v>
      </c>
      <c r="AI533" t="str">
        <f>"02"</f>
        <v>02</v>
      </c>
      <c r="AJ533" t="str">
        <f>"2"</f>
        <v>2</v>
      </c>
      <c r="AK533" t="s">
        <v>240</v>
      </c>
      <c r="AL533" t="s">
        <v>94</v>
      </c>
      <c r="AM533" t="s">
        <v>95</v>
      </c>
      <c r="AN533" t="str">
        <f t="shared" si="131"/>
        <v>.9700</v>
      </c>
      <c r="AO533" t="str">
        <f>"12.65"</f>
        <v>12.65</v>
      </c>
      <c r="AP533" t="s">
        <v>241</v>
      </c>
      <c r="AQ533" t="str">
        <f>"12.65"</f>
        <v>12.65</v>
      </c>
      <c r="AR533">
        <v>30</v>
      </c>
      <c r="AS533">
        <v>-1</v>
      </c>
      <c r="AT533">
        <v>29</v>
      </c>
      <c r="AU533">
        <v>379.43</v>
      </c>
      <c r="AV533">
        <v>45.53</v>
      </c>
      <c r="AW533">
        <v>333.9</v>
      </c>
      <c r="AX533">
        <v>-11.24</v>
      </c>
      <c r="AY533">
        <v>322.66000000000003</v>
      </c>
      <c r="AZ533">
        <v>0</v>
      </c>
    </row>
    <row r="534" spans="1:52">
      <c r="A534" t="s">
        <v>833</v>
      </c>
      <c r="B534" t="s">
        <v>834</v>
      </c>
      <c r="C534" t="s">
        <v>835</v>
      </c>
      <c r="D534" t="s">
        <v>836</v>
      </c>
      <c r="E534" t="s">
        <v>69</v>
      </c>
      <c r="F534" t="s">
        <v>70</v>
      </c>
      <c r="G534" t="s">
        <v>837</v>
      </c>
      <c r="H534" t="s">
        <v>838</v>
      </c>
      <c r="I534" t="str">
        <f t="shared" si="132"/>
        <v>1010</v>
      </c>
      <c r="J534" t="s">
        <v>67</v>
      </c>
      <c r="K534" t="s">
        <v>855</v>
      </c>
      <c r="L534" t="s">
        <v>856</v>
      </c>
      <c r="M534" t="s">
        <v>855</v>
      </c>
      <c r="N534" t="s">
        <v>781</v>
      </c>
      <c r="O534" t="s">
        <v>878</v>
      </c>
      <c r="P534" t="str">
        <f>"3020670042"</f>
        <v>3020670042</v>
      </c>
      <c r="R534" t="str">
        <f>"00030206700428"</f>
        <v>00030206700428</v>
      </c>
      <c r="S534" s="1">
        <v>40288</v>
      </c>
      <c r="T534" s="1">
        <v>40288</v>
      </c>
      <c r="U534" t="str">
        <f>"3020670042"</f>
        <v>3020670042</v>
      </c>
      <c r="V534" t="str">
        <f t="shared" si="133"/>
        <v>1510</v>
      </c>
      <c r="W534" t="str">
        <f t="shared" si="135"/>
        <v>11</v>
      </c>
      <c r="X534" t="s">
        <v>75</v>
      </c>
      <c r="Y534" t="s">
        <v>76</v>
      </c>
      <c r="Z534" t="s">
        <v>254</v>
      </c>
      <c r="AA534" t="s">
        <v>255</v>
      </c>
      <c r="AB534" t="s">
        <v>79</v>
      </c>
      <c r="AD534" t="s">
        <v>80</v>
      </c>
      <c r="AE534" t="s">
        <v>81</v>
      </c>
      <c r="AF534" t="s">
        <v>82</v>
      </c>
      <c r="AG534" t="s">
        <v>83</v>
      </c>
      <c r="AH534" t="s">
        <v>84</v>
      </c>
      <c r="AI534" t="str">
        <f t="shared" ref="AI534:AI539" si="136">"01"</f>
        <v>01</v>
      </c>
      <c r="AJ534" t="str">
        <f t="shared" ref="AJ534:AJ539" si="137">"1"</f>
        <v>1</v>
      </c>
      <c r="AK534" t="s">
        <v>114</v>
      </c>
      <c r="AL534" t="s">
        <v>162</v>
      </c>
      <c r="AM534" t="s">
        <v>87</v>
      </c>
      <c r="AN534" t="str">
        <f t="shared" si="131"/>
        <v>.9700</v>
      </c>
      <c r="AO534" t="str">
        <f>"7.00"</f>
        <v>7.00</v>
      </c>
      <c r="AP534" t="s">
        <v>115</v>
      </c>
      <c r="AQ534" t="str">
        <f>"7.00"</f>
        <v>7.00</v>
      </c>
      <c r="AR534">
        <v>15</v>
      </c>
      <c r="AS534">
        <v>0</v>
      </c>
      <c r="AT534">
        <v>15</v>
      </c>
      <c r="AU534">
        <v>105</v>
      </c>
      <c r="AV534">
        <v>12.6</v>
      </c>
      <c r="AW534">
        <v>92.4</v>
      </c>
      <c r="AX534">
        <v>0</v>
      </c>
      <c r="AY534">
        <v>92.4</v>
      </c>
      <c r="AZ534">
        <v>0</v>
      </c>
    </row>
    <row r="535" spans="1:52">
      <c r="A535" t="s">
        <v>833</v>
      </c>
      <c r="B535" t="s">
        <v>834</v>
      </c>
      <c r="C535" t="s">
        <v>835</v>
      </c>
      <c r="D535" t="s">
        <v>836</v>
      </c>
      <c r="E535" t="s">
        <v>69</v>
      </c>
      <c r="F535" t="s">
        <v>70</v>
      </c>
      <c r="G535" t="s">
        <v>837</v>
      </c>
      <c r="H535" t="s">
        <v>838</v>
      </c>
      <c r="I535" t="str">
        <f t="shared" si="132"/>
        <v>1010</v>
      </c>
      <c r="J535" t="s">
        <v>67</v>
      </c>
      <c r="K535" t="s">
        <v>855</v>
      </c>
      <c r="L535" t="s">
        <v>856</v>
      </c>
      <c r="M535" t="s">
        <v>855</v>
      </c>
      <c r="N535" t="s">
        <v>879</v>
      </c>
      <c r="O535" t="s">
        <v>880</v>
      </c>
      <c r="P535" t="str">
        <f>"3020624202"</f>
        <v>3020624202</v>
      </c>
      <c r="R535" t="str">
        <f>"00030206242027"</f>
        <v>00030206242027</v>
      </c>
      <c r="S535" s="1">
        <v>41303</v>
      </c>
      <c r="T535" s="1">
        <v>41289</v>
      </c>
      <c r="U535" t="str">
        <f>"3020624202"</f>
        <v>3020624202</v>
      </c>
      <c r="V535" t="str">
        <f>"1010"</f>
        <v>1010</v>
      </c>
      <c r="W535" t="str">
        <f t="shared" si="135"/>
        <v>11</v>
      </c>
      <c r="X535" t="s">
        <v>75</v>
      </c>
      <c r="Y535" t="s">
        <v>173</v>
      </c>
      <c r="Z535" t="s">
        <v>105</v>
      </c>
      <c r="AA535" t="s">
        <v>106</v>
      </c>
      <c r="AB535" t="s">
        <v>79</v>
      </c>
      <c r="AD535" t="s">
        <v>80</v>
      </c>
      <c r="AE535" t="s">
        <v>81</v>
      </c>
      <c r="AF535" t="s">
        <v>82</v>
      </c>
      <c r="AG535" t="s">
        <v>83</v>
      </c>
      <c r="AH535" t="s">
        <v>84</v>
      </c>
      <c r="AI535" t="str">
        <f t="shared" si="136"/>
        <v>01</v>
      </c>
      <c r="AJ535" t="str">
        <f t="shared" si="137"/>
        <v>1</v>
      </c>
      <c r="AK535" t="s">
        <v>85</v>
      </c>
      <c r="AL535" t="s">
        <v>143</v>
      </c>
      <c r="AM535" t="s">
        <v>87</v>
      </c>
      <c r="AN535" t="str">
        <f t="shared" si="131"/>
        <v>.9700</v>
      </c>
      <c r="AO535" t="str">
        <f>"7.50"</f>
        <v>7.50</v>
      </c>
      <c r="AP535" t="s">
        <v>88</v>
      </c>
      <c r="AQ535" t="str">
        <f>"7.50"</f>
        <v>7.50</v>
      </c>
      <c r="AR535">
        <v>0</v>
      </c>
      <c r="AS535">
        <v>-1</v>
      </c>
      <c r="AT535">
        <v>-1</v>
      </c>
      <c r="AU535">
        <v>0</v>
      </c>
      <c r="AV535">
        <v>0</v>
      </c>
      <c r="AW535">
        <v>0</v>
      </c>
      <c r="AX535">
        <v>-7.25</v>
      </c>
      <c r="AY535">
        <v>-7.25</v>
      </c>
      <c r="AZ535">
        <v>0</v>
      </c>
    </row>
    <row r="536" spans="1:52">
      <c r="A536" t="s">
        <v>833</v>
      </c>
      <c r="B536" t="s">
        <v>834</v>
      </c>
      <c r="C536" t="s">
        <v>835</v>
      </c>
      <c r="D536" t="s">
        <v>836</v>
      </c>
      <c r="E536" t="s">
        <v>69</v>
      </c>
      <c r="F536" t="s">
        <v>70</v>
      </c>
      <c r="G536" t="s">
        <v>837</v>
      </c>
      <c r="H536" t="s">
        <v>838</v>
      </c>
      <c r="I536" t="str">
        <f t="shared" si="132"/>
        <v>1010</v>
      </c>
      <c r="J536" t="s">
        <v>67</v>
      </c>
      <c r="K536" t="s">
        <v>855</v>
      </c>
      <c r="L536" t="s">
        <v>856</v>
      </c>
      <c r="M536" t="s">
        <v>855</v>
      </c>
      <c r="N536" t="s">
        <v>881</v>
      </c>
      <c r="O536" t="s">
        <v>882</v>
      </c>
      <c r="P536" t="str">
        <f>"3020670062"</f>
        <v>3020670062</v>
      </c>
      <c r="R536" t="str">
        <f>"00030206700626"</f>
        <v>00030206700626</v>
      </c>
      <c r="S536" s="1">
        <v>40246</v>
      </c>
      <c r="T536" s="1">
        <v>40232</v>
      </c>
      <c r="U536" t="str">
        <f>"3020670062"</f>
        <v>3020670062</v>
      </c>
      <c r="V536" t="str">
        <f t="shared" ref="V536:V562" si="138">"1510"</f>
        <v>1510</v>
      </c>
      <c r="W536" t="str">
        <f t="shared" si="135"/>
        <v>11</v>
      </c>
      <c r="X536" t="s">
        <v>376</v>
      </c>
      <c r="Y536" t="s">
        <v>76</v>
      </c>
      <c r="Z536" t="s">
        <v>105</v>
      </c>
      <c r="AA536" t="s">
        <v>106</v>
      </c>
      <c r="AB536" t="s">
        <v>79</v>
      </c>
      <c r="AD536" t="s">
        <v>80</v>
      </c>
      <c r="AE536" t="s">
        <v>81</v>
      </c>
      <c r="AF536" t="s">
        <v>82</v>
      </c>
      <c r="AG536" t="s">
        <v>83</v>
      </c>
      <c r="AH536" t="s">
        <v>84</v>
      </c>
      <c r="AI536" t="str">
        <f t="shared" si="136"/>
        <v>01</v>
      </c>
      <c r="AJ536" t="str">
        <f t="shared" si="137"/>
        <v>1</v>
      </c>
      <c r="AK536" t="s">
        <v>85</v>
      </c>
      <c r="AL536" t="s">
        <v>94</v>
      </c>
      <c r="AM536" t="s">
        <v>87</v>
      </c>
      <c r="AN536" t="str">
        <f t="shared" si="131"/>
        <v>.9700</v>
      </c>
      <c r="AO536" t="str">
        <f>"7.50"</f>
        <v>7.50</v>
      </c>
      <c r="AP536" t="s">
        <v>88</v>
      </c>
      <c r="AQ536" t="str">
        <f>"7.50"</f>
        <v>7.50</v>
      </c>
      <c r="AR536">
        <v>0</v>
      </c>
      <c r="AS536">
        <v>-19</v>
      </c>
      <c r="AT536">
        <v>-19</v>
      </c>
      <c r="AU536">
        <v>0</v>
      </c>
      <c r="AV536">
        <v>0</v>
      </c>
      <c r="AW536">
        <v>0</v>
      </c>
      <c r="AX536">
        <v>-124.26</v>
      </c>
      <c r="AY536">
        <v>-124.26</v>
      </c>
      <c r="AZ536">
        <v>0</v>
      </c>
    </row>
    <row r="537" spans="1:52">
      <c r="A537" t="s">
        <v>833</v>
      </c>
      <c r="B537" t="s">
        <v>834</v>
      </c>
      <c r="C537" t="s">
        <v>835</v>
      </c>
      <c r="D537" t="s">
        <v>836</v>
      </c>
      <c r="E537" t="s">
        <v>69</v>
      </c>
      <c r="F537" t="s">
        <v>70</v>
      </c>
      <c r="G537" t="s">
        <v>837</v>
      </c>
      <c r="H537" t="s">
        <v>838</v>
      </c>
      <c r="I537" t="str">
        <f t="shared" si="132"/>
        <v>1010</v>
      </c>
      <c r="J537" t="s">
        <v>67</v>
      </c>
      <c r="K537" t="s">
        <v>855</v>
      </c>
      <c r="L537" t="s">
        <v>856</v>
      </c>
      <c r="M537" t="s">
        <v>855</v>
      </c>
      <c r="N537" t="s">
        <v>883</v>
      </c>
      <c r="O537" t="s">
        <v>884</v>
      </c>
      <c r="P537" t="str">
        <f>"3020663782"</f>
        <v>3020663782</v>
      </c>
      <c r="Q537" t="str">
        <f>"050266378"</f>
        <v>050266378</v>
      </c>
      <c r="R537" t="str">
        <f>"00030206637823"</f>
        <v>00030206637823</v>
      </c>
      <c r="S537" s="1">
        <v>37481</v>
      </c>
      <c r="T537" s="1">
        <v>37481</v>
      </c>
      <c r="U537" t="str">
        <f>"3020663782"</f>
        <v>3020663782</v>
      </c>
      <c r="V537" t="str">
        <f t="shared" si="138"/>
        <v>1510</v>
      </c>
      <c r="W537" t="str">
        <f t="shared" si="135"/>
        <v>11</v>
      </c>
      <c r="X537" t="s">
        <v>376</v>
      </c>
      <c r="Y537" t="s">
        <v>76</v>
      </c>
      <c r="Z537" t="s">
        <v>105</v>
      </c>
      <c r="AA537" t="s">
        <v>106</v>
      </c>
      <c r="AB537" t="s">
        <v>79</v>
      </c>
      <c r="AD537" t="s">
        <v>80</v>
      </c>
      <c r="AE537" t="s">
        <v>81</v>
      </c>
      <c r="AF537" t="s">
        <v>82</v>
      </c>
      <c r="AG537" t="s">
        <v>83</v>
      </c>
      <c r="AH537" t="s">
        <v>84</v>
      </c>
      <c r="AI537" t="str">
        <f t="shared" si="136"/>
        <v>01</v>
      </c>
      <c r="AJ537" t="str">
        <f t="shared" si="137"/>
        <v>1</v>
      </c>
      <c r="AK537" t="s">
        <v>93</v>
      </c>
      <c r="AL537" t="s">
        <v>94</v>
      </c>
      <c r="AM537" t="s">
        <v>95</v>
      </c>
      <c r="AN537" t="str">
        <f t="shared" si="131"/>
        <v>.9700</v>
      </c>
      <c r="AO537" t="str">
        <f>"11.41"</f>
        <v>11.41</v>
      </c>
      <c r="AP537" t="s">
        <v>96</v>
      </c>
      <c r="AQ537" t="str">
        <f>"11.41"</f>
        <v>11.41</v>
      </c>
      <c r="AR537">
        <v>0</v>
      </c>
      <c r="AS537">
        <v>-7</v>
      </c>
      <c r="AT537">
        <v>-7</v>
      </c>
      <c r="AU537">
        <v>0</v>
      </c>
      <c r="AV537">
        <v>0</v>
      </c>
      <c r="AW537">
        <v>0</v>
      </c>
      <c r="AX537">
        <v>-72.56</v>
      </c>
      <c r="AY537">
        <v>-72.56</v>
      </c>
      <c r="AZ537">
        <v>0</v>
      </c>
    </row>
    <row r="538" spans="1:52">
      <c r="A538" t="s">
        <v>833</v>
      </c>
      <c r="B538" t="s">
        <v>834</v>
      </c>
      <c r="C538" t="s">
        <v>835</v>
      </c>
      <c r="D538" t="s">
        <v>836</v>
      </c>
      <c r="E538" t="s">
        <v>69</v>
      </c>
      <c r="F538" t="s">
        <v>70</v>
      </c>
      <c r="G538" t="s">
        <v>837</v>
      </c>
      <c r="H538" t="s">
        <v>838</v>
      </c>
      <c r="I538" t="str">
        <f t="shared" si="132"/>
        <v>1010</v>
      </c>
      <c r="J538" t="s">
        <v>67</v>
      </c>
      <c r="K538" t="s">
        <v>855</v>
      </c>
      <c r="L538" t="s">
        <v>856</v>
      </c>
      <c r="M538" t="s">
        <v>855</v>
      </c>
      <c r="N538" t="s">
        <v>152</v>
      </c>
      <c r="O538" t="s">
        <v>885</v>
      </c>
      <c r="P538" t="str">
        <f>"3020670302"</f>
        <v>3020670302</v>
      </c>
      <c r="R538" t="str">
        <f>"00030206703023"</f>
        <v>00030206703023</v>
      </c>
      <c r="S538" s="1">
        <v>40435</v>
      </c>
      <c r="T538" s="1">
        <v>40435</v>
      </c>
      <c r="U538" t="str">
        <f>"3020670302"</f>
        <v>3020670302</v>
      </c>
      <c r="V538" t="str">
        <f t="shared" si="138"/>
        <v>1510</v>
      </c>
      <c r="W538" t="str">
        <f t="shared" si="135"/>
        <v>11</v>
      </c>
      <c r="X538" t="s">
        <v>75</v>
      </c>
      <c r="Y538" t="s">
        <v>76</v>
      </c>
      <c r="Z538" t="s">
        <v>254</v>
      </c>
      <c r="AA538" t="s">
        <v>255</v>
      </c>
      <c r="AB538" t="s">
        <v>79</v>
      </c>
      <c r="AD538" t="s">
        <v>80</v>
      </c>
      <c r="AE538" t="s">
        <v>81</v>
      </c>
      <c r="AF538" t="s">
        <v>82</v>
      </c>
      <c r="AG538" t="s">
        <v>83</v>
      </c>
      <c r="AH538" t="s">
        <v>84</v>
      </c>
      <c r="AI538" t="str">
        <f t="shared" si="136"/>
        <v>01</v>
      </c>
      <c r="AJ538" t="str">
        <f t="shared" si="137"/>
        <v>1</v>
      </c>
      <c r="AK538" t="s">
        <v>85</v>
      </c>
      <c r="AL538" t="s">
        <v>86</v>
      </c>
      <c r="AM538" t="s">
        <v>87</v>
      </c>
      <c r="AN538" t="str">
        <f t="shared" si="131"/>
        <v>.9700</v>
      </c>
      <c r="AO538" t="str">
        <f>"7.50"</f>
        <v>7.50</v>
      </c>
      <c r="AP538" t="s">
        <v>88</v>
      </c>
      <c r="AQ538" t="str">
        <f>"7.50"</f>
        <v>7.50</v>
      </c>
      <c r="AR538">
        <v>25</v>
      </c>
      <c r="AS538">
        <v>0</v>
      </c>
      <c r="AT538">
        <v>25</v>
      </c>
      <c r="AU538">
        <v>187.51</v>
      </c>
      <c r="AV538">
        <v>22.35</v>
      </c>
      <c r="AW538">
        <v>165.16</v>
      </c>
      <c r="AX538">
        <v>0</v>
      </c>
      <c r="AY538">
        <v>165.16</v>
      </c>
      <c r="AZ538">
        <v>0</v>
      </c>
    </row>
    <row r="539" spans="1:52">
      <c r="A539" t="s">
        <v>833</v>
      </c>
      <c r="B539" t="s">
        <v>834</v>
      </c>
      <c r="C539" t="s">
        <v>835</v>
      </c>
      <c r="D539" t="s">
        <v>836</v>
      </c>
      <c r="E539" t="s">
        <v>69</v>
      </c>
      <c r="F539" t="s">
        <v>70</v>
      </c>
      <c r="G539" t="s">
        <v>837</v>
      </c>
      <c r="H539" t="s">
        <v>838</v>
      </c>
      <c r="I539" t="str">
        <f t="shared" si="132"/>
        <v>1010</v>
      </c>
      <c r="J539" t="s">
        <v>67</v>
      </c>
      <c r="K539" t="s">
        <v>855</v>
      </c>
      <c r="L539" t="s">
        <v>856</v>
      </c>
      <c r="M539" t="s">
        <v>855</v>
      </c>
      <c r="N539" t="s">
        <v>152</v>
      </c>
      <c r="O539" t="s">
        <v>885</v>
      </c>
      <c r="P539" t="str">
        <f>"3020670302"</f>
        <v>3020670302</v>
      </c>
      <c r="R539" t="str">
        <f>"00030206703023"</f>
        <v>00030206703023</v>
      </c>
      <c r="S539" s="1">
        <v>40435</v>
      </c>
      <c r="T539" s="1">
        <v>40435</v>
      </c>
      <c r="U539" t="str">
        <f>"3020670302"</f>
        <v>3020670302</v>
      </c>
      <c r="V539" t="str">
        <f t="shared" si="138"/>
        <v>1510</v>
      </c>
      <c r="W539" t="str">
        <f>"20"</f>
        <v>20</v>
      </c>
      <c r="X539" t="s">
        <v>75</v>
      </c>
      <c r="Y539" t="s">
        <v>76</v>
      </c>
      <c r="Z539" t="s">
        <v>254</v>
      </c>
      <c r="AA539" t="s">
        <v>255</v>
      </c>
      <c r="AB539" t="s">
        <v>80</v>
      </c>
      <c r="AD539" t="s">
        <v>80</v>
      </c>
      <c r="AE539" t="s">
        <v>81</v>
      </c>
      <c r="AF539" t="s">
        <v>82</v>
      </c>
      <c r="AG539" t="s">
        <v>83</v>
      </c>
      <c r="AH539" t="s">
        <v>84</v>
      </c>
      <c r="AI539" t="str">
        <f t="shared" si="136"/>
        <v>01</v>
      </c>
      <c r="AJ539" t="str">
        <f t="shared" si="137"/>
        <v>1</v>
      </c>
      <c r="AK539" t="s">
        <v>85</v>
      </c>
      <c r="AL539" t="s">
        <v>86</v>
      </c>
      <c r="AM539" t="s">
        <v>87</v>
      </c>
      <c r="AN539" t="str">
        <f t="shared" si="131"/>
        <v>.9700</v>
      </c>
      <c r="AO539" t="str">
        <f>"7.50"</f>
        <v>7.50</v>
      </c>
      <c r="AP539" t="s">
        <v>88</v>
      </c>
      <c r="AQ539" t="str">
        <f>"7.50"</f>
        <v>7.50</v>
      </c>
      <c r="AR539">
        <v>16</v>
      </c>
      <c r="AS539">
        <v>0</v>
      </c>
      <c r="AT539">
        <v>16</v>
      </c>
      <c r="AU539">
        <v>111.36</v>
      </c>
      <c r="AV539">
        <v>0</v>
      </c>
      <c r="AW539">
        <v>111.36</v>
      </c>
      <c r="AX539">
        <v>0</v>
      </c>
      <c r="AY539">
        <v>111.36</v>
      </c>
      <c r="AZ539">
        <v>0</v>
      </c>
    </row>
    <row r="540" spans="1:52">
      <c r="A540" t="s">
        <v>833</v>
      </c>
      <c r="B540" t="s">
        <v>834</v>
      </c>
      <c r="C540" t="s">
        <v>835</v>
      </c>
      <c r="D540" t="s">
        <v>836</v>
      </c>
      <c r="E540" t="s">
        <v>69</v>
      </c>
      <c r="F540" t="s">
        <v>70</v>
      </c>
      <c r="G540" t="s">
        <v>837</v>
      </c>
      <c r="H540" t="s">
        <v>838</v>
      </c>
      <c r="I540" t="str">
        <f t="shared" si="132"/>
        <v>1010</v>
      </c>
      <c r="J540" t="s">
        <v>67</v>
      </c>
      <c r="K540" t="s">
        <v>855</v>
      </c>
      <c r="L540" t="s">
        <v>856</v>
      </c>
      <c r="M540" t="s">
        <v>855</v>
      </c>
      <c r="N540" t="s">
        <v>886</v>
      </c>
      <c r="O540" t="s">
        <v>887</v>
      </c>
      <c r="P540" t="str">
        <f>"3020668132"</f>
        <v>3020668132</v>
      </c>
      <c r="R540" t="str">
        <f>"00030206681321"</f>
        <v>00030206681321</v>
      </c>
      <c r="S540" s="1">
        <v>39210</v>
      </c>
      <c r="T540" s="1">
        <v>39210</v>
      </c>
      <c r="U540" t="str">
        <f>"3020668132"</f>
        <v>3020668132</v>
      </c>
      <c r="V540" t="str">
        <f t="shared" si="138"/>
        <v>1510</v>
      </c>
      <c r="W540" t="str">
        <f>"11"</f>
        <v>11</v>
      </c>
      <c r="X540" t="s">
        <v>75</v>
      </c>
      <c r="Y540" t="s">
        <v>76</v>
      </c>
      <c r="Z540" t="s">
        <v>91</v>
      </c>
      <c r="AA540" t="s">
        <v>92</v>
      </c>
      <c r="AB540" t="s">
        <v>79</v>
      </c>
      <c r="AD540" t="s">
        <v>80</v>
      </c>
      <c r="AE540" t="s">
        <v>81</v>
      </c>
      <c r="AF540" t="s">
        <v>82</v>
      </c>
      <c r="AG540" t="s">
        <v>83</v>
      </c>
      <c r="AH540" t="s">
        <v>84</v>
      </c>
      <c r="AI540" t="str">
        <f>"02"</f>
        <v>02</v>
      </c>
      <c r="AJ540" t="str">
        <f>"2"</f>
        <v>2</v>
      </c>
      <c r="AK540" t="s">
        <v>93</v>
      </c>
      <c r="AL540" t="s">
        <v>94</v>
      </c>
      <c r="AM540" t="s">
        <v>95</v>
      </c>
      <c r="AN540" t="str">
        <f t="shared" si="131"/>
        <v>.9700</v>
      </c>
      <c r="AO540" t="str">
        <f>"11.41"</f>
        <v>11.41</v>
      </c>
      <c r="AP540" t="s">
        <v>96</v>
      </c>
      <c r="AQ540" t="str">
        <f>"11.41"</f>
        <v>11.41</v>
      </c>
      <c r="AR540">
        <v>21</v>
      </c>
      <c r="AS540">
        <v>0</v>
      </c>
      <c r="AT540">
        <v>21</v>
      </c>
      <c r="AU540">
        <v>239.59</v>
      </c>
      <c r="AV540">
        <v>28.69</v>
      </c>
      <c r="AW540">
        <v>210.9</v>
      </c>
      <c r="AX540">
        <v>0</v>
      </c>
      <c r="AY540">
        <v>210.9</v>
      </c>
      <c r="AZ540">
        <v>0</v>
      </c>
    </row>
    <row r="541" spans="1:52">
      <c r="A541" t="s">
        <v>833</v>
      </c>
      <c r="B541" t="s">
        <v>834</v>
      </c>
      <c r="C541" t="s">
        <v>835</v>
      </c>
      <c r="D541" t="s">
        <v>836</v>
      </c>
      <c r="E541" t="s">
        <v>69</v>
      </c>
      <c r="F541" t="s">
        <v>70</v>
      </c>
      <c r="G541" t="s">
        <v>837</v>
      </c>
      <c r="H541" t="s">
        <v>838</v>
      </c>
      <c r="I541" t="str">
        <f t="shared" si="132"/>
        <v>1010</v>
      </c>
      <c r="J541" t="s">
        <v>67</v>
      </c>
      <c r="K541" t="s">
        <v>855</v>
      </c>
      <c r="L541" t="s">
        <v>856</v>
      </c>
      <c r="M541" t="s">
        <v>855</v>
      </c>
      <c r="N541" t="s">
        <v>888</v>
      </c>
      <c r="O541" t="s">
        <v>889</v>
      </c>
      <c r="P541" t="str">
        <f>"3020664872"</f>
        <v>3020664872</v>
      </c>
      <c r="Q541" t="str">
        <f>"050264872"</f>
        <v>050264872</v>
      </c>
      <c r="R541" t="str">
        <f>"00030206648720"</f>
        <v>00030206648720</v>
      </c>
      <c r="S541" s="1">
        <v>37873</v>
      </c>
      <c r="T541" s="1">
        <v>37873</v>
      </c>
      <c r="U541" t="str">
        <f>"3020664872"</f>
        <v>3020664872</v>
      </c>
      <c r="V541" t="str">
        <f t="shared" si="138"/>
        <v>1510</v>
      </c>
      <c r="W541" t="str">
        <f>"11"</f>
        <v>11</v>
      </c>
      <c r="X541" t="s">
        <v>75</v>
      </c>
      <c r="Y541" t="s">
        <v>76</v>
      </c>
      <c r="Z541" t="s">
        <v>126</v>
      </c>
      <c r="AA541" t="s">
        <v>127</v>
      </c>
      <c r="AB541" t="s">
        <v>79</v>
      </c>
      <c r="AD541" t="s">
        <v>80</v>
      </c>
      <c r="AE541" t="s">
        <v>81</v>
      </c>
      <c r="AF541" t="s">
        <v>82</v>
      </c>
      <c r="AG541" t="s">
        <v>83</v>
      </c>
      <c r="AH541" t="s">
        <v>84</v>
      </c>
      <c r="AI541" t="str">
        <f>"01"</f>
        <v>01</v>
      </c>
      <c r="AJ541" t="str">
        <f t="shared" ref="AJ541:AJ561" si="139">"1"</f>
        <v>1</v>
      </c>
      <c r="AK541" t="s">
        <v>101</v>
      </c>
      <c r="AL541" t="s">
        <v>94</v>
      </c>
      <c r="AM541" t="s">
        <v>95</v>
      </c>
      <c r="AN541" t="str">
        <f t="shared" si="131"/>
        <v>.9700</v>
      </c>
      <c r="AO541" t="str">
        <f>"9.07"</f>
        <v>9.07</v>
      </c>
      <c r="AP541" t="s">
        <v>102</v>
      </c>
      <c r="AQ541" t="str">
        <f>"9.07"</f>
        <v>9.07</v>
      </c>
      <c r="AR541">
        <v>29</v>
      </c>
      <c r="AS541">
        <v>0</v>
      </c>
      <c r="AT541">
        <v>29</v>
      </c>
      <c r="AU541">
        <v>261.89</v>
      </c>
      <c r="AV541">
        <v>22.85</v>
      </c>
      <c r="AW541">
        <v>239.04</v>
      </c>
      <c r="AX541">
        <v>0</v>
      </c>
      <c r="AY541">
        <v>239.04</v>
      </c>
      <c r="AZ541">
        <v>0</v>
      </c>
    </row>
    <row r="542" spans="1:52">
      <c r="A542" t="s">
        <v>833</v>
      </c>
      <c r="B542" t="s">
        <v>834</v>
      </c>
      <c r="C542" t="s">
        <v>835</v>
      </c>
      <c r="D542" t="s">
        <v>836</v>
      </c>
      <c r="E542" t="s">
        <v>69</v>
      </c>
      <c r="F542" t="s">
        <v>70</v>
      </c>
      <c r="G542" t="s">
        <v>837</v>
      </c>
      <c r="H542" t="s">
        <v>838</v>
      </c>
      <c r="I542" t="str">
        <f t="shared" si="132"/>
        <v>1010</v>
      </c>
      <c r="J542" t="s">
        <v>67</v>
      </c>
      <c r="K542" t="s">
        <v>855</v>
      </c>
      <c r="L542" t="s">
        <v>856</v>
      </c>
      <c r="M542" t="s">
        <v>855</v>
      </c>
      <c r="N542" t="s">
        <v>890</v>
      </c>
      <c r="O542" t="s">
        <v>778</v>
      </c>
      <c r="P542" t="str">
        <f>"3020660982"</f>
        <v>3020660982</v>
      </c>
      <c r="R542" t="str">
        <f>"00030206609820"</f>
        <v>00030206609820</v>
      </c>
      <c r="S542" s="1">
        <v>36592</v>
      </c>
      <c r="T542" s="1">
        <v>36585</v>
      </c>
      <c r="U542" t="str">
        <f>"3020660982"</f>
        <v>3020660982</v>
      </c>
      <c r="V542" t="str">
        <f t="shared" si="138"/>
        <v>1510</v>
      </c>
      <c r="W542" t="str">
        <f>"11"</f>
        <v>11</v>
      </c>
      <c r="X542" t="s">
        <v>75</v>
      </c>
      <c r="Y542" t="s">
        <v>76</v>
      </c>
      <c r="Z542" t="s">
        <v>105</v>
      </c>
      <c r="AA542" t="s">
        <v>106</v>
      </c>
      <c r="AB542" t="s">
        <v>79</v>
      </c>
      <c r="AD542" t="s">
        <v>80</v>
      </c>
      <c r="AE542" t="s">
        <v>81</v>
      </c>
      <c r="AF542" t="s">
        <v>82</v>
      </c>
      <c r="AG542" t="s">
        <v>83</v>
      </c>
      <c r="AH542" t="s">
        <v>84</v>
      </c>
      <c r="AI542" t="str">
        <f>"01"</f>
        <v>01</v>
      </c>
      <c r="AJ542" t="str">
        <f t="shared" si="139"/>
        <v>1</v>
      </c>
      <c r="AK542" t="s">
        <v>101</v>
      </c>
      <c r="AL542" t="s">
        <v>94</v>
      </c>
      <c r="AM542" t="s">
        <v>95</v>
      </c>
      <c r="AN542" t="str">
        <f t="shared" si="131"/>
        <v>.9700</v>
      </c>
      <c r="AO542" t="str">
        <f>"9.07"</f>
        <v>9.07</v>
      </c>
      <c r="AP542" t="s">
        <v>102</v>
      </c>
      <c r="AQ542" t="str">
        <f>"9.07"</f>
        <v>9.07</v>
      </c>
      <c r="AR542">
        <v>228</v>
      </c>
      <c r="AS542">
        <v>0</v>
      </c>
      <c r="AT542">
        <v>228</v>
      </c>
      <c r="AU542">
        <v>2067.87</v>
      </c>
      <c r="AV542">
        <v>245.1</v>
      </c>
      <c r="AW542">
        <v>1822.77</v>
      </c>
      <c r="AX542">
        <v>0</v>
      </c>
      <c r="AY542">
        <v>1822.77</v>
      </c>
      <c r="AZ542">
        <v>0</v>
      </c>
    </row>
    <row r="543" spans="1:52">
      <c r="A543" t="s">
        <v>833</v>
      </c>
      <c r="B543" t="s">
        <v>834</v>
      </c>
      <c r="C543" t="s">
        <v>835</v>
      </c>
      <c r="D543" t="s">
        <v>836</v>
      </c>
      <c r="E543" t="s">
        <v>69</v>
      </c>
      <c r="F543" t="s">
        <v>70</v>
      </c>
      <c r="G543" t="s">
        <v>837</v>
      </c>
      <c r="H543" t="s">
        <v>838</v>
      </c>
      <c r="I543" t="str">
        <f t="shared" si="132"/>
        <v>1010</v>
      </c>
      <c r="J543" t="s">
        <v>67</v>
      </c>
      <c r="K543" t="s">
        <v>855</v>
      </c>
      <c r="L543" t="s">
        <v>856</v>
      </c>
      <c r="M543" t="s">
        <v>855</v>
      </c>
      <c r="N543" t="s">
        <v>891</v>
      </c>
      <c r="O543" t="s">
        <v>892</v>
      </c>
      <c r="P543" t="str">
        <f>"3020667942"</f>
        <v>3020667942</v>
      </c>
      <c r="R543" t="str">
        <f>"00030206679427"</f>
        <v>00030206679427</v>
      </c>
      <c r="S543" s="1">
        <v>39161</v>
      </c>
      <c r="T543" s="1">
        <v>39161</v>
      </c>
      <c r="U543" t="str">
        <f>"3020667942"</f>
        <v>3020667942</v>
      </c>
      <c r="V543" t="str">
        <f t="shared" si="138"/>
        <v>1510</v>
      </c>
      <c r="W543" t="str">
        <f>"11"</f>
        <v>11</v>
      </c>
      <c r="X543" t="s">
        <v>75</v>
      </c>
      <c r="Y543" t="s">
        <v>76</v>
      </c>
      <c r="Z543" t="s">
        <v>870</v>
      </c>
      <c r="AA543" t="s">
        <v>893</v>
      </c>
      <c r="AB543" t="s">
        <v>79</v>
      </c>
      <c r="AD543" t="s">
        <v>80</v>
      </c>
      <c r="AE543" t="s">
        <v>81</v>
      </c>
      <c r="AF543" t="s">
        <v>82</v>
      </c>
      <c r="AG543" t="s">
        <v>867</v>
      </c>
      <c r="AH543" t="s">
        <v>868</v>
      </c>
      <c r="AJ543" t="str">
        <f t="shared" si="139"/>
        <v>1</v>
      </c>
      <c r="AK543" t="s">
        <v>869</v>
      </c>
      <c r="AL543" t="s">
        <v>870</v>
      </c>
      <c r="AM543" t="s">
        <v>95</v>
      </c>
      <c r="AN543" t="str">
        <f t="shared" si="131"/>
        <v>.9700</v>
      </c>
      <c r="AO543" t="str">
        <f>"9.51"</f>
        <v>9.51</v>
      </c>
      <c r="AP543" t="s">
        <v>871</v>
      </c>
      <c r="AQ543" t="str">
        <f>"9.51"</f>
        <v>9.51</v>
      </c>
      <c r="AR543">
        <v>31</v>
      </c>
      <c r="AS543">
        <v>0</v>
      </c>
      <c r="AT543">
        <v>31</v>
      </c>
      <c r="AU543">
        <v>294.85000000000002</v>
      </c>
      <c r="AV543">
        <v>35.380000000000003</v>
      </c>
      <c r="AW543">
        <v>259.47000000000003</v>
      </c>
      <c r="AX543">
        <v>0</v>
      </c>
      <c r="AY543">
        <v>259.47000000000003</v>
      </c>
      <c r="AZ543">
        <v>0</v>
      </c>
    </row>
    <row r="544" spans="1:52">
      <c r="A544" t="s">
        <v>833</v>
      </c>
      <c r="B544" t="s">
        <v>834</v>
      </c>
      <c r="C544" t="s">
        <v>835</v>
      </c>
      <c r="D544" t="s">
        <v>836</v>
      </c>
      <c r="E544" t="s">
        <v>69</v>
      </c>
      <c r="F544" t="s">
        <v>70</v>
      </c>
      <c r="G544" t="s">
        <v>837</v>
      </c>
      <c r="H544" t="s">
        <v>838</v>
      </c>
      <c r="I544" t="str">
        <f t="shared" si="132"/>
        <v>1010</v>
      </c>
      <c r="J544" t="s">
        <v>67</v>
      </c>
      <c r="K544" t="s">
        <v>855</v>
      </c>
      <c r="L544" t="s">
        <v>856</v>
      </c>
      <c r="M544" t="s">
        <v>855</v>
      </c>
      <c r="N544" t="s">
        <v>894</v>
      </c>
      <c r="O544" t="s">
        <v>895</v>
      </c>
      <c r="P544" t="str">
        <f>"3020670362"</f>
        <v>3020670362</v>
      </c>
      <c r="R544" t="str">
        <f>"00030206703627"</f>
        <v>00030206703627</v>
      </c>
      <c r="S544" s="1">
        <v>40476</v>
      </c>
      <c r="T544" s="1">
        <v>40470</v>
      </c>
      <c r="U544" t="str">
        <f>"3020670362"</f>
        <v>3020670362</v>
      </c>
      <c r="V544" t="str">
        <f t="shared" si="138"/>
        <v>1510</v>
      </c>
      <c r="W544" t="str">
        <f>"11"</f>
        <v>11</v>
      </c>
      <c r="X544" t="s">
        <v>75</v>
      </c>
      <c r="Y544" t="s">
        <v>76</v>
      </c>
      <c r="Z544" t="s">
        <v>254</v>
      </c>
      <c r="AA544" t="s">
        <v>255</v>
      </c>
      <c r="AB544" t="s">
        <v>79</v>
      </c>
      <c r="AD544" t="s">
        <v>80</v>
      </c>
      <c r="AE544" t="s">
        <v>81</v>
      </c>
      <c r="AF544" t="s">
        <v>82</v>
      </c>
      <c r="AG544" t="s">
        <v>83</v>
      </c>
      <c r="AH544" t="s">
        <v>84</v>
      </c>
      <c r="AI544" t="str">
        <f t="shared" ref="AI544:AI557" si="140">"01"</f>
        <v>01</v>
      </c>
      <c r="AJ544" t="str">
        <f t="shared" si="139"/>
        <v>1</v>
      </c>
      <c r="AK544" t="s">
        <v>85</v>
      </c>
      <c r="AL544" t="s">
        <v>86</v>
      </c>
      <c r="AM544" t="s">
        <v>87</v>
      </c>
      <c r="AN544" t="str">
        <f t="shared" si="131"/>
        <v>.9700</v>
      </c>
      <c r="AO544" t="str">
        <f>"7.50"</f>
        <v>7.50</v>
      </c>
      <c r="AP544" t="s">
        <v>88</v>
      </c>
      <c r="AQ544" t="str">
        <f>"7.50"</f>
        <v>7.50</v>
      </c>
      <c r="AR544">
        <v>17</v>
      </c>
      <c r="AS544">
        <v>0</v>
      </c>
      <c r="AT544">
        <v>17</v>
      </c>
      <c r="AU544">
        <v>127.5</v>
      </c>
      <c r="AV544">
        <v>15.3</v>
      </c>
      <c r="AW544">
        <v>112.2</v>
      </c>
      <c r="AX544">
        <v>0</v>
      </c>
      <c r="AY544">
        <v>112.2</v>
      </c>
      <c r="AZ544">
        <v>0</v>
      </c>
    </row>
    <row r="545" spans="1:52">
      <c r="A545" t="s">
        <v>833</v>
      </c>
      <c r="B545" t="s">
        <v>834</v>
      </c>
      <c r="C545" t="s">
        <v>835</v>
      </c>
      <c r="D545" t="s">
        <v>836</v>
      </c>
      <c r="E545" t="s">
        <v>69</v>
      </c>
      <c r="F545" t="s">
        <v>70</v>
      </c>
      <c r="G545" t="s">
        <v>837</v>
      </c>
      <c r="H545" t="s">
        <v>838</v>
      </c>
      <c r="I545" t="str">
        <f t="shared" ref="I545:I576" si="141">"1010"</f>
        <v>1010</v>
      </c>
      <c r="J545" t="s">
        <v>67</v>
      </c>
      <c r="K545" t="s">
        <v>855</v>
      </c>
      <c r="L545" t="s">
        <v>856</v>
      </c>
      <c r="M545" t="s">
        <v>855</v>
      </c>
      <c r="N545" t="s">
        <v>894</v>
      </c>
      <c r="O545" t="s">
        <v>895</v>
      </c>
      <c r="P545" t="str">
        <f>"3020670362"</f>
        <v>3020670362</v>
      </c>
      <c r="R545" t="str">
        <f>"00030206703627"</f>
        <v>00030206703627</v>
      </c>
      <c r="S545" s="1">
        <v>40476</v>
      </c>
      <c r="T545" s="1">
        <v>40470</v>
      </c>
      <c r="U545" t="str">
        <f>"3020670362"</f>
        <v>3020670362</v>
      </c>
      <c r="V545" t="str">
        <f t="shared" si="138"/>
        <v>1510</v>
      </c>
      <c r="W545" t="str">
        <f>"20"</f>
        <v>20</v>
      </c>
      <c r="X545" t="s">
        <v>75</v>
      </c>
      <c r="Y545" t="s">
        <v>76</v>
      </c>
      <c r="Z545" t="s">
        <v>254</v>
      </c>
      <c r="AA545" t="s">
        <v>255</v>
      </c>
      <c r="AB545" t="s">
        <v>80</v>
      </c>
      <c r="AD545" t="s">
        <v>80</v>
      </c>
      <c r="AE545" t="s">
        <v>81</v>
      </c>
      <c r="AF545" t="s">
        <v>82</v>
      </c>
      <c r="AG545" t="s">
        <v>83</v>
      </c>
      <c r="AH545" t="s">
        <v>84</v>
      </c>
      <c r="AI545" t="str">
        <f t="shared" si="140"/>
        <v>01</v>
      </c>
      <c r="AJ545" t="str">
        <f t="shared" si="139"/>
        <v>1</v>
      </c>
      <c r="AK545" t="s">
        <v>85</v>
      </c>
      <c r="AL545" t="s">
        <v>86</v>
      </c>
      <c r="AM545" t="s">
        <v>87</v>
      </c>
      <c r="AN545" t="str">
        <f t="shared" si="131"/>
        <v>.9700</v>
      </c>
      <c r="AO545" t="str">
        <f>"7.50"</f>
        <v>7.50</v>
      </c>
      <c r="AP545" t="s">
        <v>88</v>
      </c>
      <c r="AQ545" t="str">
        <f>"7.50"</f>
        <v>7.50</v>
      </c>
      <c r="AR545">
        <v>0</v>
      </c>
      <c r="AS545">
        <v>-1</v>
      </c>
      <c r="AT545">
        <v>-1</v>
      </c>
      <c r="AU545">
        <v>0</v>
      </c>
      <c r="AV545">
        <v>0</v>
      </c>
      <c r="AW545">
        <v>0</v>
      </c>
      <c r="AX545">
        <v>-6.95</v>
      </c>
      <c r="AY545">
        <v>-6.95</v>
      </c>
      <c r="AZ545">
        <v>0</v>
      </c>
    </row>
    <row r="546" spans="1:52">
      <c r="A546" t="s">
        <v>833</v>
      </c>
      <c r="B546" t="s">
        <v>834</v>
      </c>
      <c r="C546" t="s">
        <v>835</v>
      </c>
      <c r="D546" t="s">
        <v>836</v>
      </c>
      <c r="E546" t="s">
        <v>69</v>
      </c>
      <c r="F546" t="s">
        <v>70</v>
      </c>
      <c r="G546" t="s">
        <v>837</v>
      </c>
      <c r="H546" t="s">
        <v>838</v>
      </c>
      <c r="I546" t="str">
        <f t="shared" si="141"/>
        <v>1010</v>
      </c>
      <c r="J546" t="s">
        <v>67</v>
      </c>
      <c r="K546" t="s">
        <v>855</v>
      </c>
      <c r="L546" t="s">
        <v>856</v>
      </c>
      <c r="M546" t="s">
        <v>855</v>
      </c>
      <c r="N546" t="s">
        <v>894</v>
      </c>
      <c r="O546" t="s">
        <v>896</v>
      </c>
      <c r="P546" t="str">
        <f>"3020669092"</f>
        <v>3020669092</v>
      </c>
      <c r="R546" t="str">
        <f>"00030206690927"</f>
        <v>00030206690927</v>
      </c>
      <c r="S546" s="1">
        <v>39721</v>
      </c>
      <c r="T546" s="1">
        <v>39721</v>
      </c>
      <c r="U546" t="str">
        <f>"3020669092"</f>
        <v>3020669092</v>
      </c>
      <c r="V546" t="str">
        <f t="shared" si="138"/>
        <v>1510</v>
      </c>
      <c r="W546" t="str">
        <f t="shared" ref="W546:W592" si="142">"11"</f>
        <v>11</v>
      </c>
      <c r="X546" t="s">
        <v>75</v>
      </c>
      <c r="Y546" t="s">
        <v>76</v>
      </c>
      <c r="Z546" t="s">
        <v>126</v>
      </c>
      <c r="AA546" t="s">
        <v>127</v>
      </c>
      <c r="AB546" t="s">
        <v>79</v>
      </c>
      <c r="AD546" t="s">
        <v>80</v>
      </c>
      <c r="AE546" t="s">
        <v>81</v>
      </c>
      <c r="AF546" t="s">
        <v>82</v>
      </c>
      <c r="AG546" t="s">
        <v>83</v>
      </c>
      <c r="AH546" t="s">
        <v>84</v>
      </c>
      <c r="AI546" t="str">
        <f t="shared" si="140"/>
        <v>01</v>
      </c>
      <c r="AJ546" t="str">
        <f t="shared" si="139"/>
        <v>1</v>
      </c>
      <c r="AK546" t="s">
        <v>85</v>
      </c>
      <c r="AL546" t="s">
        <v>94</v>
      </c>
      <c r="AM546" t="s">
        <v>87</v>
      </c>
      <c r="AN546" t="str">
        <f t="shared" si="131"/>
        <v>.9700</v>
      </c>
      <c r="AO546" t="str">
        <f>"7.50"</f>
        <v>7.50</v>
      </c>
      <c r="AP546" t="s">
        <v>88</v>
      </c>
      <c r="AQ546" t="str">
        <f>"7.50"</f>
        <v>7.50</v>
      </c>
      <c r="AR546">
        <v>102</v>
      </c>
      <c r="AS546">
        <v>-22</v>
      </c>
      <c r="AT546">
        <v>80</v>
      </c>
      <c r="AU546">
        <v>765.02</v>
      </c>
      <c r="AV546">
        <v>91.62</v>
      </c>
      <c r="AW546">
        <v>673.4</v>
      </c>
      <c r="AX546">
        <v>-149.26</v>
      </c>
      <c r="AY546">
        <v>524.14</v>
      </c>
      <c r="AZ546">
        <v>0</v>
      </c>
    </row>
    <row r="547" spans="1:52">
      <c r="A547" t="s">
        <v>833</v>
      </c>
      <c r="B547" t="s">
        <v>834</v>
      </c>
      <c r="C547" t="s">
        <v>835</v>
      </c>
      <c r="D547" t="s">
        <v>836</v>
      </c>
      <c r="E547" t="s">
        <v>69</v>
      </c>
      <c r="F547" t="s">
        <v>70</v>
      </c>
      <c r="G547" t="s">
        <v>837</v>
      </c>
      <c r="H547" t="s">
        <v>838</v>
      </c>
      <c r="I547" t="str">
        <f t="shared" si="141"/>
        <v>1010</v>
      </c>
      <c r="J547" t="s">
        <v>67</v>
      </c>
      <c r="K547" t="s">
        <v>855</v>
      </c>
      <c r="L547" t="s">
        <v>856</v>
      </c>
      <c r="M547" t="s">
        <v>855</v>
      </c>
      <c r="N547" t="s">
        <v>897</v>
      </c>
      <c r="O547" t="s">
        <v>185</v>
      </c>
      <c r="P547" t="str">
        <f>"3020661652"</f>
        <v>3020661652</v>
      </c>
      <c r="Q547" t="str">
        <f>"050266165"</f>
        <v>050266165</v>
      </c>
      <c r="R547" t="str">
        <f>"00030206616521"</f>
        <v>00030206616521</v>
      </c>
      <c r="S547" s="1">
        <v>36781</v>
      </c>
      <c r="T547" s="1">
        <v>36781</v>
      </c>
      <c r="U547" t="str">
        <f>"3020661652"</f>
        <v>3020661652</v>
      </c>
      <c r="V547" t="str">
        <f t="shared" si="138"/>
        <v>1510</v>
      </c>
      <c r="W547" t="str">
        <f t="shared" si="142"/>
        <v>11</v>
      </c>
      <c r="X547" t="s">
        <v>75</v>
      </c>
      <c r="Y547" t="s">
        <v>76</v>
      </c>
      <c r="Z547" t="s">
        <v>126</v>
      </c>
      <c r="AA547" t="s">
        <v>127</v>
      </c>
      <c r="AB547" t="s">
        <v>79</v>
      </c>
      <c r="AD547" t="s">
        <v>80</v>
      </c>
      <c r="AE547" t="s">
        <v>81</v>
      </c>
      <c r="AF547" t="s">
        <v>82</v>
      </c>
      <c r="AG547" t="s">
        <v>83</v>
      </c>
      <c r="AH547" t="s">
        <v>84</v>
      </c>
      <c r="AI547" t="str">
        <f t="shared" si="140"/>
        <v>01</v>
      </c>
      <c r="AJ547" t="str">
        <f t="shared" si="139"/>
        <v>1</v>
      </c>
      <c r="AK547" t="s">
        <v>93</v>
      </c>
      <c r="AL547" t="s">
        <v>94</v>
      </c>
      <c r="AM547" t="s">
        <v>95</v>
      </c>
      <c r="AN547" t="str">
        <f t="shared" si="131"/>
        <v>.9700</v>
      </c>
      <c r="AO547" t="str">
        <f>"11.41"</f>
        <v>11.41</v>
      </c>
      <c r="AP547" t="s">
        <v>96</v>
      </c>
      <c r="AQ547" t="str">
        <f>"11.41"</f>
        <v>11.41</v>
      </c>
      <c r="AR547">
        <v>12</v>
      </c>
      <c r="AS547">
        <v>-3</v>
      </c>
      <c r="AT547">
        <v>9</v>
      </c>
      <c r="AU547">
        <v>134</v>
      </c>
      <c r="AV547">
        <v>12.32</v>
      </c>
      <c r="AW547">
        <v>121.68</v>
      </c>
      <c r="AX547">
        <v>-31.11</v>
      </c>
      <c r="AY547">
        <v>90.57</v>
      </c>
      <c r="AZ547">
        <v>0</v>
      </c>
    </row>
    <row r="548" spans="1:52">
      <c r="A548" t="s">
        <v>833</v>
      </c>
      <c r="B548" t="s">
        <v>834</v>
      </c>
      <c r="C548" t="s">
        <v>835</v>
      </c>
      <c r="D548" t="s">
        <v>836</v>
      </c>
      <c r="E548" t="s">
        <v>69</v>
      </c>
      <c r="F548" t="s">
        <v>70</v>
      </c>
      <c r="G548" t="s">
        <v>837</v>
      </c>
      <c r="H548" t="s">
        <v>838</v>
      </c>
      <c r="I548" t="str">
        <f t="shared" si="141"/>
        <v>1010</v>
      </c>
      <c r="J548" t="s">
        <v>67</v>
      </c>
      <c r="K548" t="s">
        <v>855</v>
      </c>
      <c r="L548" t="s">
        <v>856</v>
      </c>
      <c r="M548" t="s">
        <v>855</v>
      </c>
      <c r="N548" t="s">
        <v>898</v>
      </c>
      <c r="O548" t="s">
        <v>899</v>
      </c>
      <c r="P548" t="str">
        <f>"3020670262"</f>
        <v>3020670262</v>
      </c>
      <c r="R548" t="str">
        <f>"00030206702620"</f>
        <v>00030206702620</v>
      </c>
      <c r="S548" s="1">
        <v>40358</v>
      </c>
      <c r="T548" s="1">
        <v>40358</v>
      </c>
      <c r="U548" t="str">
        <f>"3020670262"</f>
        <v>3020670262</v>
      </c>
      <c r="V548" t="str">
        <f t="shared" si="138"/>
        <v>1510</v>
      </c>
      <c r="W548" t="str">
        <f t="shared" si="142"/>
        <v>11</v>
      </c>
      <c r="X548" t="s">
        <v>75</v>
      </c>
      <c r="Y548" t="s">
        <v>76</v>
      </c>
      <c r="Z548" t="s">
        <v>169</v>
      </c>
      <c r="AA548" t="s">
        <v>170</v>
      </c>
      <c r="AB548" t="s">
        <v>79</v>
      </c>
      <c r="AD548" t="s">
        <v>80</v>
      </c>
      <c r="AE548" t="s">
        <v>81</v>
      </c>
      <c r="AF548" t="s">
        <v>82</v>
      </c>
      <c r="AG548" t="s">
        <v>83</v>
      </c>
      <c r="AH548" t="s">
        <v>84</v>
      </c>
      <c r="AI548" t="str">
        <f t="shared" si="140"/>
        <v>01</v>
      </c>
      <c r="AJ548" t="str">
        <f t="shared" si="139"/>
        <v>1</v>
      </c>
      <c r="AK548" t="s">
        <v>101</v>
      </c>
      <c r="AL548" t="s">
        <v>94</v>
      </c>
      <c r="AM548" t="s">
        <v>95</v>
      </c>
      <c r="AN548" t="str">
        <f t="shared" si="131"/>
        <v>.9700</v>
      </c>
      <c r="AO548" t="str">
        <f>"9.07"</f>
        <v>9.07</v>
      </c>
      <c r="AP548" t="s">
        <v>102</v>
      </c>
      <c r="AQ548" t="str">
        <f>"9.07"</f>
        <v>9.07</v>
      </c>
      <c r="AR548">
        <v>7</v>
      </c>
      <c r="AS548">
        <v>-1</v>
      </c>
      <c r="AT548">
        <v>6</v>
      </c>
      <c r="AU548">
        <v>63.48</v>
      </c>
      <c r="AV548">
        <v>7.62</v>
      </c>
      <c r="AW548">
        <v>55.86</v>
      </c>
      <c r="AX548">
        <v>-8.39</v>
      </c>
      <c r="AY548">
        <v>47.47</v>
      </c>
      <c r="AZ548">
        <v>0</v>
      </c>
    </row>
    <row r="549" spans="1:52">
      <c r="A549" t="s">
        <v>833</v>
      </c>
      <c r="B549" t="s">
        <v>834</v>
      </c>
      <c r="C549" t="s">
        <v>835</v>
      </c>
      <c r="D549" t="s">
        <v>836</v>
      </c>
      <c r="E549" t="s">
        <v>69</v>
      </c>
      <c r="F549" t="s">
        <v>70</v>
      </c>
      <c r="G549" t="s">
        <v>837</v>
      </c>
      <c r="H549" t="s">
        <v>838</v>
      </c>
      <c r="I549" t="str">
        <f t="shared" si="141"/>
        <v>1010</v>
      </c>
      <c r="J549" t="s">
        <v>67</v>
      </c>
      <c r="K549" t="s">
        <v>855</v>
      </c>
      <c r="L549" t="s">
        <v>856</v>
      </c>
      <c r="M549" t="s">
        <v>855</v>
      </c>
      <c r="N549" t="s">
        <v>898</v>
      </c>
      <c r="O549" t="s">
        <v>900</v>
      </c>
      <c r="P549" t="str">
        <f>"3020671472"</f>
        <v>3020671472</v>
      </c>
      <c r="R549" t="str">
        <f>"00030206714722"</f>
        <v>00030206714722</v>
      </c>
      <c r="S549" s="1">
        <v>41072</v>
      </c>
      <c r="T549" s="1">
        <v>41072</v>
      </c>
      <c r="U549" t="str">
        <f>"3020671472"</f>
        <v>3020671472</v>
      </c>
      <c r="V549" t="str">
        <f t="shared" si="138"/>
        <v>1510</v>
      </c>
      <c r="W549" t="str">
        <f t="shared" si="142"/>
        <v>11</v>
      </c>
      <c r="X549" t="s">
        <v>75</v>
      </c>
      <c r="Y549" t="s">
        <v>76</v>
      </c>
      <c r="Z549" t="s">
        <v>169</v>
      </c>
      <c r="AA549" t="s">
        <v>170</v>
      </c>
      <c r="AB549" t="s">
        <v>79</v>
      </c>
      <c r="AD549" t="s">
        <v>80</v>
      </c>
      <c r="AE549" t="s">
        <v>81</v>
      </c>
      <c r="AF549" t="s">
        <v>82</v>
      </c>
      <c r="AG549" t="s">
        <v>83</v>
      </c>
      <c r="AH549" t="s">
        <v>84</v>
      </c>
      <c r="AI549" t="str">
        <f t="shared" si="140"/>
        <v>01</v>
      </c>
      <c r="AJ549" t="str">
        <f t="shared" si="139"/>
        <v>1</v>
      </c>
      <c r="AK549" t="s">
        <v>98</v>
      </c>
      <c r="AL549" t="s">
        <v>94</v>
      </c>
      <c r="AM549" t="s">
        <v>95</v>
      </c>
      <c r="AN549" t="str">
        <f t="shared" si="131"/>
        <v>.9700</v>
      </c>
      <c r="AO549" t="str">
        <f>"8.00"</f>
        <v>8.00</v>
      </c>
      <c r="AP549" t="s">
        <v>99</v>
      </c>
      <c r="AQ549" t="str">
        <f>"8.00"</f>
        <v>8.00</v>
      </c>
      <c r="AR549">
        <v>0</v>
      </c>
      <c r="AS549">
        <v>-1</v>
      </c>
      <c r="AT549">
        <v>-1</v>
      </c>
      <c r="AU549">
        <v>0</v>
      </c>
      <c r="AV549">
        <v>0</v>
      </c>
      <c r="AW549">
        <v>0</v>
      </c>
      <c r="AX549">
        <v>-7.35</v>
      </c>
      <c r="AY549">
        <v>-7.35</v>
      </c>
      <c r="AZ549">
        <v>0</v>
      </c>
    </row>
    <row r="550" spans="1:52">
      <c r="A550" t="s">
        <v>833</v>
      </c>
      <c r="B550" t="s">
        <v>834</v>
      </c>
      <c r="C550" t="s">
        <v>835</v>
      </c>
      <c r="D550" t="s">
        <v>836</v>
      </c>
      <c r="E550" t="s">
        <v>69</v>
      </c>
      <c r="F550" t="s">
        <v>70</v>
      </c>
      <c r="G550" t="s">
        <v>837</v>
      </c>
      <c r="H550" t="s">
        <v>838</v>
      </c>
      <c r="I550" t="str">
        <f t="shared" si="141"/>
        <v>1010</v>
      </c>
      <c r="J550" t="s">
        <v>67</v>
      </c>
      <c r="K550" t="s">
        <v>855</v>
      </c>
      <c r="L550" t="s">
        <v>856</v>
      </c>
      <c r="M550" t="s">
        <v>855</v>
      </c>
      <c r="N550" t="s">
        <v>898</v>
      </c>
      <c r="O550" t="s">
        <v>901</v>
      </c>
      <c r="P550" t="str">
        <f>"3020671272"</f>
        <v>3020671272</v>
      </c>
      <c r="R550" t="str">
        <f>"00030206712728"</f>
        <v>00030206712728</v>
      </c>
      <c r="S550" s="1">
        <v>41030</v>
      </c>
      <c r="T550" s="1">
        <v>41016</v>
      </c>
      <c r="U550" t="str">
        <f>"3020671272"</f>
        <v>3020671272</v>
      </c>
      <c r="V550" t="str">
        <f t="shared" si="138"/>
        <v>1510</v>
      </c>
      <c r="W550" t="str">
        <f t="shared" si="142"/>
        <v>11</v>
      </c>
      <c r="X550" t="s">
        <v>75</v>
      </c>
      <c r="Y550" t="s">
        <v>76</v>
      </c>
      <c r="Z550" t="s">
        <v>169</v>
      </c>
      <c r="AA550" t="s">
        <v>170</v>
      </c>
      <c r="AB550" t="s">
        <v>79</v>
      </c>
      <c r="AD550" t="s">
        <v>80</v>
      </c>
      <c r="AE550" t="s">
        <v>81</v>
      </c>
      <c r="AF550" t="s">
        <v>82</v>
      </c>
      <c r="AG550" t="s">
        <v>83</v>
      </c>
      <c r="AH550" t="s">
        <v>84</v>
      </c>
      <c r="AI550" t="str">
        <f t="shared" si="140"/>
        <v>01</v>
      </c>
      <c r="AJ550" t="str">
        <f t="shared" si="139"/>
        <v>1</v>
      </c>
      <c r="AK550" t="s">
        <v>98</v>
      </c>
      <c r="AL550" t="s">
        <v>86</v>
      </c>
      <c r="AM550" t="s">
        <v>95</v>
      </c>
      <c r="AN550" t="str">
        <f t="shared" si="131"/>
        <v>.9700</v>
      </c>
      <c r="AO550" t="str">
        <f>"8.00"</f>
        <v>8.00</v>
      </c>
      <c r="AP550" t="s">
        <v>99</v>
      </c>
      <c r="AQ550" t="str">
        <f>"8.00"</f>
        <v>8.00</v>
      </c>
      <c r="AR550">
        <v>3</v>
      </c>
      <c r="AS550">
        <v>-1</v>
      </c>
      <c r="AT550">
        <v>2</v>
      </c>
      <c r="AU550">
        <v>24</v>
      </c>
      <c r="AV550">
        <v>1.2</v>
      </c>
      <c r="AW550">
        <v>22.8</v>
      </c>
      <c r="AX550">
        <v>-7.34</v>
      </c>
      <c r="AY550">
        <v>15.46</v>
      </c>
      <c r="AZ550">
        <v>0</v>
      </c>
    </row>
    <row r="551" spans="1:52">
      <c r="A551" t="s">
        <v>833</v>
      </c>
      <c r="B551" t="s">
        <v>834</v>
      </c>
      <c r="C551" t="s">
        <v>835</v>
      </c>
      <c r="D551" t="s">
        <v>836</v>
      </c>
      <c r="E551" t="s">
        <v>69</v>
      </c>
      <c r="F551" t="s">
        <v>70</v>
      </c>
      <c r="G551" t="s">
        <v>837</v>
      </c>
      <c r="H551" t="s">
        <v>838</v>
      </c>
      <c r="I551" t="str">
        <f t="shared" si="141"/>
        <v>1010</v>
      </c>
      <c r="J551" t="s">
        <v>67</v>
      </c>
      <c r="K551" t="s">
        <v>855</v>
      </c>
      <c r="L551" t="s">
        <v>856</v>
      </c>
      <c r="M551" t="s">
        <v>855</v>
      </c>
      <c r="N551" t="s">
        <v>898</v>
      </c>
      <c r="O551" t="s">
        <v>902</v>
      </c>
      <c r="P551" t="str">
        <f>"3020671502"</f>
        <v>3020671502</v>
      </c>
      <c r="R551" t="str">
        <f>"00030206715026"</f>
        <v>00030206715026</v>
      </c>
      <c r="S551" s="1">
        <v>41142</v>
      </c>
      <c r="T551" s="1">
        <v>41128</v>
      </c>
      <c r="U551" t="str">
        <f>"3020671502"</f>
        <v>3020671502</v>
      </c>
      <c r="V551" t="str">
        <f t="shared" si="138"/>
        <v>1510</v>
      </c>
      <c r="W551" t="str">
        <f t="shared" si="142"/>
        <v>11</v>
      </c>
      <c r="X551" t="s">
        <v>75</v>
      </c>
      <c r="Y551" t="s">
        <v>76</v>
      </c>
      <c r="Z551" t="s">
        <v>169</v>
      </c>
      <c r="AA551" t="s">
        <v>170</v>
      </c>
      <c r="AB551" t="s">
        <v>79</v>
      </c>
      <c r="AD551" t="s">
        <v>80</v>
      </c>
      <c r="AE551" t="s">
        <v>81</v>
      </c>
      <c r="AF551" t="s">
        <v>82</v>
      </c>
      <c r="AG551" t="s">
        <v>83</v>
      </c>
      <c r="AH551" t="s">
        <v>84</v>
      </c>
      <c r="AI551" t="str">
        <f t="shared" si="140"/>
        <v>01</v>
      </c>
      <c r="AJ551" t="str">
        <f t="shared" si="139"/>
        <v>1</v>
      </c>
      <c r="AK551" t="s">
        <v>98</v>
      </c>
      <c r="AL551" t="s">
        <v>86</v>
      </c>
      <c r="AM551" t="s">
        <v>95</v>
      </c>
      <c r="AN551" t="str">
        <f t="shared" si="131"/>
        <v>.9700</v>
      </c>
      <c r="AO551" t="str">
        <f>"8.00"</f>
        <v>8.00</v>
      </c>
      <c r="AP551" t="s">
        <v>99</v>
      </c>
      <c r="AQ551" t="str">
        <f>"8.00"</f>
        <v>8.00</v>
      </c>
      <c r="AR551">
        <v>8</v>
      </c>
      <c r="AS551">
        <v>-2</v>
      </c>
      <c r="AT551">
        <v>6</v>
      </c>
      <c r="AU551">
        <v>64</v>
      </c>
      <c r="AV551">
        <v>0.92</v>
      </c>
      <c r="AW551">
        <v>63.08</v>
      </c>
      <c r="AX551">
        <v>-14.79</v>
      </c>
      <c r="AY551">
        <v>48.29</v>
      </c>
      <c r="AZ551">
        <v>0</v>
      </c>
    </row>
    <row r="552" spans="1:52">
      <c r="A552" t="s">
        <v>833</v>
      </c>
      <c r="B552" t="s">
        <v>834</v>
      </c>
      <c r="C552" t="s">
        <v>835</v>
      </c>
      <c r="D552" t="s">
        <v>836</v>
      </c>
      <c r="E552" t="s">
        <v>69</v>
      </c>
      <c r="F552" t="s">
        <v>70</v>
      </c>
      <c r="G552" t="s">
        <v>837</v>
      </c>
      <c r="H552" t="s">
        <v>838</v>
      </c>
      <c r="I552" t="str">
        <f t="shared" si="141"/>
        <v>1010</v>
      </c>
      <c r="J552" t="s">
        <v>67</v>
      </c>
      <c r="K552" t="s">
        <v>855</v>
      </c>
      <c r="L552" t="s">
        <v>856</v>
      </c>
      <c r="M552" t="s">
        <v>855</v>
      </c>
      <c r="N552" t="s">
        <v>903</v>
      </c>
      <c r="O552" t="s">
        <v>904</v>
      </c>
      <c r="P552" t="str">
        <f>"3020624052"</f>
        <v>3020624052</v>
      </c>
      <c r="R552" t="str">
        <f>"00030206240528"</f>
        <v>00030206240528</v>
      </c>
      <c r="S552" s="1">
        <v>40610</v>
      </c>
      <c r="T552" s="1">
        <v>40596</v>
      </c>
      <c r="U552" t="str">
        <f>"3020624052"</f>
        <v>3020624052</v>
      </c>
      <c r="V552" t="str">
        <f t="shared" si="138"/>
        <v>1510</v>
      </c>
      <c r="W552" t="str">
        <f t="shared" si="142"/>
        <v>11</v>
      </c>
      <c r="X552" t="s">
        <v>75</v>
      </c>
      <c r="Y552" t="s">
        <v>76</v>
      </c>
      <c r="Z552" t="s">
        <v>169</v>
      </c>
      <c r="AA552" t="s">
        <v>170</v>
      </c>
      <c r="AB552" t="s">
        <v>79</v>
      </c>
      <c r="AD552" t="s">
        <v>80</v>
      </c>
      <c r="AE552" t="s">
        <v>81</v>
      </c>
      <c r="AF552" t="s">
        <v>82</v>
      </c>
      <c r="AG552" t="s">
        <v>83</v>
      </c>
      <c r="AH552" t="s">
        <v>84</v>
      </c>
      <c r="AI552" t="str">
        <f t="shared" si="140"/>
        <v>01</v>
      </c>
      <c r="AJ552" t="str">
        <f t="shared" si="139"/>
        <v>1</v>
      </c>
      <c r="AK552" t="s">
        <v>85</v>
      </c>
      <c r="AL552" t="s">
        <v>94</v>
      </c>
      <c r="AM552" t="s">
        <v>87</v>
      </c>
      <c r="AN552" t="str">
        <f t="shared" si="131"/>
        <v>.9700</v>
      </c>
      <c r="AO552" t="str">
        <f>"7.50"</f>
        <v>7.50</v>
      </c>
      <c r="AP552" t="s">
        <v>88</v>
      </c>
      <c r="AQ552" t="str">
        <f>"7.50"</f>
        <v>7.50</v>
      </c>
      <c r="AR552">
        <v>0</v>
      </c>
      <c r="AS552">
        <v>-3</v>
      </c>
      <c r="AT552">
        <v>-3</v>
      </c>
      <c r="AU552">
        <v>0</v>
      </c>
      <c r="AV552">
        <v>0</v>
      </c>
      <c r="AW552">
        <v>0</v>
      </c>
      <c r="AX552">
        <v>-20.43</v>
      </c>
      <c r="AY552">
        <v>-20.43</v>
      </c>
      <c r="AZ552">
        <v>0</v>
      </c>
    </row>
    <row r="553" spans="1:52">
      <c r="A553" t="s">
        <v>833</v>
      </c>
      <c r="B553" t="s">
        <v>834</v>
      </c>
      <c r="C553" t="s">
        <v>835</v>
      </c>
      <c r="D553" t="s">
        <v>836</v>
      </c>
      <c r="E553" t="s">
        <v>69</v>
      </c>
      <c r="F553" t="s">
        <v>70</v>
      </c>
      <c r="G553" t="s">
        <v>837</v>
      </c>
      <c r="H553" t="s">
        <v>838</v>
      </c>
      <c r="I553" t="str">
        <f t="shared" si="141"/>
        <v>1010</v>
      </c>
      <c r="J553" t="s">
        <v>67</v>
      </c>
      <c r="K553" t="s">
        <v>855</v>
      </c>
      <c r="L553" t="s">
        <v>856</v>
      </c>
      <c r="M553" t="s">
        <v>855</v>
      </c>
      <c r="N553" t="s">
        <v>905</v>
      </c>
      <c r="O553" t="s">
        <v>906</v>
      </c>
      <c r="P553" t="str">
        <f>"3020669872"</f>
        <v>3020669872</v>
      </c>
      <c r="R553" t="str">
        <f>"00030206698725"</f>
        <v>00030206698725</v>
      </c>
      <c r="S553" s="1">
        <v>40106</v>
      </c>
      <c r="T553" s="1">
        <v>40106</v>
      </c>
      <c r="U553" t="str">
        <f>"3020669872"</f>
        <v>3020669872</v>
      </c>
      <c r="V553" t="str">
        <f t="shared" si="138"/>
        <v>1510</v>
      </c>
      <c r="W553" t="str">
        <f t="shared" si="142"/>
        <v>11</v>
      </c>
      <c r="X553" t="s">
        <v>75</v>
      </c>
      <c r="Y553" t="s">
        <v>76</v>
      </c>
      <c r="Z553" t="s">
        <v>91</v>
      </c>
      <c r="AA553" t="s">
        <v>92</v>
      </c>
      <c r="AB553" t="s">
        <v>79</v>
      </c>
      <c r="AD553" t="s">
        <v>80</v>
      </c>
      <c r="AE553" t="s">
        <v>81</v>
      </c>
      <c r="AF553" t="s">
        <v>82</v>
      </c>
      <c r="AG553" t="s">
        <v>83</v>
      </c>
      <c r="AH553" t="s">
        <v>84</v>
      </c>
      <c r="AI553" t="str">
        <f t="shared" si="140"/>
        <v>01</v>
      </c>
      <c r="AJ553" t="str">
        <f t="shared" si="139"/>
        <v>1</v>
      </c>
      <c r="AK553" t="s">
        <v>101</v>
      </c>
      <c r="AL553" t="s">
        <v>94</v>
      </c>
      <c r="AM553" t="s">
        <v>95</v>
      </c>
      <c r="AN553" t="str">
        <f t="shared" si="131"/>
        <v>.9700</v>
      </c>
      <c r="AO553" t="str">
        <f>"9.07"</f>
        <v>9.07</v>
      </c>
      <c r="AP553" t="s">
        <v>102</v>
      </c>
      <c r="AQ553" t="str">
        <f>"9.07"</f>
        <v>9.07</v>
      </c>
      <c r="AR553">
        <v>13</v>
      </c>
      <c r="AS553">
        <v>0</v>
      </c>
      <c r="AT553">
        <v>13</v>
      </c>
      <c r="AU553">
        <v>117.91</v>
      </c>
      <c r="AV553">
        <v>13.92</v>
      </c>
      <c r="AW553">
        <v>103.99</v>
      </c>
      <c r="AX553">
        <v>0</v>
      </c>
      <c r="AY553">
        <v>103.99</v>
      </c>
      <c r="AZ553">
        <v>0</v>
      </c>
    </row>
    <row r="554" spans="1:52">
      <c r="A554" t="s">
        <v>833</v>
      </c>
      <c r="B554" t="s">
        <v>834</v>
      </c>
      <c r="C554" t="s">
        <v>835</v>
      </c>
      <c r="D554" t="s">
        <v>836</v>
      </c>
      <c r="E554" t="s">
        <v>69</v>
      </c>
      <c r="F554" t="s">
        <v>70</v>
      </c>
      <c r="G554" t="s">
        <v>837</v>
      </c>
      <c r="H554" t="s">
        <v>838</v>
      </c>
      <c r="I554" t="str">
        <f t="shared" si="141"/>
        <v>1010</v>
      </c>
      <c r="J554" t="s">
        <v>67</v>
      </c>
      <c r="K554" t="s">
        <v>855</v>
      </c>
      <c r="L554" t="s">
        <v>856</v>
      </c>
      <c r="M554" t="s">
        <v>855</v>
      </c>
      <c r="N554" t="s">
        <v>907</v>
      </c>
      <c r="O554" t="s">
        <v>908</v>
      </c>
      <c r="P554" t="str">
        <f>"3020670282"</f>
        <v>3020670282</v>
      </c>
      <c r="R554" t="str">
        <f>"00030206702828"</f>
        <v>00030206702828</v>
      </c>
      <c r="S554" s="1">
        <v>40414</v>
      </c>
      <c r="T554" s="1">
        <v>40414</v>
      </c>
      <c r="U554" t="str">
        <f>"3020670282"</f>
        <v>3020670282</v>
      </c>
      <c r="V554" t="str">
        <f t="shared" si="138"/>
        <v>1510</v>
      </c>
      <c r="W554" t="str">
        <f t="shared" si="142"/>
        <v>11</v>
      </c>
      <c r="X554" t="s">
        <v>75</v>
      </c>
      <c r="Y554" t="s">
        <v>76</v>
      </c>
      <c r="Z554" t="s">
        <v>254</v>
      </c>
      <c r="AA554" t="s">
        <v>255</v>
      </c>
      <c r="AB554" t="s">
        <v>79</v>
      </c>
      <c r="AD554" t="s">
        <v>80</v>
      </c>
      <c r="AE554" t="s">
        <v>81</v>
      </c>
      <c r="AF554" t="s">
        <v>82</v>
      </c>
      <c r="AG554" t="s">
        <v>83</v>
      </c>
      <c r="AH554" t="s">
        <v>84</v>
      </c>
      <c r="AI554" t="str">
        <f t="shared" si="140"/>
        <v>01</v>
      </c>
      <c r="AJ554" t="str">
        <f t="shared" si="139"/>
        <v>1</v>
      </c>
      <c r="AK554" t="s">
        <v>85</v>
      </c>
      <c r="AL554" t="s">
        <v>86</v>
      </c>
      <c r="AM554" t="s">
        <v>87</v>
      </c>
      <c r="AN554" t="str">
        <f t="shared" si="131"/>
        <v>.9700</v>
      </c>
      <c r="AO554" t="str">
        <f>"7.50"</f>
        <v>7.50</v>
      </c>
      <c r="AP554" t="s">
        <v>88</v>
      </c>
      <c r="AQ554" t="str">
        <f>"7.50"</f>
        <v>7.50</v>
      </c>
      <c r="AR554">
        <v>9</v>
      </c>
      <c r="AS554">
        <v>0</v>
      </c>
      <c r="AT554">
        <v>9</v>
      </c>
      <c r="AU554">
        <v>67.5</v>
      </c>
      <c r="AV554">
        <v>6.3</v>
      </c>
      <c r="AW554">
        <v>61.2</v>
      </c>
      <c r="AX554">
        <v>0</v>
      </c>
      <c r="AY554">
        <v>61.2</v>
      </c>
      <c r="AZ554">
        <v>0</v>
      </c>
    </row>
    <row r="555" spans="1:52">
      <c r="A555" t="s">
        <v>833</v>
      </c>
      <c r="B555" t="s">
        <v>834</v>
      </c>
      <c r="C555" t="s">
        <v>835</v>
      </c>
      <c r="D555" t="s">
        <v>836</v>
      </c>
      <c r="E555" t="s">
        <v>69</v>
      </c>
      <c r="F555" t="s">
        <v>70</v>
      </c>
      <c r="G555" t="s">
        <v>837</v>
      </c>
      <c r="H555" t="s">
        <v>838</v>
      </c>
      <c r="I555" t="str">
        <f t="shared" si="141"/>
        <v>1010</v>
      </c>
      <c r="J555" t="s">
        <v>67</v>
      </c>
      <c r="K555" t="s">
        <v>855</v>
      </c>
      <c r="L555" t="s">
        <v>856</v>
      </c>
      <c r="M555" t="s">
        <v>855</v>
      </c>
      <c r="N555" t="s">
        <v>909</v>
      </c>
      <c r="O555" t="s">
        <v>910</v>
      </c>
      <c r="P555" t="str">
        <f>"3020667032"</f>
        <v>3020667032</v>
      </c>
      <c r="R555" t="str">
        <f>"00030206670325"</f>
        <v>00030206670325</v>
      </c>
      <c r="S555" s="1">
        <v>38755</v>
      </c>
      <c r="T555" s="1">
        <v>38755</v>
      </c>
      <c r="U555" t="str">
        <f>"3020667032"</f>
        <v>3020667032</v>
      </c>
      <c r="V555" t="str">
        <f t="shared" si="138"/>
        <v>1510</v>
      </c>
      <c r="W555" t="str">
        <f t="shared" si="142"/>
        <v>11</v>
      </c>
      <c r="X555" t="s">
        <v>75</v>
      </c>
      <c r="Y555" t="s">
        <v>76</v>
      </c>
      <c r="Z555" t="s">
        <v>282</v>
      </c>
      <c r="AA555" t="s">
        <v>283</v>
      </c>
      <c r="AB555" t="s">
        <v>79</v>
      </c>
      <c r="AD555" t="s">
        <v>80</v>
      </c>
      <c r="AE555" t="s">
        <v>81</v>
      </c>
      <c r="AF555" t="s">
        <v>82</v>
      </c>
      <c r="AG555" t="s">
        <v>83</v>
      </c>
      <c r="AH555" t="s">
        <v>84</v>
      </c>
      <c r="AI555" t="str">
        <f t="shared" si="140"/>
        <v>01</v>
      </c>
      <c r="AJ555" t="str">
        <f t="shared" si="139"/>
        <v>1</v>
      </c>
      <c r="AK555" t="s">
        <v>101</v>
      </c>
      <c r="AL555" t="s">
        <v>94</v>
      </c>
      <c r="AM555" t="s">
        <v>95</v>
      </c>
      <c r="AN555" t="str">
        <f t="shared" si="131"/>
        <v>.9700</v>
      </c>
      <c r="AO555" t="str">
        <f>"9.07"</f>
        <v>9.07</v>
      </c>
      <c r="AP555" t="s">
        <v>102</v>
      </c>
      <c r="AQ555" t="str">
        <f>"9.07"</f>
        <v>9.07</v>
      </c>
      <c r="AR555">
        <v>35</v>
      </c>
      <c r="AS555">
        <v>0</v>
      </c>
      <c r="AT555">
        <v>35</v>
      </c>
      <c r="AU555">
        <v>317.41000000000003</v>
      </c>
      <c r="AV555">
        <v>38.01</v>
      </c>
      <c r="AW555">
        <v>279.39999999999998</v>
      </c>
      <c r="AX555">
        <v>0</v>
      </c>
      <c r="AY555">
        <v>279.39999999999998</v>
      </c>
      <c r="AZ555">
        <v>0</v>
      </c>
    </row>
    <row r="556" spans="1:52">
      <c r="A556" t="s">
        <v>833</v>
      </c>
      <c r="B556" t="s">
        <v>834</v>
      </c>
      <c r="C556" t="s">
        <v>835</v>
      </c>
      <c r="D556" t="s">
        <v>836</v>
      </c>
      <c r="E556" t="s">
        <v>69</v>
      </c>
      <c r="F556" t="s">
        <v>70</v>
      </c>
      <c r="G556" t="s">
        <v>837</v>
      </c>
      <c r="H556" t="s">
        <v>838</v>
      </c>
      <c r="I556" t="str">
        <f t="shared" si="141"/>
        <v>1010</v>
      </c>
      <c r="J556" t="s">
        <v>67</v>
      </c>
      <c r="K556" t="s">
        <v>855</v>
      </c>
      <c r="L556" t="s">
        <v>856</v>
      </c>
      <c r="M556" t="s">
        <v>855</v>
      </c>
      <c r="N556" t="s">
        <v>911</v>
      </c>
      <c r="O556" t="s">
        <v>912</v>
      </c>
      <c r="P556" t="s">
        <v>913</v>
      </c>
      <c r="Q556" t="str">
        <f>"050206007"</f>
        <v>050206007</v>
      </c>
      <c r="R556" t="str">
        <f>"00030206600728"</f>
        <v>00030206600728</v>
      </c>
      <c r="S556" s="1">
        <v>36417</v>
      </c>
      <c r="T556" s="1">
        <v>36312</v>
      </c>
      <c r="U556" t="s">
        <v>913</v>
      </c>
      <c r="V556" t="str">
        <f t="shared" si="138"/>
        <v>1510</v>
      </c>
      <c r="W556" t="str">
        <f t="shared" si="142"/>
        <v>11</v>
      </c>
      <c r="X556" t="s">
        <v>75</v>
      </c>
      <c r="Y556" t="s">
        <v>76</v>
      </c>
      <c r="Z556" t="s">
        <v>105</v>
      </c>
      <c r="AA556" t="s">
        <v>106</v>
      </c>
      <c r="AB556" t="s">
        <v>79</v>
      </c>
      <c r="AD556" t="s">
        <v>80</v>
      </c>
      <c r="AE556" t="s">
        <v>81</v>
      </c>
      <c r="AF556" t="s">
        <v>82</v>
      </c>
      <c r="AG556" t="s">
        <v>83</v>
      </c>
      <c r="AH556" t="s">
        <v>84</v>
      </c>
      <c r="AI556" t="str">
        <f t="shared" si="140"/>
        <v>01</v>
      </c>
      <c r="AJ556" t="str">
        <f t="shared" si="139"/>
        <v>1</v>
      </c>
      <c r="AK556" t="s">
        <v>101</v>
      </c>
      <c r="AL556" t="s">
        <v>94</v>
      </c>
      <c r="AM556" t="s">
        <v>95</v>
      </c>
      <c r="AN556" t="str">
        <f t="shared" si="131"/>
        <v>.9700</v>
      </c>
      <c r="AO556" t="str">
        <f>"9.07"</f>
        <v>9.07</v>
      </c>
      <c r="AP556" t="s">
        <v>102</v>
      </c>
      <c r="AQ556" t="str">
        <f>"9.07"</f>
        <v>9.07</v>
      </c>
      <c r="AR556">
        <v>27</v>
      </c>
      <c r="AS556">
        <v>0</v>
      </c>
      <c r="AT556">
        <v>27</v>
      </c>
      <c r="AU556">
        <v>244.87</v>
      </c>
      <c r="AV556">
        <v>29.16</v>
      </c>
      <c r="AW556">
        <v>215.71</v>
      </c>
      <c r="AX556">
        <v>0</v>
      </c>
      <c r="AY556">
        <v>215.71</v>
      </c>
      <c r="AZ556">
        <v>0</v>
      </c>
    </row>
    <row r="557" spans="1:52">
      <c r="A557" t="s">
        <v>833</v>
      </c>
      <c r="B557" t="s">
        <v>834</v>
      </c>
      <c r="C557" t="s">
        <v>835</v>
      </c>
      <c r="D557" t="s">
        <v>836</v>
      </c>
      <c r="E557" t="s">
        <v>69</v>
      </c>
      <c r="F557" t="s">
        <v>70</v>
      </c>
      <c r="G557" t="s">
        <v>837</v>
      </c>
      <c r="H557" t="s">
        <v>838</v>
      </c>
      <c r="I557" t="str">
        <f t="shared" si="141"/>
        <v>1010</v>
      </c>
      <c r="J557" t="s">
        <v>67</v>
      </c>
      <c r="K557" t="s">
        <v>855</v>
      </c>
      <c r="L557" t="s">
        <v>856</v>
      </c>
      <c r="M557" t="s">
        <v>855</v>
      </c>
      <c r="N557" t="s">
        <v>914</v>
      </c>
      <c r="O557" t="s">
        <v>915</v>
      </c>
      <c r="P557" t="str">
        <f>"3020670422"</f>
        <v>3020670422</v>
      </c>
      <c r="R557" t="str">
        <f>"00030206704228"</f>
        <v>00030206704228</v>
      </c>
      <c r="S557" s="1">
        <v>40476</v>
      </c>
      <c r="T557" s="1">
        <v>40476</v>
      </c>
      <c r="U557" t="str">
        <f>"3020670422"</f>
        <v>3020670422</v>
      </c>
      <c r="V557" t="str">
        <f t="shared" si="138"/>
        <v>1510</v>
      </c>
      <c r="W557" t="str">
        <f t="shared" si="142"/>
        <v>11</v>
      </c>
      <c r="X557" t="s">
        <v>75</v>
      </c>
      <c r="Y557" t="s">
        <v>76</v>
      </c>
      <c r="Z557" t="s">
        <v>91</v>
      </c>
      <c r="AA557" t="s">
        <v>92</v>
      </c>
      <c r="AB557" t="s">
        <v>79</v>
      </c>
      <c r="AD557" t="s">
        <v>80</v>
      </c>
      <c r="AE557" t="s">
        <v>81</v>
      </c>
      <c r="AF557" t="s">
        <v>82</v>
      </c>
      <c r="AG557" t="s">
        <v>83</v>
      </c>
      <c r="AH557" t="s">
        <v>84</v>
      </c>
      <c r="AI557" t="str">
        <f t="shared" si="140"/>
        <v>01</v>
      </c>
      <c r="AJ557" t="str">
        <f t="shared" si="139"/>
        <v>1</v>
      </c>
      <c r="AK557" t="s">
        <v>101</v>
      </c>
      <c r="AL557" t="s">
        <v>94</v>
      </c>
      <c r="AM557" t="s">
        <v>95</v>
      </c>
      <c r="AN557" t="str">
        <f t="shared" si="131"/>
        <v>.9700</v>
      </c>
      <c r="AO557" t="str">
        <f>"9.07"</f>
        <v>9.07</v>
      </c>
      <c r="AP557" t="s">
        <v>102</v>
      </c>
      <c r="AQ557" t="str">
        <f>"9.07"</f>
        <v>9.07</v>
      </c>
      <c r="AR557">
        <v>0</v>
      </c>
      <c r="AS557">
        <v>-1</v>
      </c>
      <c r="AT557">
        <v>-1</v>
      </c>
      <c r="AU557">
        <v>0</v>
      </c>
      <c r="AV557">
        <v>0</v>
      </c>
      <c r="AW557">
        <v>0</v>
      </c>
      <c r="AX557">
        <v>-8.42</v>
      </c>
      <c r="AY557">
        <v>-8.42</v>
      </c>
      <c r="AZ557">
        <v>0</v>
      </c>
    </row>
    <row r="558" spans="1:52">
      <c r="A558" t="s">
        <v>833</v>
      </c>
      <c r="B558" t="s">
        <v>834</v>
      </c>
      <c r="C558" t="s">
        <v>835</v>
      </c>
      <c r="D558" t="s">
        <v>836</v>
      </c>
      <c r="E558" t="s">
        <v>69</v>
      </c>
      <c r="F558" t="s">
        <v>70</v>
      </c>
      <c r="G558" t="s">
        <v>837</v>
      </c>
      <c r="H558" t="s">
        <v>838</v>
      </c>
      <c r="I558" t="str">
        <f t="shared" si="141"/>
        <v>1010</v>
      </c>
      <c r="J558" t="s">
        <v>67</v>
      </c>
      <c r="K558" t="s">
        <v>855</v>
      </c>
      <c r="L558" t="s">
        <v>856</v>
      </c>
      <c r="M558" t="s">
        <v>855</v>
      </c>
      <c r="N558" t="s">
        <v>916</v>
      </c>
      <c r="O558" t="s">
        <v>917</v>
      </c>
      <c r="P558" t="str">
        <f>"3020667682"</f>
        <v>3020667682</v>
      </c>
      <c r="R558" t="str">
        <f>"00030206676822"</f>
        <v>00030206676822</v>
      </c>
      <c r="S558" s="1">
        <v>39035</v>
      </c>
      <c r="T558" s="1">
        <v>39035</v>
      </c>
      <c r="U558" t="str">
        <f>"3020667682"</f>
        <v>3020667682</v>
      </c>
      <c r="V558" t="str">
        <f t="shared" si="138"/>
        <v>1510</v>
      </c>
      <c r="W558" t="str">
        <f t="shared" si="142"/>
        <v>11</v>
      </c>
      <c r="X558" t="s">
        <v>75</v>
      </c>
      <c r="Y558" t="s">
        <v>76</v>
      </c>
      <c r="Z558" t="s">
        <v>870</v>
      </c>
      <c r="AA558" t="s">
        <v>893</v>
      </c>
      <c r="AB558" t="s">
        <v>79</v>
      </c>
      <c r="AD558" t="s">
        <v>80</v>
      </c>
      <c r="AE558" t="s">
        <v>81</v>
      </c>
      <c r="AF558" t="s">
        <v>82</v>
      </c>
      <c r="AG558" t="s">
        <v>867</v>
      </c>
      <c r="AH558" t="s">
        <v>868</v>
      </c>
      <c r="AJ558" t="str">
        <f t="shared" si="139"/>
        <v>1</v>
      </c>
      <c r="AK558" t="s">
        <v>869</v>
      </c>
      <c r="AL558" t="s">
        <v>870</v>
      </c>
      <c r="AM558" t="s">
        <v>95</v>
      </c>
      <c r="AN558" t="str">
        <f t="shared" si="131"/>
        <v>.9700</v>
      </c>
      <c r="AO558" t="str">
        <f>"9.51"</f>
        <v>9.51</v>
      </c>
      <c r="AP558" t="s">
        <v>871</v>
      </c>
      <c r="AQ558" t="str">
        <f>"9.51"</f>
        <v>9.51</v>
      </c>
      <c r="AR558">
        <v>24</v>
      </c>
      <c r="AS558">
        <v>0</v>
      </c>
      <c r="AT558">
        <v>24</v>
      </c>
      <c r="AU558">
        <v>228.26</v>
      </c>
      <c r="AV558">
        <v>17.12</v>
      </c>
      <c r="AW558">
        <v>211.14</v>
      </c>
      <c r="AX558">
        <v>0</v>
      </c>
      <c r="AY558">
        <v>211.14</v>
      </c>
      <c r="AZ558">
        <v>0</v>
      </c>
    </row>
    <row r="559" spans="1:52">
      <c r="A559" t="s">
        <v>833</v>
      </c>
      <c r="B559" t="s">
        <v>834</v>
      </c>
      <c r="C559" t="s">
        <v>835</v>
      </c>
      <c r="D559" t="s">
        <v>836</v>
      </c>
      <c r="E559" t="s">
        <v>69</v>
      </c>
      <c r="F559" t="s">
        <v>70</v>
      </c>
      <c r="G559" t="s">
        <v>837</v>
      </c>
      <c r="H559" t="s">
        <v>838</v>
      </c>
      <c r="I559" t="str">
        <f t="shared" si="141"/>
        <v>1010</v>
      </c>
      <c r="J559" t="s">
        <v>67</v>
      </c>
      <c r="K559" t="s">
        <v>855</v>
      </c>
      <c r="L559" t="s">
        <v>856</v>
      </c>
      <c r="M559" t="s">
        <v>855</v>
      </c>
      <c r="N559" t="s">
        <v>918</v>
      </c>
      <c r="O559" t="s">
        <v>919</v>
      </c>
      <c r="P559" t="str">
        <f>"3020663752"</f>
        <v>3020663752</v>
      </c>
      <c r="Q559" t="str">
        <f>"050266375"</f>
        <v>050266375</v>
      </c>
      <c r="R559" t="str">
        <f>"00030206637526"</f>
        <v>00030206637526</v>
      </c>
      <c r="S559" s="1">
        <v>37481</v>
      </c>
      <c r="T559" s="1">
        <v>37481</v>
      </c>
      <c r="U559" t="str">
        <f>"3020663752"</f>
        <v>3020663752</v>
      </c>
      <c r="V559" t="str">
        <f t="shared" si="138"/>
        <v>1510</v>
      </c>
      <c r="W559" t="str">
        <f t="shared" si="142"/>
        <v>11</v>
      </c>
      <c r="X559" t="s">
        <v>75</v>
      </c>
      <c r="Y559" t="s">
        <v>76</v>
      </c>
      <c r="Z559" t="s">
        <v>105</v>
      </c>
      <c r="AA559" t="s">
        <v>106</v>
      </c>
      <c r="AB559" t="s">
        <v>79</v>
      </c>
      <c r="AD559" t="s">
        <v>80</v>
      </c>
      <c r="AE559" t="s">
        <v>81</v>
      </c>
      <c r="AF559" t="s">
        <v>82</v>
      </c>
      <c r="AG559" t="s">
        <v>83</v>
      </c>
      <c r="AH559" t="s">
        <v>84</v>
      </c>
      <c r="AI559" t="str">
        <f>"01"</f>
        <v>01</v>
      </c>
      <c r="AJ559" t="str">
        <f t="shared" si="139"/>
        <v>1</v>
      </c>
      <c r="AK559" t="s">
        <v>101</v>
      </c>
      <c r="AL559" t="s">
        <v>94</v>
      </c>
      <c r="AM559" t="s">
        <v>95</v>
      </c>
      <c r="AN559" t="str">
        <f t="shared" si="131"/>
        <v>.9700</v>
      </c>
      <c r="AO559" t="str">
        <f>"9.07"</f>
        <v>9.07</v>
      </c>
      <c r="AP559" t="s">
        <v>102</v>
      </c>
      <c r="AQ559" t="str">
        <f>"9.07"</f>
        <v>9.07</v>
      </c>
      <c r="AR559">
        <v>0</v>
      </c>
      <c r="AS559">
        <v>-1</v>
      </c>
      <c r="AT559">
        <v>-1</v>
      </c>
      <c r="AU559">
        <v>0</v>
      </c>
      <c r="AV559">
        <v>0</v>
      </c>
      <c r="AW559">
        <v>0</v>
      </c>
      <c r="AX559">
        <v>-8.35</v>
      </c>
      <c r="AY559">
        <v>-8.35</v>
      </c>
      <c r="AZ559">
        <v>0</v>
      </c>
    </row>
    <row r="560" spans="1:52">
      <c r="A560" t="s">
        <v>833</v>
      </c>
      <c r="B560" t="s">
        <v>834</v>
      </c>
      <c r="C560" t="s">
        <v>835</v>
      </c>
      <c r="D560" t="s">
        <v>836</v>
      </c>
      <c r="E560" t="s">
        <v>69</v>
      </c>
      <c r="F560" t="s">
        <v>70</v>
      </c>
      <c r="G560" t="s">
        <v>837</v>
      </c>
      <c r="H560" t="s">
        <v>838</v>
      </c>
      <c r="I560" t="str">
        <f t="shared" si="141"/>
        <v>1010</v>
      </c>
      <c r="J560" t="s">
        <v>67</v>
      </c>
      <c r="K560" t="s">
        <v>855</v>
      </c>
      <c r="L560" t="s">
        <v>856</v>
      </c>
      <c r="M560" t="s">
        <v>855</v>
      </c>
      <c r="N560" t="s">
        <v>920</v>
      </c>
      <c r="O560" t="s">
        <v>921</v>
      </c>
      <c r="P560" t="str">
        <f>"3020663612"</f>
        <v>3020663612</v>
      </c>
      <c r="Q560" t="str">
        <f>"050266361"</f>
        <v>050266361</v>
      </c>
      <c r="R560" t="str">
        <f>"00030206636123"</f>
        <v>00030206636123</v>
      </c>
      <c r="S560" s="1">
        <v>37432</v>
      </c>
      <c r="T560" s="1">
        <v>37432</v>
      </c>
      <c r="U560" t="str">
        <f>"3020663612"</f>
        <v>3020663612</v>
      </c>
      <c r="V560" t="str">
        <f t="shared" si="138"/>
        <v>1510</v>
      </c>
      <c r="W560" t="str">
        <f t="shared" si="142"/>
        <v>11</v>
      </c>
      <c r="X560" t="s">
        <v>75</v>
      </c>
      <c r="Y560" t="s">
        <v>76</v>
      </c>
      <c r="Z560" t="s">
        <v>105</v>
      </c>
      <c r="AA560" t="s">
        <v>106</v>
      </c>
      <c r="AB560" t="s">
        <v>79</v>
      </c>
      <c r="AD560" t="s">
        <v>80</v>
      </c>
      <c r="AE560" t="s">
        <v>81</v>
      </c>
      <c r="AF560" t="s">
        <v>82</v>
      </c>
      <c r="AG560" t="s">
        <v>83</v>
      </c>
      <c r="AH560" t="s">
        <v>84</v>
      </c>
      <c r="AI560" t="str">
        <f>"01"</f>
        <v>01</v>
      </c>
      <c r="AJ560" t="str">
        <f t="shared" si="139"/>
        <v>1</v>
      </c>
      <c r="AK560" t="s">
        <v>101</v>
      </c>
      <c r="AL560" t="s">
        <v>94</v>
      </c>
      <c r="AM560" t="s">
        <v>95</v>
      </c>
      <c r="AN560" t="str">
        <f t="shared" si="131"/>
        <v>.9700</v>
      </c>
      <c r="AO560" t="str">
        <f>"9.07"</f>
        <v>9.07</v>
      </c>
      <c r="AP560" t="s">
        <v>102</v>
      </c>
      <c r="AQ560" t="str">
        <f>"9.07"</f>
        <v>9.07</v>
      </c>
      <c r="AR560">
        <v>170</v>
      </c>
      <c r="AS560">
        <v>-2</v>
      </c>
      <c r="AT560">
        <v>168</v>
      </c>
      <c r="AU560">
        <v>1541.67</v>
      </c>
      <c r="AV560">
        <v>141.47</v>
      </c>
      <c r="AW560">
        <v>1400.2</v>
      </c>
      <c r="AX560">
        <v>-16.02</v>
      </c>
      <c r="AY560">
        <v>1384.18</v>
      </c>
      <c r="AZ560">
        <v>0</v>
      </c>
    </row>
    <row r="561" spans="1:52">
      <c r="A561" t="s">
        <v>833</v>
      </c>
      <c r="B561" t="s">
        <v>834</v>
      </c>
      <c r="C561" t="s">
        <v>835</v>
      </c>
      <c r="D561" t="s">
        <v>836</v>
      </c>
      <c r="E561" t="s">
        <v>69</v>
      </c>
      <c r="F561" t="s">
        <v>70</v>
      </c>
      <c r="G561" t="s">
        <v>837</v>
      </c>
      <c r="H561" t="s">
        <v>838</v>
      </c>
      <c r="I561" t="str">
        <f t="shared" si="141"/>
        <v>1010</v>
      </c>
      <c r="J561" t="s">
        <v>67</v>
      </c>
      <c r="K561" t="s">
        <v>855</v>
      </c>
      <c r="L561" t="s">
        <v>856</v>
      </c>
      <c r="M561" t="s">
        <v>855</v>
      </c>
      <c r="N561" t="s">
        <v>922</v>
      </c>
      <c r="O561" t="s">
        <v>923</v>
      </c>
      <c r="P561" t="str">
        <f>"3020670502"</f>
        <v>3020670502</v>
      </c>
      <c r="R561" t="str">
        <f>"00030206705027"</f>
        <v>00030206705027</v>
      </c>
      <c r="S561" s="1">
        <v>40498</v>
      </c>
      <c r="T561" s="1">
        <v>40484</v>
      </c>
      <c r="U561" t="str">
        <f>"3020670502"</f>
        <v>3020670502</v>
      </c>
      <c r="V561" t="str">
        <f t="shared" si="138"/>
        <v>1510</v>
      </c>
      <c r="W561" t="str">
        <f t="shared" si="142"/>
        <v>11</v>
      </c>
      <c r="X561" t="s">
        <v>75</v>
      </c>
      <c r="Y561" t="s">
        <v>76</v>
      </c>
      <c r="Z561" t="s">
        <v>870</v>
      </c>
      <c r="AA561" t="s">
        <v>893</v>
      </c>
      <c r="AB561" t="s">
        <v>79</v>
      </c>
      <c r="AD561" t="s">
        <v>80</v>
      </c>
      <c r="AE561" t="s">
        <v>81</v>
      </c>
      <c r="AF561" t="s">
        <v>82</v>
      </c>
      <c r="AG561" t="s">
        <v>867</v>
      </c>
      <c r="AH561" t="s">
        <v>868</v>
      </c>
      <c r="AJ561" t="str">
        <f t="shared" si="139"/>
        <v>1</v>
      </c>
      <c r="AK561" t="s">
        <v>869</v>
      </c>
      <c r="AL561" t="s">
        <v>870</v>
      </c>
      <c r="AM561" t="s">
        <v>95</v>
      </c>
      <c r="AN561" t="str">
        <f t="shared" si="131"/>
        <v>.9700</v>
      </c>
      <c r="AO561" t="str">
        <f>"9.51"</f>
        <v>9.51</v>
      </c>
      <c r="AP561" t="s">
        <v>871</v>
      </c>
      <c r="AQ561" t="str">
        <f>"9.51"</f>
        <v>9.51</v>
      </c>
      <c r="AR561">
        <v>34</v>
      </c>
      <c r="AS561">
        <v>-1</v>
      </c>
      <c r="AT561">
        <v>33</v>
      </c>
      <c r="AU561">
        <v>323.38</v>
      </c>
      <c r="AV561">
        <v>37.56</v>
      </c>
      <c r="AW561">
        <v>285.82</v>
      </c>
      <c r="AX561">
        <v>-8.7899999999999991</v>
      </c>
      <c r="AY561">
        <v>277.02999999999997</v>
      </c>
      <c r="AZ561">
        <v>0</v>
      </c>
    </row>
    <row r="562" spans="1:52">
      <c r="A562" t="s">
        <v>833</v>
      </c>
      <c r="B562" t="s">
        <v>834</v>
      </c>
      <c r="C562" t="s">
        <v>835</v>
      </c>
      <c r="D562" t="s">
        <v>836</v>
      </c>
      <c r="E562" t="s">
        <v>69</v>
      </c>
      <c r="F562" t="s">
        <v>70</v>
      </c>
      <c r="G562" t="s">
        <v>837</v>
      </c>
      <c r="H562" t="s">
        <v>838</v>
      </c>
      <c r="I562" t="str">
        <f t="shared" si="141"/>
        <v>1010</v>
      </c>
      <c r="J562" t="s">
        <v>67</v>
      </c>
      <c r="K562" t="s">
        <v>855</v>
      </c>
      <c r="L562" t="s">
        <v>856</v>
      </c>
      <c r="M562" t="s">
        <v>855</v>
      </c>
      <c r="N562" t="s">
        <v>922</v>
      </c>
      <c r="O562" t="s">
        <v>923</v>
      </c>
      <c r="P562" t="str">
        <f>"3020670732"</f>
        <v>3020670732</v>
      </c>
      <c r="R562" t="str">
        <f>"00030206707328"</f>
        <v>00030206707328</v>
      </c>
      <c r="S562" s="1">
        <v>40722</v>
      </c>
      <c r="T562" s="1">
        <v>40722</v>
      </c>
      <c r="U562" t="str">
        <f>"3020670732"</f>
        <v>3020670732</v>
      </c>
      <c r="V562" t="str">
        <f t="shared" si="138"/>
        <v>1510</v>
      </c>
      <c r="W562" t="str">
        <f t="shared" si="142"/>
        <v>11</v>
      </c>
      <c r="X562" t="s">
        <v>75</v>
      </c>
      <c r="Y562" t="s">
        <v>76</v>
      </c>
      <c r="Z562" t="s">
        <v>91</v>
      </c>
      <c r="AA562" t="s">
        <v>92</v>
      </c>
      <c r="AB562" t="s">
        <v>79</v>
      </c>
      <c r="AD562" t="s">
        <v>80</v>
      </c>
      <c r="AE562" t="s">
        <v>81</v>
      </c>
      <c r="AF562" t="s">
        <v>82</v>
      </c>
      <c r="AG562" t="s">
        <v>83</v>
      </c>
      <c r="AH562" t="s">
        <v>84</v>
      </c>
      <c r="AI562" t="str">
        <f>"02"</f>
        <v>02</v>
      </c>
      <c r="AJ562" t="str">
        <f>"2"</f>
        <v>2</v>
      </c>
      <c r="AK562" t="s">
        <v>93</v>
      </c>
      <c r="AL562" t="s">
        <v>94</v>
      </c>
      <c r="AM562" t="s">
        <v>95</v>
      </c>
      <c r="AN562" t="str">
        <f t="shared" si="131"/>
        <v>.9700</v>
      </c>
      <c r="AO562" t="str">
        <f>"11.41"</f>
        <v>11.41</v>
      </c>
      <c r="AP562" t="s">
        <v>96</v>
      </c>
      <c r="AQ562" t="str">
        <f>"11.41"</f>
        <v>11.41</v>
      </c>
      <c r="AR562">
        <v>19</v>
      </c>
      <c r="AS562">
        <v>0</v>
      </c>
      <c r="AT562">
        <v>19</v>
      </c>
      <c r="AU562">
        <v>216.78</v>
      </c>
      <c r="AV562">
        <v>24.47</v>
      </c>
      <c r="AW562">
        <v>192.31</v>
      </c>
      <c r="AX562">
        <v>0</v>
      </c>
      <c r="AY562">
        <v>192.31</v>
      </c>
      <c r="AZ562">
        <v>0</v>
      </c>
    </row>
    <row r="563" spans="1:52">
      <c r="A563" t="s">
        <v>833</v>
      </c>
      <c r="B563" t="s">
        <v>834</v>
      </c>
      <c r="C563" t="s">
        <v>835</v>
      </c>
      <c r="D563" t="s">
        <v>836</v>
      </c>
      <c r="E563" t="s">
        <v>69</v>
      </c>
      <c r="F563" t="s">
        <v>70</v>
      </c>
      <c r="G563" t="s">
        <v>837</v>
      </c>
      <c r="H563" t="s">
        <v>838</v>
      </c>
      <c r="I563" t="str">
        <f t="shared" si="141"/>
        <v>1010</v>
      </c>
      <c r="J563" t="s">
        <v>67</v>
      </c>
      <c r="K563" t="s">
        <v>855</v>
      </c>
      <c r="L563" t="s">
        <v>856</v>
      </c>
      <c r="M563" t="s">
        <v>855</v>
      </c>
      <c r="N563" t="s">
        <v>922</v>
      </c>
      <c r="O563" t="s">
        <v>924</v>
      </c>
      <c r="P563" t="str">
        <f>"3020671652"</f>
        <v>3020671652</v>
      </c>
      <c r="R563" t="str">
        <f>"00030206716528"</f>
        <v>00030206716528</v>
      </c>
      <c r="S563" s="1">
        <v>41212</v>
      </c>
      <c r="T563" s="1">
        <v>41212</v>
      </c>
      <c r="U563" t="str">
        <f>"3020671652"</f>
        <v>3020671652</v>
      </c>
      <c r="V563" t="str">
        <f>"1010"</f>
        <v>1010</v>
      </c>
      <c r="W563" t="str">
        <f t="shared" si="142"/>
        <v>11</v>
      </c>
      <c r="X563" t="s">
        <v>75</v>
      </c>
      <c r="Y563" t="s">
        <v>76</v>
      </c>
      <c r="Z563" t="s">
        <v>105</v>
      </c>
      <c r="AA563" t="s">
        <v>106</v>
      </c>
      <c r="AB563" t="s">
        <v>79</v>
      </c>
      <c r="AD563" t="s">
        <v>80</v>
      </c>
      <c r="AE563" t="s">
        <v>81</v>
      </c>
      <c r="AF563" t="s">
        <v>82</v>
      </c>
      <c r="AG563" t="s">
        <v>83</v>
      </c>
      <c r="AH563" t="s">
        <v>84</v>
      </c>
      <c r="AI563" t="str">
        <f>"01"</f>
        <v>01</v>
      </c>
      <c r="AJ563" t="str">
        <f>"1"</f>
        <v>1</v>
      </c>
      <c r="AK563" t="s">
        <v>118</v>
      </c>
      <c r="AL563" t="s">
        <v>94</v>
      </c>
      <c r="AM563" t="s">
        <v>95</v>
      </c>
      <c r="AN563" t="str">
        <f t="shared" si="131"/>
        <v>.9700</v>
      </c>
      <c r="AO563" t="str">
        <f>"10.32"</f>
        <v>10.32</v>
      </c>
      <c r="AP563" t="s">
        <v>119</v>
      </c>
      <c r="AQ563" t="str">
        <f>"10.32"</f>
        <v>10.32</v>
      </c>
      <c r="AR563">
        <v>30</v>
      </c>
      <c r="AS563">
        <v>-7</v>
      </c>
      <c r="AT563">
        <v>23</v>
      </c>
      <c r="AU563">
        <v>309.52</v>
      </c>
      <c r="AV563">
        <v>10.32</v>
      </c>
      <c r="AW563">
        <v>299.2</v>
      </c>
      <c r="AX563">
        <v>-66.66</v>
      </c>
      <c r="AY563">
        <v>232.54</v>
      </c>
      <c r="AZ563">
        <v>0</v>
      </c>
    </row>
    <row r="564" spans="1:52">
      <c r="A564" t="s">
        <v>833</v>
      </c>
      <c r="B564" t="s">
        <v>834</v>
      </c>
      <c r="C564" t="s">
        <v>835</v>
      </c>
      <c r="D564" t="s">
        <v>836</v>
      </c>
      <c r="E564" t="s">
        <v>69</v>
      </c>
      <c r="F564" t="s">
        <v>70</v>
      </c>
      <c r="G564" t="s">
        <v>837</v>
      </c>
      <c r="H564" t="s">
        <v>838</v>
      </c>
      <c r="I564" t="str">
        <f t="shared" si="141"/>
        <v>1010</v>
      </c>
      <c r="J564" t="s">
        <v>67</v>
      </c>
      <c r="K564" t="s">
        <v>855</v>
      </c>
      <c r="L564" t="s">
        <v>856</v>
      </c>
      <c r="M564" t="s">
        <v>855</v>
      </c>
      <c r="N564" t="s">
        <v>925</v>
      </c>
      <c r="O564" t="s">
        <v>926</v>
      </c>
      <c r="P564" t="str">
        <f>"3020624092"</f>
        <v>3020624092</v>
      </c>
      <c r="R564" t="str">
        <f>"00030206240924"</f>
        <v>00030206240924</v>
      </c>
      <c r="S564" s="1">
        <v>40757</v>
      </c>
      <c r="T564" s="1">
        <v>40757</v>
      </c>
      <c r="U564" t="str">
        <f>"3020624092"</f>
        <v>3020624092</v>
      </c>
      <c r="V564" t="str">
        <f>"1510"</f>
        <v>1510</v>
      </c>
      <c r="W564" t="str">
        <f t="shared" si="142"/>
        <v>11</v>
      </c>
      <c r="X564" t="s">
        <v>75</v>
      </c>
      <c r="Y564" t="s">
        <v>76</v>
      </c>
      <c r="Z564" t="s">
        <v>91</v>
      </c>
      <c r="AA564" t="s">
        <v>92</v>
      </c>
      <c r="AB564" t="s">
        <v>79</v>
      </c>
      <c r="AD564" t="s">
        <v>80</v>
      </c>
      <c r="AE564" t="s">
        <v>81</v>
      </c>
      <c r="AF564" t="s">
        <v>82</v>
      </c>
      <c r="AG564" t="s">
        <v>83</v>
      </c>
      <c r="AH564" t="s">
        <v>84</v>
      </c>
      <c r="AI564" t="str">
        <f>"01"</f>
        <v>01</v>
      </c>
      <c r="AJ564" t="str">
        <f>"1"</f>
        <v>1</v>
      </c>
      <c r="AK564" t="s">
        <v>85</v>
      </c>
      <c r="AL564" t="s">
        <v>94</v>
      </c>
      <c r="AM564" t="s">
        <v>87</v>
      </c>
      <c r="AN564" t="str">
        <f t="shared" si="131"/>
        <v>.9700</v>
      </c>
      <c r="AO564" t="str">
        <f>"7.50"</f>
        <v>7.50</v>
      </c>
      <c r="AP564" t="s">
        <v>88</v>
      </c>
      <c r="AQ564" t="str">
        <f>"7.50"</f>
        <v>7.50</v>
      </c>
      <c r="AR564">
        <v>16</v>
      </c>
      <c r="AS564">
        <v>-3</v>
      </c>
      <c r="AT564">
        <v>13</v>
      </c>
      <c r="AU564">
        <v>120</v>
      </c>
      <c r="AV564">
        <v>14.4</v>
      </c>
      <c r="AW564">
        <v>105.6</v>
      </c>
      <c r="AX564">
        <v>-20.420000000000002</v>
      </c>
      <c r="AY564">
        <v>85.18</v>
      </c>
      <c r="AZ564">
        <v>0</v>
      </c>
    </row>
    <row r="565" spans="1:52">
      <c r="A565" t="s">
        <v>833</v>
      </c>
      <c r="B565" t="s">
        <v>834</v>
      </c>
      <c r="C565" t="s">
        <v>835</v>
      </c>
      <c r="D565" t="s">
        <v>836</v>
      </c>
      <c r="E565" t="s">
        <v>69</v>
      </c>
      <c r="F565" t="s">
        <v>70</v>
      </c>
      <c r="G565" t="s">
        <v>837</v>
      </c>
      <c r="H565" t="s">
        <v>838</v>
      </c>
      <c r="I565" t="str">
        <f t="shared" si="141"/>
        <v>1010</v>
      </c>
      <c r="J565" t="s">
        <v>67</v>
      </c>
      <c r="K565" t="s">
        <v>855</v>
      </c>
      <c r="L565" t="s">
        <v>856</v>
      </c>
      <c r="M565" t="s">
        <v>855</v>
      </c>
      <c r="N565" t="s">
        <v>927</v>
      </c>
      <c r="O565" t="s">
        <v>928</v>
      </c>
      <c r="P565" t="str">
        <f>"3020671292"</f>
        <v>3020671292</v>
      </c>
      <c r="R565" t="str">
        <f>"00030206712926"</f>
        <v>00030206712926</v>
      </c>
      <c r="S565" s="1">
        <v>41023</v>
      </c>
      <c r="T565" s="1">
        <v>41023</v>
      </c>
      <c r="U565" t="str">
        <f>"3020671292"</f>
        <v>3020671292</v>
      </c>
      <c r="V565" t="str">
        <f>"1510"</f>
        <v>1510</v>
      </c>
      <c r="W565" t="str">
        <f t="shared" si="142"/>
        <v>11</v>
      </c>
      <c r="X565" t="s">
        <v>75</v>
      </c>
      <c r="Y565" t="s">
        <v>76</v>
      </c>
      <c r="Z565" t="s">
        <v>254</v>
      </c>
      <c r="AA565" t="s">
        <v>255</v>
      </c>
      <c r="AB565" t="s">
        <v>79</v>
      </c>
      <c r="AD565" t="s">
        <v>80</v>
      </c>
      <c r="AE565" t="s">
        <v>81</v>
      </c>
      <c r="AF565" t="s">
        <v>82</v>
      </c>
      <c r="AG565" t="s">
        <v>83</v>
      </c>
      <c r="AH565" t="s">
        <v>84</v>
      </c>
      <c r="AI565" t="str">
        <f>"01"</f>
        <v>01</v>
      </c>
      <c r="AJ565" t="str">
        <f>"1"</f>
        <v>1</v>
      </c>
      <c r="AK565" t="s">
        <v>85</v>
      </c>
      <c r="AL565" t="s">
        <v>86</v>
      </c>
      <c r="AM565" t="s">
        <v>87</v>
      </c>
      <c r="AN565" t="str">
        <f t="shared" si="131"/>
        <v>.9700</v>
      </c>
      <c r="AO565" t="str">
        <f>"7.50"</f>
        <v>7.50</v>
      </c>
      <c r="AP565" t="s">
        <v>88</v>
      </c>
      <c r="AQ565" t="str">
        <f>"7.50"</f>
        <v>7.50</v>
      </c>
      <c r="AR565">
        <v>20</v>
      </c>
      <c r="AS565">
        <v>0</v>
      </c>
      <c r="AT565">
        <v>20</v>
      </c>
      <c r="AU565">
        <v>150.11000000000001</v>
      </c>
      <c r="AV565">
        <v>7.51</v>
      </c>
      <c r="AW565">
        <v>142.6</v>
      </c>
      <c r="AX565">
        <v>0</v>
      </c>
      <c r="AY565">
        <v>142.6</v>
      </c>
      <c r="AZ565">
        <v>0</v>
      </c>
    </row>
    <row r="566" spans="1:52">
      <c r="A566" t="s">
        <v>833</v>
      </c>
      <c r="B566" t="s">
        <v>834</v>
      </c>
      <c r="C566" t="s">
        <v>835</v>
      </c>
      <c r="D566" t="s">
        <v>836</v>
      </c>
      <c r="E566" t="s">
        <v>69</v>
      </c>
      <c r="F566" t="s">
        <v>70</v>
      </c>
      <c r="G566" t="s">
        <v>837</v>
      </c>
      <c r="H566" t="s">
        <v>838</v>
      </c>
      <c r="I566" t="str">
        <f t="shared" si="141"/>
        <v>1010</v>
      </c>
      <c r="J566" t="s">
        <v>67</v>
      </c>
      <c r="K566" t="s">
        <v>855</v>
      </c>
      <c r="L566" t="s">
        <v>856</v>
      </c>
      <c r="M566" t="s">
        <v>855</v>
      </c>
      <c r="N566" t="s">
        <v>929</v>
      </c>
      <c r="O566" t="s">
        <v>930</v>
      </c>
      <c r="P566" t="str">
        <f>"3020662172"</f>
        <v>3020662172</v>
      </c>
      <c r="Q566" t="str">
        <f>"050366217"</f>
        <v>050366217</v>
      </c>
      <c r="R566" t="str">
        <f>"00030206621723"</f>
        <v>00030206621723</v>
      </c>
      <c r="S566" s="1">
        <v>36984</v>
      </c>
      <c r="T566" s="1">
        <v>36984</v>
      </c>
      <c r="U566" t="str">
        <f>"3020662172"</f>
        <v>3020662172</v>
      </c>
      <c r="V566" t="str">
        <f>"1510"</f>
        <v>1510</v>
      </c>
      <c r="W566" t="str">
        <f t="shared" si="142"/>
        <v>11</v>
      </c>
      <c r="X566" t="s">
        <v>75</v>
      </c>
      <c r="Y566" t="s">
        <v>76</v>
      </c>
      <c r="Z566" t="s">
        <v>105</v>
      </c>
      <c r="AA566" t="s">
        <v>106</v>
      </c>
      <c r="AB566" t="s">
        <v>79</v>
      </c>
      <c r="AD566" t="s">
        <v>80</v>
      </c>
      <c r="AE566" t="s">
        <v>81</v>
      </c>
      <c r="AF566" t="s">
        <v>82</v>
      </c>
      <c r="AG566" t="s">
        <v>83</v>
      </c>
      <c r="AH566" t="s">
        <v>84</v>
      </c>
      <c r="AI566" t="str">
        <f>"02"</f>
        <v>02</v>
      </c>
      <c r="AJ566" t="str">
        <f>"2"</f>
        <v>2</v>
      </c>
      <c r="AK566" t="s">
        <v>931</v>
      </c>
      <c r="AL566" t="s">
        <v>94</v>
      </c>
      <c r="AM566" t="s">
        <v>95</v>
      </c>
      <c r="AN566" t="str">
        <f t="shared" si="131"/>
        <v>.9700</v>
      </c>
      <c r="AO566" t="str">
        <f>"17.34"</f>
        <v>17.34</v>
      </c>
      <c r="AP566" t="s">
        <v>932</v>
      </c>
      <c r="AQ566" t="str">
        <f>"17.34"</f>
        <v>17.34</v>
      </c>
      <c r="AR566">
        <v>20</v>
      </c>
      <c r="AS566">
        <v>-4</v>
      </c>
      <c r="AT566">
        <v>16</v>
      </c>
      <c r="AU566">
        <v>346.84</v>
      </c>
      <c r="AV566">
        <v>40.65</v>
      </c>
      <c r="AW566">
        <v>306.19</v>
      </c>
      <c r="AX566">
        <v>-64.92</v>
      </c>
      <c r="AY566">
        <v>241.27</v>
      </c>
      <c r="AZ566">
        <v>0</v>
      </c>
    </row>
    <row r="567" spans="1:52">
      <c r="A567" t="s">
        <v>833</v>
      </c>
      <c r="B567" t="s">
        <v>834</v>
      </c>
      <c r="C567" t="s">
        <v>835</v>
      </c>
      <c r="D567" t="s">
        <v>836</v>
      </c>
      <c r="E567" t="s">
        <v>69</v>
      </c>
      <c r="F567" t="s">
        <v>70</v>
      </c>
      <c r="G567" t="s">
        <v>837</v>
      </c>
      <c r="H567" t="s">
        <v>838</v>
      </c>
      <c r="I567" t="str">
        <f t="shared" si="141"/>
        <v>1010</v>
      </c>
      <c r="J567" t="s">
        <v>67</v>
      </c>
      <c r="K567" t="s">
        <v>855</v>
      </c>
      <c r="L567" t="s">
        <v>856</v>
      </c>
      <c r="M567" t="s">
        <v>855</v>
      </c>
      <c r="N567" t="s">
        <v>933</v>
      </c>
      <c r="O567" t="s">
        <v>934</v>
      </c>
      <c r="P567" t="s">
        <v>935</v>
      </c>
      <c r="R567" t="str">
        <f>"00030206591927"</f>
        <v>00030206591927</v>
      </c>
      <c r="S567" s="1">
        <v>35906</v>
      </c>
      <c r="T567" s="1">
        <v>35906</v>
      </c>
      <c r="U567" t="s">
        <v>935</v>
      </c>
      <c r="V567" t="str">
        <f>"1510"</f>
        <v>1510</v>
      </c>
      <c r="W567" t="str">
        <f t="shared" si="142"/>
        <v>11</v>
      </c>
      <c r="X567" t="s">
        <v>75</v>
      </c>
      <c r="Y567" t="s">
        <v>76</v>
      </c>
      <c r="Z567" t="s">
        <v>282</v>
      </c>
      <c r="AA567" t="s">
        <v>283</v>
      </c>
      <c r="AB567" t="s">
        <v>79</v>
      </c>
      <c r="AD567" t="s">
        <v>80</v>
      </c>
      <c r="AE567" t="s">
        <v>81</v>
      </c>
      <c r="AF567" t="s">
        <v>82</v>
      </c>
      <c r="AG567" t="s">
        <v>83</v>
      </c>
      <c r="AH567" t="s">
        <v>84</v>
      </c>
      <c r="AI567" t="str">
        <f t="shared" ref="AI567:AI598" si="143">"01"</f>
        <v>01</v>
      </c>
      <c r="AJ567" t="str">
        <f t="shared" ref="AJ567:AJ598" si="144">"1"</f>
        <v>1</v>
      </c>
      <c r="AK567" t="s">
        <v>101</v>
      </c>
      <c r="AL567" t="s">
        <v>94</v>
      </c>
      <c r="AM567" t="s">
        <v>95</v>
      </c>
      <c r="AN567" t="str">
        <f t="shared" si="131"/>
        <v>.9700</v>
      </c>
      <c r="AO567" t="str">
        <f>"9.07"</f>
        <v>9.07</v>
      </c>
      <c r="AP567" t="s">
        <v>102</v>
      </c>
      <c r="AQ567" t="str">
        <f>"9.07"</f>
        <v>9.07</v>
      </c>
      <c r="AR567">
        <v>95</v>
      </c>
      <c r="AS567">
        <v>-2</v>
      </c>
      <c r="AT567">
        <v>93</v>
      </c>
      <c r="AU567">
        <v>861.49</v>
      </c>
      <c r="AV567">
        <v>101.21</v>
      </c>
      <c r="AW567">
        <v>760.28</v>
      </c>
      <c r="AX567">
        <v>-16.600000000000001</v>
      </c>
      <c r="AY567">
        <v>743.68</v>
      </c>
      <c r="AZ567">
        <v>0</v>
      </c>
    </row>
    <row r="568" spans="1:52">
      <c r="A568" t="s">
        <v>833</v>
      </c>
      <c r="B568" t="s">
        <v>834</v>
      </c>
      <c r="C568" t="s">
        <v>835</v>
      </c>
      <c r="D568" t="s">
        <v>836</v>
      </c>
      <c r="E568" t="s">
        <v>69</v>
      </c>
      <c r="F568" t="s">
        <v>70</v>
      </c>
      <c r="G568" t="s">
        <v>837</v>
      </c>
      <c r="H568" t="s">
        <v>838</v>
      </c>
      <c r="I568" t="str">
        <f t="shared" si="141"/>
        <v>1010</v>
      </c>
      <c r="J568" t="s">
        <v>67</v>
      </c>
      <c r="K568" t="s">
        <v>855</v>
      </c>
      <c r="L568" t="s">
        <v>856</v>
      </c>
      <c r="M568" t="s">
        <v>855</v>
      </c>
      <c r="N568" t="s">
        <v>936</v>
      </c>
      <c r="O568" t="s">
        <v>937</v>
      </c>
      <c r="P568" t="str">
        <f>"3020671712"</f>
        <v>3020671712</v>
      </c>
      <c r="R568" t="str">
        <f>"00030206717129"</f>
        <v>00030206717129</v>
      </c>
      <c r="S568" s="1">
        <v>41226</v>
      </c>
      <c r="T568" s="1">
        <v>41226</v>
      </c>
      <c r="U568" t="str">
        <f>"3020671712"</f>
        <v>3020671712</v>
      </c>
      <c r="V568" t="str">
        <f>"1010"</f>
        <v>1010</v>
      </c>
      <c r="W568" t="str">
        <f t="shared" si="142"/>
        <v>11</v>
      </c>
      <c r="X568" t="s">
        <v>75</v>
      </c>
      <c r="Y568" t="s">
        <v>76</v>
      </c>
      <c r="Z568" t="s">
        <v>110</v>
      </c>
      <c r="AA568" t="s">
        <v>111</v>
      </c>
      <c r="AB568" t="s">
        <v>79</v>
      </c>
      <c r="AD568" t="s">
        <v>80</v>
      </c>
      <c r="AE568" t="s">
        <v>81</v>
      </c>
      <c r="AF568" t="s">
        <v>82</v>
      </c>
      <c r="AG568" t="s">
        <v>83</v>
      </c>
      <c r="AH568" t="s">
        <v>84</v>
      </c>
      <c r="AI568" t="str">
        <f t="shared" si="143"/>
        <v>01</v>
      </c>
      <c r="AJ568" t="str">
        <f t="shared" si="144"/>
        <v>1</v>
      </c>
      <c r="AK568" t="s">
        <v>85</v>
      </c>
      <c r="AL568" t="s">
        <v>86</v>
      </c>
      <c r="AM568" t="s">
        <v>87</v>
      </c>
      <c r="AN568" t="str">
        <f t="shared" si="131"/>
        <v>.9700</v>
      </c>
      <c r="AO568" t="str">
        <f>"7.50"</f>
        <v>7.50</v>
      </c>
      <c r="AP568" t="s">
        <v>88</v>
      </c>
      <c r="AQ568" t="str">
        <f>"7.50"</f>
        <v>7.50</v>
      </c>
      <c r="AR568">
        <v>3</v>
      </c>
      <c r="AS568">
        <v>-19</v>
      </c>
      <c r="AT568">
        <v>-16</v>
      </c>
      <c r="AU568">
        <v>22.5</v>
      </c>
      <c r="AV568">
        <v>0</v>
      </c>
      <c r="AW568">
        <v>22.5</v>
      </c>
      <c r="AX568">
        <v>-139.54</v>
      </c>
      <c r="AY568">
        <v>-117.04</v>
      </c>
      <c r="AZ568">
        <v>0</v>
      </c>
    </row>
    <row r="569" spans="1:52">
      <c r="A569" t="s">
        <v>833</v>
      </c>
      <c r="B569" t="s">
        <v>834</v>
      </c>
      <c r="C569" t="s">
        <v>835</v>
      </c>
      <c r="D569" t="s">
        <v>836</v>
      </c>
      <c r="E569" t="s">
        <v>69</v>
      </c>
      <c r="F569" t="s">
        <v>70</v>
      </c>
      <c r="G569" t="s">
        <v>837</v>
      </c>
      <c r="H569" t="s">
        <v>838</v>
      </c>
      <c r="I569" t="str">
        <f t="shared" si="141"/>
        <v>1010</v>
      </c>
      <c r="J569" t="s">
        <v>67</v>
      </c>
      <c r="K569" t="s">
        <v>855</v>
      </c>
      <c r="L569" t="s">
        <v>856</v>
      </c>
      <c r="M569" t="s">
        <v>855</v>
      </c>
      <c r="N569" t="s">
        <v>938</v>
      </c>
      <c r="O569" t="s">
        <v>939</v>
      </c>
      <c r="P569" t="str">
        <f>"3020669442"</f>
        <v>3020669442</v>
      </c>
      <c r="R569" t="str">
        <f>"00030206694420"</f>
        <v>00030206694420</v>
      </c>
      <c r="S569" s="1">
        <v>40400</v>
      </c>
      <c r="T569" s="1">
        <v>40400</v>
      </c>
      <c r="U569" t="str">
        <f>"3020669442"</f>
        <v>3020669442</v>
      </c>
      <c r="V569" t="str">
        <f t="shared" ref="V569:V604" si="145">"1510"</f>
        <v>1510</v>
      </c>
      <c r="W569" t="str">
        <f t="shared" si="142"/>
        <v>11</v>
      </c>
      <c r="X569" t="s">
        <v>75</v>
      </c>
      <c r="Y569" t="s">
        <v>76</v>
      </c>
      <c r="Z569" t="s">
        <v>91</v>
      </c>
      <c r="AA569" t="s">
        <v>92</v>
      </c>
      <c r="AB569" t="s">
        <v>79</v>
      </c>
      <c r="AD569" t="s">
        <v>80</v>
      </c>
      <c r="AE569" t="s">
        <v>81</v>
      </c>
      <c r="AF569" t="s">
        <v>82</v>
      </c>
      <c r="AG569" t="s">
        <v>83</v>
      </c>
      <c r="AH569" t="s">
        <v>84</v>
      </c>
      <c r="AI569" t="str">
        <f t="shared" si="143"/>
        <v>01</v>
      </c>
      <c r="AJ569" t="str">
        <f t="shared" si="144"/>
        <v>1</v>
      </c>
      <c r="AK569" t="s">
        <v>101</v>
      </c>
      <c r="AL569" t="s">
        <v>94</v>
      </c>
      <c r="AM569" t="s">
        <v>95</v>
      </c>
      <c r="AN569" t="str">
        <f t="shared" si="131"/>
        <v>.9700</v>
      </c>
      <c r="AO569" t="str">
        <f>"9.07"</f>
        <v>9.07</v>
      </c>
      <c r="AP569" t="s">
        <v>102</v>
      </c>
      <c r="AQ569" t="str">
        <f>"9.07"</f>
        <v>9.07</v>
      </c>
      <c r="AR569">
        <v>7</v>
      </c>
      <c r="AS569">
        <v>-3</v>
      </c>
      <c r="AT569">
        <v>4</v>
      </c>
      <c r="AU569">
        <v>63.48</v>
      </c>
      <c r="AV569">
        <v>7.62</v>
      </c>
      <c r="AW569">
        <v>55.86</v>
      </c>
      <c r="AX569">
        <v>-25.38</v>
      </c>
      <c r="AY569">
        <v>30.48</v>
      </c>
      <c r="AZ569">
        <v>0</v>
      </c>
    </row>
    <row r="570" spans="1:52">
      <c r="A570" t="s">
        <v>833</v>
      </c>
      <c r="B570" t="s">
        <v>834</v>
      </c>
      <c r="C570" t="s">
        <v>835</v>
      </c>
      <c r="D570" t="s">
        <v>836</v>
      </c>
      <c r="E570" t="s">
        <v>69</v>
      </c>
      <c r="F570" t="s">
        <v>70</v>
      </c>
      <c r="G570" t="s">
        <v>837</v>
      </c>
      <c r="H570" t="s">
        <v>838</v>
      </c>
      <c r="I570" t="str">
        <f t="shared" si="141"/>
        <v>1010</v>
      </c>
      <c r="J570" t="s">
        <v>67</v>
      </c>
      <c r="K570" t="s">
        <v>855</v>
      </c>
      <c r="L570" t="s">
        <v>856</v>
      </c>
      <c r="M570" t="s">
        <v>855</v>
      </c>
      <c r="N570" t="s">
        <v>940</v>
      </c>
      <c r="O570" t="s">
        <v>941</v>
      </c>
      <c r="P570" t="s">
        <v>942</v>
      </c>
      <c r="R570" t="str">
        <f>"00030206595420"</f>
        <v>00030206595420</v>
      </c>
      <c r="S570" s="1">
        <v>36004</v>
      </c>
      <c r="T570" s="1">
        <v>36004</v>
      </c>
      <c r="U570" t="s">
        <v>942</v>
      </c>
      <c r="V570" t="str">
        <f t="shared" si="145"/>
        <v>1510</v>
      </c>
      <c r="W570" t="str">
        <f t="shared" si="142"/>
        <v>11</v>
      </c>
      <c r="X570" t="s">
        <v>75</v>
      </c>
      <c r="Y570" t="s">
        <v>76</v>
      </c>
      <c r="Z570" t="s">
        <v>105</v>
      </c>
      <c r="AA570" t="s">
        <v>106</v>
      </c>
      <c r="AB570" t="s">
        <v>79</v>
      </c>
      <c r="AD570" t="s">
        <v>80</v>
      </c>
      <c r="AE570" t="s">
        <v>81</v>
      </c>
      <c r="AF570" t="s">
        <v>82</v>
      </c>
      <c r="AG570" t="s">
        <v>83</v>
      </c>
      <c r="AH570" t="s">
        <v>84</v>
      </c>
      <c r="AI570" t="str">
        <f t="shared" si="143"/>
        <v>01</v>
      </c>
      <c r="AJ570" t="str">
        <f t="shared" si="144"/>
        <v>1</v>
      </c>
      <c r="AK570" t="s">
        <v>101</v>
      </c>
      <c r="AL570" t="s">
        <v>94</v>
      </c>
      <c r="AM570" t="s">
        <v>95</v>
      </c>
      <c r="AN570" t="str">
        <f t="shared" ref="AN570:AN633" si="146">".9700"</f>
        <v>.9700</v>
      </c>
      <c r="AO570" t="str">
        <f>"9.07"</f>
        <v>9.07</v>
      </c>
      <c r="AP570" t="s">
        <v>102</v>
      </c>
      <c r="AQ570" t="str">
        <f>"9.07"</f>
        <v>9.07</v>
      </c>
      <c r="AR570">
        <v>1</v>
      </c>
      <c r="AS570">
        <v>-1</v>
      </c>
      <c r="AT570">
        <v>0</v>
      </c>
      <c r="AU570">
        <v>9.07</v>
      </c>
      <c r="AV570">
        <v>1.04</v>
      </c>
      <c r="AW570">
        <v>8.0299999999999994</v>
      </c>
      <c r="AX570">
        <v>-8.36</v>
      </c>
      <c r="AY570">
        <v>-0.33</v>
      </c>
      <c r="AZ570">
        <v>0</v>
      </c>
    </row>
    <row r="571" spans="1:52">
      <c r="A571" t="s">
        <v>833</v>
      </c>
      <c r="B571" t="s">
        <v>834</v>
      </c>
      <c r="C571" t="s">
        <v>835</v>
      </c>
      <c r="D571" t="s">
        <v>836</v>
      </c>
      <c r="E571" t="s">
        <v>69</v>
      </c>
      <c r="F571" t="s">
        <v>70</v>
      </c>
      <c r="G571" t="s">
        <v>837</v>
      </c>
      <c r="H571" t="s">
        <v>838</v>
      </c>
      <c r="I571" t="str">
        <f t="shared" si="141"/>
        <v>1010</v>
      </c>
      <c r="J571" t="s">
        <v>67</v>
      </c>
      <c r="K571" t="s">
        <v>855</v>
      </c>
      <c r="L571" t="s">
        <v>856</v>
      </c>
      <c r="M571" t="s">
        <v>855</v>
      </c>
      <c r="N571" t="s">
        <v>943</v>
      </c>
      <c r="O571" t="s">
        <v>300</v>
      </c>
      <c r="P571" t="str">
        <f>"3020669702"</f>
        <v>3020669702</v>
      </c>
      <c r="R571" t="str">
        <f>"00030206697025"</f>
        <v>00030206697025</v>
      </c>
      <c r="S571" s="1">
        <v>39987</v>
      </c>
      <c r="T571" s="1">
        <v>39987</v>
      </c>
      <c r="U571" t="str">
        <f>"3020669702"</f>
        <v>3020669702</v>
      </c>
      <c r="V571" t="str">
        <f t="shared" si="145"/>
        <v>1510</v>
      </c>
      <c r="W571" t="str">
        <f t="shared" si="142"/>
        <v>11</v>
      </c>
      <c r="X571" t="s">
        <v>75</v>
      </c>
      <c r="Y571" t="s">
        <v>76</v>
      </c>
      <c r="Z571" t="s">
        <v>126</v>
      </c>
      <c r="AA571" t="s">
        <v>127</v>
      </c>
      <c r="AB571" t="s">
        <v>79</v>
      </c>
      <c r="AD571" t="s">
        <v>80</v>
      </c>
      <c r="AE571" t="s">
        <v>81</v>
      </c>
      <c r="AF571" t="s">
        <v>82</v>
      </c>
      <c r="AG571" t="s">
        <v>83</v>
      </c>
      <c r="AH571" t="s">
        <v>84</v>
      </c>
      <c r="AI571" t="str">
        <f t="shared" si="143"/>
        <v>01</v>
      </c>
      <c r="AJ571" t="str">
        <f t="shared" si="144"/>
        <v>1</v>
      </c>
      <c r="AK571" t="s">
        <v>85</v>
      </c>
      <c r="AL571" t="s">
        <v>86</v>
      </c>
      <c r="AM571" t="s">
        <v>87</v>
      </c>
      <c r="AN571" t="str">
        <f t="shared" si="146"/>
        <v>.9700</v>
      </c>
      <c r="AO571" t="str">
        <f>"7.50"</f>
        <v>7.50</v>
      </c>
      <c r="AP571" t="s">
        <v>88</v>
      </c>
      <c r="AQ571" t="str">
        <f>"7.50"</f>
        <v>7.50</v>
      </c>
      <c r="AR571">
        <v>104</v>
      </c>
      <c r="AS571">
        <v>-1</v>
      </c>
      <c r="AT571">
        <v>103</v>
      </c>
      <c r="AU571">
        <v>780.11</v>
      </c>
      <c r="AV571">
        <v>88.59</v>
      </c>
      <c r="AW571">
        <v>691.52</v>
      </c>
      <c r="AX571">
        <v>-6.96</v>
      </c>
      <c r="AY571">
        <v>684.56</v>
      </c>
      <c r="AZ571">
        <v>0</v>
      </c>
    </row>
    <row r="572" spans="1:52">
      <c r="A572" t="s">
        <v>833</v>
      </c>
      <c r="B572" t="s">
        <v>834</v>
      </c>
      <c r="C572" t="s">
        <v>835</v>
      </c>
      <c r="D572" t="s">
        <v>836</v>
      </c>
      <c r="E572" t="s">
        <v>69</v>
      </c>
      <c r="F572" t="s">
        <v>70</v>
      </c>
      <c r="G572" t="s">
        <v>837</v>
      </c>
      <c r="H572" t="s">
        <v>838</v>
      </c>
      <c r="I572" t="str">
        <f t="shared" si="141"/>
        <v>1010</v>
      </c>
      <c r="J572" t="s">
        <v>67</v>
      </c>
      <c r="K572" t="s">
        <v>855</v>
      </c>
      <c r="L572" t="s">
        <v>856</v>
      </c>
      <c r="M572" t="s">
        <v>855</v>
      </c>
      <c r="N572" t="s">
        <v>944</v>
      </c>
      <c r="O572" t="s">
        <v>300</v>
      </c>
      <c r="P572" t="str">
        <f>"3020669792"</f>
        <v>3020669792</v>
      </c>
      <c r="R572" t="str">
        <f>"00030206697926"</f>
        <v>00030206697926</v>
      </c>
      <c r="S572" s="1">
        <v>40092</v>
      </c>
      <c r="T572" s="1">
        <v>40092</v>
      </c>
      <c r="U572" t="str">
        <f>"3020669792"</f>
        <v>3020669792</v>
      </c>
      <c r="V572" t="str">
        <f t="shared" si="145"/>
        <v>1510</v>
      </c>
      <c r="W572" t="str">
        <f t="shared" si="142"/>
        <v>11</v>
      </c>
      <c r="X572" t="s">
        <v>75</v>
      </c>
      <c r="Y572" t="s">
        <v>76</v>
      </c>
      <c r="Z572" t="s">
        <v>126</v>
      </c>
      <c r="AA572" t="s">
        <v>127</v>
      </c>
      <c r="AB572" t="s">
        <v>79</v>
      </c>
      <c r="AD572" t="s">
        <v>80</v>
      </c>
      <c r="AE572" t="s">
        <v>81</v>
      </c>
      <c r="AF572" t="s">
        <v>82</v>
      </c>
      <c r="AG572" t="s">
        <v>83</v>
      </c>
      <c r="AH572" t="s">
        <v>84</v>
      </c>
      <c r="AI572" t="str">
        <f t="shared" si="143"/>
        <v>01</v>
      </c>
      <c r="AJ572" t="str">
        <f t="shared" si="144"/>
        <v>1</v>
      </c>
      <c r="AK572" t="s">
        <v>85</v>
      </c>
      <c r="AL572" t="s">
        <v>86</v>
      </c>
      <c r="AM572" t="s">
        <v>87</v>
      </c>
      <c r="AN572" t="str">
        <f t="shared" si="146"/>
        <v>.9700</v>
      </c>
      <c r="AO572" t="str">
        <f>"7.50"</f>
        <v>7.50</v>
      </c>
      <c r="AP572" t="s">
        <v>88</v>
      </c>
      <c r="AQ572" t="str">
        <f>"7.50"</f>
        <v>7.50</v>
      </c>
      <c r="AR572">
        <v>39</v>
      </c>
      <c r="AS572">
        <v>0</v>
      </c>
      <c r="AT572">
        <v>39</v>
      </c>
      <c r="AU572">
        <v>292.52</v>
      </c>
      <c r="AV572">
        <v>33.08</v>
      </c>
      <c r="AW572">
        <v>259.44</v>
      </c>
      <c r="AX572">
        <v>0</v>
      </c>
      <c r="AY572">
        <v>259.44</v>
      </c>
      <c r="AZ572">
        <v>0</v>
      </c>
    </row>
    <row r="573" spans="1:52">
      <c r="A573" t="s">
        <v>833</v>
      </c>
      <c r="B573" t="s">
        <v>834</v>
      </c>
      <c r="C573" t="s">
        <v>835</v>
      </c>
      <c r="D573" t="s">
        <v>836</v>
      </c>
      <c r="E573" t="s">
        <v>69</v>
      </c>
      <c r="F573" t="s">
        <v>70</v>
      </c>
      <c r="G573" t="s">
        <v>837</v>
      </c>
      <c r="H573" t="s">
        <v>838</v>
      </c>
      <c r="I573" t="str">
        <f t="shared" si="141"/>
        <v>1010</v>
      </c>
      <c r="J573" t="s">
        <v>67</v>
      </c>
      <c r="K573" t="s">
        <v>855</v>
      </c>
      <c r="L573" t="s">
        <v>856</v>
      </c>
      <c r="M573" t="s">
        <v>855</v>
      </c>
      <c r="N573" t="s">
        <v>945</v>
      </c>
      <c r="O573" t="s">
        <v>946</v>
      </c>
      <c r="P573" t="str">
        <f>"3020624032"</f>
        <v>3020624032</v>
      </c>
      <c r="R573" t="str">
        <f>"00030206240320"</f>
        <v>00030206240320</v>
      </c>
      <c r="S573" s="1">
        <v>40484</v>
      </c>
      <c r="T573" s="1">
        <v>40470</v>
      </c>
      <c r="U573" t="str">
        <f>"3020624032"</f>
        <v>3020624032</v>
      </c>
      <c r="V573" t="str">
        <f t="shared" si="145"/>
        <v>1510</v>
      </c>
      <c r="W573" t="str">
        <f t="shared" si="142"/>
        <v>11</v>
      </c>
      <c r="X573" t="s">
        <v>75</v>
      </c>
      <c r="Y573" t="s">
        <v>76</v>
      </c>
      <c r="Z573" t="s">
        <v>105</v>
      </c>
      <c r="AA573" t="s">
        <v>106</v>
      </c>
      <c r="AB573" t="s">
        <v>79</v>
      </c>
      <c r="AD573" t="s">
        <v>80</v>
      </c>
      <c r="AE573" t="s">
        <v>81</v>
      </c>
      <c r="AF573" t="s">
        <v>82</v>
      </c>
      <c r="AG573" t="s">
        <v>83</v>
      </c>
      <c r="AH573" t="s">
        <v>84</v>
      </c>
      <c r="AI573" t="str">
        <f t="shared" si="143"/>
        <v>01</v>
      </c>
      <c r="AJ573" t="str">
        <f t="shared" si="144"/>
        <v>1</v>
      </c>
      <c r="AK573" t="s">
        <v>85</v>
      </c>
      <c r="AL573" t="s">
        <v>94</v>
      </c>
      <c r="AM573" t="s">
        <v>87</v>
      </c>
      <c r="AN573" t="str">
        <f t="shared" si="146"/>
        <v>.9700</v>
      </c>
      <c r="AO573" t="str">
        <f>"7.50"</f>
        <v>7.50</v>
      </c>
      <c r="AP573" t="s">
        <v>88</v>
      </c>
      <c r="AQ573" t="str">
        <f>"7.50"</f>
        <v>7.50</v>
      </c>
      <c r="AR573">
        <v>93</v>
      </c>
      <c r="AS573">
        <v>-1</v>
      </c>
      <c r="AT573">
        <v>92</v>
      </c>
      <c r="AU573">
        <v>697.5</v>
      </c>
      <c r="AV573">
        <v>83.7</v>
      </c>
      <c r="AW573">
        <v>613.79999999999995</v>
      </c>
      <c r="AX573">
        <v>-7.06</v>
      </c>
      <c r="AY573">
        <v>606.74</v>
      </c>
      <c r="AZ573">
        <v>0</v>
      </c>
    </row>
    <row r="574" spans="1:52">
      <c r="A574" t="s">
        <v>833</v>
      </c>
      <c r="B574" t="s">
        <v>834</v>
      </c>
      <c r="C574" t="s">
        <v>835</v>
      </c>
      <c r="D574" t="s">
        <v>836</v>
      </c>
      <c r="E574" t="s">
        <v>69</v>
      </c>
      <c r="F574" t="s">
        <v>70</v>
      </c>
      <c r="G574" t="s">
        <v>837</v>
      </c>
      <c r="H574" t="s">
        <v>838</v>
      </c>
      <c r="I574" t="str">
        <f t="shared" si="141"/>
        <v>1010</v>
      </c>
      <c r="J574" t="s">
        <v>67</v>
      </c>
      <c r="K574" t="s">
        <v>855</v>
      </c>
      <c r="L574" t="s">
        <v>856</v>
      </c>
      <c r="M574" t="s">
        <v>855</v>
      </c>
      <c r="N574" t="s">
        <v>947</v>
      </c>
      <c r="O574" t="s">
        <v>948</v>
      </c>
      <c r="P574" t="str">
        <f>"3020624062"</f>
        <v>3020624062</v>
      </c>
      <c r="R574" t="str">
        <f>"00030206240627"</f>
        <v>00030206240627</v>
      </c>
      <c r="S574" s="1">
        <v>40694</v>
      </c>
      <c r="T574" s="1">
        <v>40694</v>
      </c>
      <c r="U574" t="str">
        <f>"3020624062"</f>
        <v>3020624062</v>
      </c>
      <c r="V574" t="str">
        <f t="shared" si="145"/>
        <v>1510</v>
      </c>
      <c r="W574" t="str">
        <f t="shared" si="142"/>
        <v>11</v>
      </c>
      <c r="X574" t="s">
        <v>75</v>
      </c>
      <c r="Y574" t="s">
        <v>76</v>
      </c>
      <c r="Z574" t="s">
        <v>169</v>
      </c>
      <c r="AA574" t="s">
        <v>170</v>
      </c>
      <c r="AB574" t="s">
        <v>79</v>
      </c>
      <c r="AD574" t="s">
        <v>80</v>
      </c>
      <c r="AE574" t="s">
        <v>81</v>
      </c>
      <c r="AF574" t="s">
        <v>82</v>
      </c>
      <c r="AG574" t="s">
        <v>83</v>
      </c>
      <c r="AH574" t="s">
        <v>84</v>
      </c>
      <c r="AI574" t="str">
        <f t="shared" si="143"/>
        <v>01</v>
      </c>
      <c r="AJ574" t="str">
        <f t="shared" si="144"/>
        <v>1</v>
      </c>
      <c r="AK574" t="s">
        <v>85</v>
      </c>
      <c r="AL574" t="s">
        <v>86</v>
      </c>
      <c r="AM574" t="s">
        <v>87</v>
      </c>
      <c r="AN574" t="str">
        <f t="shared" si="146"/>
        <v>.9700</v>
      </c>
      <c r="AO574" t="str">
        <f>"7.50"</f>
        <v>7.50</v>
      </c>
      <c r="AP574" t="s">
        <v>88</v>
      </c>
      <c r="AQ574" t="str">
        <f>"7.50"</f>
        <v>7.50</v>
      </c>
      <c r="AR574">
        <v>36</v>
      </c>
      <c r="AS574">
        <v>-1</v>
      </c>
      <c r="AT574">
        <v>35</v>
      </c>
      <c r="AU574">
        <v>270</v>
      </c>
      <c r="AV574">
        <v>32.32</v>
      </c>
      <c r="AW574">
        <v>237.68</v>
      </c>
      <c r="AX574">
        <v>-7.18</v>
      </c>
      <c r="AY574">
        <v>230.5</v>
      </c>
      <c r="AZ574">
        <v>0</v>
      </c>
    </row>
    <row r="575" spans="1:52">
      <c r="A575" t="s">
        <v>833</v>
      </c>
      <c r="B575" t="s">
        <v>834</v>
      </c>
      <c r="C575" t="s">
        <v>835</v>
      </c>
      <c r="D575" t="s">
        <v>836</v>
      </c>
      <c r="E575" t="s">
        <v>69</v>
      </c>
      <c r="F575" t="s">
        <v>70</v>
      </c>
      <c r="G575" t="s">
        <v>837</v>
      </c>
      <c r="H575" t="s">
        <v>838</v>
      </c>
      <c r="I575" t="str">
        <f t="shared" si="141"/>
        <v>1010</v>
      </c>
      <c r="J575" t="s">
        <v>67</v>
      </c>
      <c r="K575" t="s">
        <v>855</v>
      </c>
      <c r="L575" t="s">
        <v>856</v>
      </c>
      <c r="M575" t="s">
        <v>855</v>
      </c>
      <c r="N575" t="s">
        <v>949</v>
      </c>
      <c r="O575" t="s">
        <v>950</v>
      </c>
      <c r="P575" t="str">
        <f>"3020624142"</f>
        <v>3020624142</v>
      </c>
      <c r="R575" t="str">
        <f>"00030206241426"</f>
        <v>00030206241426</v>
      </c>
      <c r="S575" s="1">
        <v>41030</v>
      </c>
      <c r="T575" s="1">
        <v>41030</v>
      </c>
      <c r="U575" t="str">
        <f>"3020624142"</f>
        <v>3020624142</v>
      </c>
      <c r="V575" t="str">
        <f t="shared" si="145"/>
        <v>1510</v>
      </c>
      <c r="W575" t="str">
        <f t="shared" si="142"/>
        <v>11</v>
      </c>
      <c r="X575" t="s">
        <v>75</v>
      </c>
      <c r="Y575" t="s">
        <v>76</v>
      </c>
      <c r="Z575" t="s">
        <v>169</v>
      </c>
      <c r="AA575" t="s">
        <v>170</v>
      </c>
      <c r="AB575" t="s">
        <v>79</v>
      </c>
      <c r="AD575" t="s">
        <v>80</v>
      </c>
      <c r="AE575" t="s">
        <v>81</v>
      </c>
      <c r="AF575" t="s">
        <v>82</v>
      </c>
      <c r="AG575" t="s">
        <v>83</v>
      </c>
      <c r="AH575" t="s">
        <v>84</v>
      </c>
      <c r="AI575" t="str">
        <f t="shared" si="143"/>
        <v>01</v>
      </c>
      <c r="AJ575" t="str">
        <f t="shared" si="144"/>
        <v>1</v>
      </c>
      <c r="AK575" t="s">
        <v>85</v>
      </c>
      <c r="AL575" t="s">
        <v>94</v>
      </c>
      <c r="AM575" t="s">
        <v>87</v>
      </c>
      <c r="AN575" t="str">
        <f t="shared" si="146"/>
        <v>.9700</v>
      </c>
      <c r="AO575" t="str">
        <f>"7.50"</f>
        <v>7.50</v>
      </c>
      <c r="AP575" t="s">
        <v>88</v>
      </c>
      <c r="AQ575" t="str">
        <f>"7.50"</f>
        <v>7.50</v>
      </c>
      <c r="AR575">
        <v>1</v>
      </c>
      <c r="AS575">
        <v>0</v>
      </c>
      <c r="AT575">
        <v>1</v>
      </c>
      <c r="AU575">
        <v>7.5</v>
      </c>
      <c r="AV575">
        <v>0.86</v>
      </c>
      <c r="AW575">
        <v>6.64</v>
      </c>
      <c r="AX575">
        <v>0</v>
      </c>
      <c r="AY575">
        <v>6.64</v>
      </c>
      <c r="AZ575">
        <v>0</v>
      </c>
    </row>
    <row r="576" spans="1:52">
      <c r="A576" t="s">
        <v>833</v>
      </c>
      <c r="B576" t="s">
        <v>834</v>
      </c>
      <c r="C576" t="s">
        <v>835</v>
      </c>
      <c r="D576" t="s">
        <v>836</v>
      </c>
      <c r="E576" t="s">
        <v>69</v>
      </c>
      <c r="F576" t="s">
        <v>70</v>
      </c>
      <c r="G576" t="s">
        <v>837</v>
      </c>
      <c r="H576" t="s">
        <v>838</v>
      </c>
      <c r="I576" t="str">
        <f t="shared" si="141"/>
        <v>1010</v>
      </c>
      <c r="J576" t="s">
        <v>67</v>
      </c>
      <c r="K576" t="s">
        <v>855</v>
      </c>
      <c r="L576" t="s">
        <v>856</v>
      </c>
      <c r="M576" t="s">
        <v>855</v>
      </c>
      <c r="N576" t="s">
        <v>951</v>
      </c>
      <c r="O576" t="s">
        <v>952</v>
      </c>
      <c r="P576" t="str">
        <f>"3020663272"</f>
        <v>3020663272</v>
      </c>
      <c r="Q576" t="str">
        <f>"050266327"</f>
        <v>050266327</v>
      </c>
      <c r="R576" t="str">
        <f>"00030206632729"</f>
        <v>00030206632729</v>
      </c>
      <c r="S576" s="1">
        <v>37355</v>
      </c>
      <c r="T576" s="1">
        <v>37355</v>
      </c>
      <c r="U576" t="str">
        <f>"3020663272"</f>
        <v>3020663272</v>
      </c>
      <c r="V576" t="str">
        <f t="shared" si="145"/>
        <v>1510</v>
      </c>
      <c r="W576" t="str">
        <f t="shared" si="142"/>
        <v>11</v>
      </c>
      <c r="X576" t="s">
        <v>75</v>
      </c>
      <c r="Y576" t="s">
        <v>76</v>
      </c>
      <c r="Z576" t="s">
        <v>105</v>
      </c>
      <c r="AA576" t="s">
        <v>106</v>
      </c>
      <c r="AB576" t="s">
        <v>79</v>
      </c>
      <c r="AD576" t="s">
        <v>80</v>
      </c>
      <c r="AE576" t="s">
        <v>81</v>
      </c>
      <c r="AF576" t="s">
        <v>82</v>
      </c>
      <c r="AG576" t="s">
        <v>83</v>
      </c>
      <c r="AH576" t="s">
        <v>84</v>
      </c>
      <c r="AI576" t="str">
        <f t="shared" si="143"/>
        <v>01</v>
      </c>
      <c r="AJ576" t="str">
        <f t="shared" si="144"/>
        <v>1</v>
      </c>
      <c r="AK576" t="s">
        <v>101</v>
      </c>
      <c r="AL576" t="s">
        <v>94</v>
      </c>
      <c r="AM576" t="s">
        <v>95</v>
      </c>
      <c r="AN576" t="str">
        <f t="shared" si="146"/>
        <v>.9700</v>
      </c>
      <c r="AO576" t="str">
        <f>"9.07"</f>
        <v>9.07</v>
      </c>
      <c r="AP576" t="s">
        <v>102</v>
      </c>
      <c r="AQ576" t="str">
        <f>"9.07"</f>
        <v>9.07</v>
      </c>
      <c r="AR576">
        <v>43</v>
      </c>
      <c r="AS576">
        <v>0</v>
      </c>
      <c r="AT576">
        <v>43</v>
      </c>
      <c r="AU576">
        <v>389.95</v>
      </c>
      <c r="AV576">
        <v>39.18</v>
      </c>
      <c r="AW576">
        <v>350.77</v>
      </c>
      <c r="AX576">
        <v>0</v>
      </c>
      <c r="AY576">
        <v>350.77</v>
      </c>
      <c r="AZ576">
        <v>0</v>
      </c>
    </row>
    <row r="577" spans="1:52">
      <c r="A577" t="s">
        <v>833</v>
      </c>
      <c r="B577" t="s">
        <v>834</v>
      </c>
      <c r="C577" t="s">
        <v>835</v>
      </c>
      <c r="D577" t="s">
        <v>836</v>
      </c>
      <c r="E577" t="s">
        <v>69</v>
      </c>
      <c r="F577" t="s">
        <v>70</v>
      </c>
      <c r="G577" t="s">
        <v>837</v>
      </c>
      <c r="H577" t="s">
        <v>838</v>
      </c>
      <c r="I577" t="str">
        <f t="shared" ref="I577:I608" si="147">"1010"</f>
        <v>1010</v>
      </c>
      <c r="J577" t="s">
        <v>67</v>
      </c>
      <c r="K577" t="s">
        <v>855</v>
      </c>
      <c r="L577" t="s">
        <v>856</v>
      </c>
      <c r="M577" t="s">
        <v>855</v>
      </c>
      <c r="N577" t="s">
        <v>269</v>
      </c>
      <c r="O577" t="s">
        <v>953</v>
      </c>
      <c r="P577" t="str">
        <f>"3020662292"</f>
        <v>3020662292</v>
      </c>
      <c r="Q577" t="str">
        <f>"050266229"</f>
        <v>050266229</v>
      </c>
      <c r="R577" t="str">
        <f>"00030206622928"</f>
        <v>00030206622928</v>
      </c>
      <c r="S577" s="1">
        <v>37047</v>
      </c>
      <c r="T577" s="1">
        <v>37047</v>
      </c>
      <c r="U577" t="str">
        <f>"3020662292"</f>
        <v>3020662292</v>
      </c>
      <c r="V577" t="str">
        <f t="shared" si="145"/>
        <v>1510</v>
      </c>
      <c r="W577" t="str">
        <f t="shared" si="142"/>
        <v>11</v>
      </c>
      <c r="X577" t="s">
        <v>75</v>
      </c>
      <c r="Y577" t="s">
        <v>76</v>
      </c>
      <c r="Z577" t="s">
        <v>105</v>
      </c>
      <c r="AA577" t="s">
        <v>106</v>
      </c>
      <c r="AB577" t="s">
        <v>79</v>
      </c>
      <c r="AD577" t="s">
        <v>80</v>
      </c>
      <c r="AE577" t="s">
        <v>81</v>
      </c>
      <c r="AF577" t="s">
        <v>82</v>
      </c>
      <c r="AG577" t="s">
        <v>83</v>
      </c>
      <c r="AH577" t="s">
        <v>84</v>
      </c>
      <c r="AI577" t="str">
        <f t="shared" si="143"/>
        <v>01</v>
      </c>
      <c r="AJ577" t="str">
        <f t="shared" si="144"/>
        <v>1</v>
      </c>
      <c r="AK577" t="s">
        <v>101</v>
      </c>
      <c r="AL577" t="s">
        <v>94</v>
      </c>
      <c r="AM577" t="s">
        <v>95</v>
      </c>
      <c r="AN577" t="str">
        <f t="shared" si="146"/>
        <v>.9700</v>
      </c>
      <c r="AO577" t="str">
        <f>"9.07"</f>
        <v>9.07</v>
      </c>
      <c r="AP577" t="s">
        <v>102</v>
      </c>
      <c r="AQ577" t="str">
        <f>"9.07"</f>
        <v>9.07</v>
      </c>
      <c r="AR577">
        <v>45</v>
      </c>
      <c r="AS577">
        <v>-6</v>
      </c>
      <c r="AT577">
        <v>39</v>
      </c>
      <c r="AU577">
        <v>408.13</v>
      </c>
      <c r="AV577">
        <v>47.39</v>
      </c>
      <c r="AW577">
        <v>360.74</v>
      </c>
      <c r="AX577">
        <v>-50.05</v>
      </c>
      <c r="AY577">
        <v>310.69</v>
      </c>
      <c r="AZ577">
        <v>0</v>
      </c>
    </row>
    <row r="578" spans="1:52">
      <c r="A578" t="s">
        <v>833</v>
      </c>
      <c r="B578" t="s">
        <v>834</v>
      </c>
      <c r="C578" t="s">
        <v>835</v>
      </c>
      <c r="D578" t="s">
        <v>836</v>
      </c>
      <c r="E578" t="s">
        <v>69</v>
      </c>
      <c r="F578" t="s">
        <v>70</v>
      </c>
      <c r="G578" t="s">
        <v>837</v>
      </c>
      <c r="H578" t="s">
        <v>838</v>
      </c>
      <c r="I578" t="str">
        <f t="shared" si="147"/>
        <v>1010</v>
      </c>
      <c r="J578" t="s">
        <v>67</v>
      </c>
      <c r="K578" t="s">
        <v>855</v>
      </c>
      <c r="L578" t="s">
        <v>856</v>
      </c>
      <c r="M578" t="s">
        <v>855</v>
      </c>
      <c r="N578" t="s">
        <v>954</v>
      </c>
      <c r="O578" t="s">
        <v>955</v>
      </c>
      <c r="P578" t="str">
        <f>"3020665492"</f>
        <v>3020665492</v>
      </c>
      <c r="Q578" t="str">
        <f>"050265492"</f>
        <v>050265492</v>
      </c>
      <c r="R578" t="str">
        <f>"00030206654929"</f>
        <v>00030206654929</v>
      </c>
      <c r="S578" s="1">
        <v>38076</v>
      </c>
      <c r="T578" s="1">
        <v>38076</v>
      </c>
      <c r="U578" t="str">
        <f>"3020665492"</f>
        <v>3020665492</v>
      </c>
      <c r="V578" t="str">
        <f t="shared" si="145"/>
        <v>1510</v>
      </c>
      <c r="W578" t="str">
        <f t="shared" si="142"/>
        <v>11</v>
      </c>
      <c r="X578" t="s">
        <v>75</v>
      </c>
      <c r="Y578" t="s">
        <v>76</v>
      </c>
      <c r="Z578" t="s">
        <v>105</v>
      </c>
      <c r="AA578" t="s">
        <v>106</v>
      </c>
      <c r="AB578" t="s">
        <v>79</v>
      </c>
      <c r="AD578" t="s">
        <v>80</v>
      </c>
      <c r="AE578" t="s">
        <v>81</v>
      </c>
      <c r="AF578" t="s">
        <v>82</v>
      </c>
      <c r="AG578" t="s">
        <v>83</v>
      </c>
      <c r="AH578" t="s">
        <v>84</v>
      </c>
      <c r="AI578" t="str">
        <f t="shared" si="143"/>
        <v>01</v>
      </c>
      <c r="AJ578" t="str">
        <f t="shared" si="144"/>
        <v>1</v>
      </c>
      <c r="AK578" t="s">
        <v>101</v>
      </c>
      <c r="AL578" t="s">
        <v>94</v>
      </c>
      <c r="AM578" t="s">
        <v>95</v>
      </c>
      <c r="AN578" t="str">
        <f t="shared" si="146"/>
        <v>.9700</v>
      </c>
      <c r="AO578" t="str">
        <f>"9.07"</f>
        <v>9.07</v>
      </c>
      <c r="AP578" t="s">
        <v>102</v>
      </c>
      <c r="AQ578" t="str">
        <f>"9.07"</f>
        <v>9.07</v>
      </c>
      <c r="AR578">
        <v>23</v>
      </c>
      <c r="AS578">
        <v>0</v>
      </c>
      <c r="AT578">
        <v>23</v>
      </c>
      <c r="AU578">
        <v>208.57</v>
      </c>
      <c r="AV578">
        <v>24.98</v>
      </c>
      <c r="AW578">
        <v>183.59</v>
      </c>
      <c r="AX578">
        <v>0</v>
      </c>
      <c r="AY578">
        <v>183.59</v>
      </c>
      <c r="AZ578">
        <v>0</v>
      </c>
    </row>
    <row r="579" spans="1:52">
      <c r="A579" t="s">
        <v>833</v>
      </c>
      <c r="B579" t="s">
        <v>834</v>
      </c>
      <c r="C579" t="s">
        <v>835</v>
      </c>
      <c r="D579" t="s">
        <v>836</v>
      </c>
      <c r="E579" t="s">
        <v>69</v>
      </c>
      <c r="F579" t="s">
        <v>70</v>
      </c>
      <c r="G579" t="s">
        <v>837</v>
      </c>
      <c r="H579" t="s">
        <v>838</v>
      </c>
      <c r="I579" t="str">
        <f t="shared" si="147"/>
        <v>1010</v>
      </c>
      <c r="J579" t="s">
        <v>67</v>
      </c>
      <c r="K579" t="s">
        <v>855</v>
      </c>
      <c r="L579" t="s">
        <v>856</v>
      </c>
      <c r="M579" t="s">
        <v>855</v>
      </c>
      <c r="N579" t="s">
        <v>956</v>
      </c>
      <c r="O579" t="s">
        <v>957</v>
      </c>
      <c r="P579" t="str">
        <f>"3020668472"</f>
        <v>3020668472</v>
      </c>
      <c r="R579" t="str">
        <f>"00030206684728"</f>
        <v>00030206684728</v>
      </c>
      <c r="S579" s="1">
        <v>39385</v>
      </c>
      <c r="T579" s="1">
        <v>39357</v>
      </c>
      <c r="U579" t="str">
        <f>"3020668472"</f>
        <v>3020668472</v>
      </c>
      <c r="V579" t="str">
        <f t="shared" si="145"/>
        <v>1510</v>
      </c>
      <c r="W579" t="str">
        <f t="shared" si="142"/>
        <v>11</v>
      </c>
      <c r="X579" t="s">
        <v>75</v>
      </c>
      <c r="Y579" t="s">
        <v>76</v>
      </c>
      <c r="Z579" t="s">
        <v>105</v>
      </c>
      <c r="AA579" t="s">
        <v>106</v>
      </c>
      <c r="AB579" t="s">
        <v>79</v>
      </c>
      <c r="AD579" t="s">
        <v>80</v>
      </c>
      <c r="AE579" t="s">
        <v>81</v>
      </c>
      <c r="AF579" t="s">
        <v>82</v>
      </c>
      <c r="AG579" t="s">
        <v>83</v>
      </c>
      <c r="AH579" t="s">
        <v>84</v>
      </c>
      <c r="AI579" t="str">
        <f t="shared" si="143"/>
        <v>01</v>
      </c>
      <c r="AJ579" t="str">
        <f t="shared" si="144"/>
        <v>1</v>
      </c>
      <c r="AK579" t="s">
        <v>101</v>
      </c>
      <c r="AL579" t="s">
        <v>94</v>
      </c>
      <c r="AM579" t="s">
        <v>95</v>
      </c>
      <c r="AN579" t="str">
        <f t="shared" si="146"/>
        <v>.9700</v>
      </c>
      <c r="AO579" t="str">
        <f>"9.07"</f>
        <v>9.07</v>
      </c>
      <c r="AP579" t="s">
        <v>102</v>
      </c>
      <c r="AQ579" t="str">
        <f>"9.07"</f>
        <v>9.07</v>
      </c>
      <c r="AR579">
        <v>40</v>
      </c>
      <c r="AS579">
        <v>0</v>
      </c>
      <c r="AT579">
        <v>40</v>
      </c>
      <c r="AU579">
        <v>362.78</v>
      </c>
      <c r="AV579">
        <v>43.13</v>
      </c>
      <c r="AW579">
        <v>319.64999999999998</v>
      </c>
      <c r="AX579">
        <v>0</v>
      </c>
      <c r="AY579">
        <v>319.64999999999998</v>
      </c>
      <c r="AZ579">
        <v>0</v>
      </c>
    </row>
    <row r="580" spans="1:52">
      <c r="A580" t="s">
        <v>833</v>
      </c>
      <c r="B580" t="s">
        <v>834</v>
      </c>
      <c r="C580" t="s">
        <v>835</v>
      </c>
      <c r="D580" t="s">
        <v>836</v>
      </c>
      <c r="E580" t="s">
        <v>69</v>
      </c>
      <c r="F580" t="s">
        <v>70</v>
      </c>
      <c r="G580" t="s">
        <v>837</v>
      </c>
      <c r="H580" t="s">
        <v>838</v>
      </c>
      <c r="I580" t="str">
        <f t="shared" si="147"/>
        <v>1010</v>
      </c>
      <c r="J580" t="s">
        <v>67</v>
      </c>
      <c r="K580" t="s">
        <v>855</v>
      </c>
      <c r="L580" t="s">
        <v>856</v>
      </c>
      <c r="M580" t="s">
        <v>855</v>
      </c>
      <c r="N580" t="s">
        <v>276</v>
      </c>
      <c r="O580" t="s">
        <v>958</v>
      </c>
      <c r="P580" t="str">
        <f>"3020669622"</f>
        <v>3020669622</v>
      </c>
      <c r="R580" t="str">
        <f>"00030206696226"</f>
        <v>00030206696226</v>
      </c>
      <c r="S580" s="1">
        <v>39959</v>
      </c>
      <c r="T580" s="1">
        <v>39959</v>
      </c>
      <c r="U580" t="str">
        <f>"3020669622"</f>
        <v>3020669622</v>
      </c>
      <c r="V580" t="str">
        <f t="shared" si="145"/>
        <v>1510</v>
      </c>
      <c r="W580" t="str">
        <f t="shared" si="142"/>
        <v>11</v>
      </c>
      <c r="X580" t="s">
        <v>75</v>
      </c>
      <c r="Y580" t="s">
        <v>76</v>
      </c>
      <c r="Z580" t="s">
        <v>105</v>
      </c>
      <c r="AA580" t="s">
        <v>106</v>
      </c>
      <c r="AB580" t="s">
        <v>79</v>
      </c>
      <c r="AD580" t="s">
        <v>80</v>
      </c>
      <c r="AE580" t="s">
        <v>81</v>
      </c>
      <c r="AF580" t="s">
        <v>82</v>
      </c>
      <c r="AG580" t="s">
        <v>83</v>
      </c>
      <c r="AH580" t="s">
        <v>84</v>
      </c>
      <c r="AI580" t="str">
        <f t="shared" si="143"/>
        <v>01</v>
      </c>
      <c r="AJ580" t="str">
        <f t="shared" si="144"/>
        <v>1</v>
      </c>
      <c r="AK580" t="s">
        <v>101</v>
      </c>
      <c r="AL580" t="s">
        <v>94</v>
      </c>
      <c r="AM580" t="s">
        <v>95</v>
      </c>
      <c r="AN580" t="str">
        <f t="shared" si="146"/>
        <v>.9700</v>
      </c>
      <c r="AO580" t="str">
        <f>"9.07"</f>
        <v>9.07</v>
      </c>
      <c r="AP580" t="s">
        <v>102</v>
      </c>
      <c r="AQ580" t="str">
        <f>"9.07"</f>
        <v>9.07</v>
      </c>
      <c r="AR580">
        <v>4</v>
      </c>
      <c r="AS580">
        <v>0</v>
      </c>
      <c r="AT580">
        <v>4</v>
      </c>
      <c r="AU580">
        <v>36.270000000000003</v>
      </c>
      <c r="AV580">
        <v>4.17</v>
      </c>
      <c r="AW580">
        <v>32.1</v>
      </c>
      <c r="AX580">
        <v>0</v>
      </c>
      <c r="AY580">
        <v>32.1</v>
      </c>
      <c r="AZ580">
        <v>0</v>
      </c>
    </row>
    <row r="581" spans="1:52">
      <c r="A581" t="s">
        <v>833</v>
      </c>
      <c r="B581" t="s">
        <v>834</v>
      </c>
      <c r="C581" t="s">
        <v>835</v>
      </c>
      <c r="D581" t="s">
        <v>836</v>
      </c>
      <c r="E581" t="s">
        <v>69</v>
      </c>
      <c r="F581" t="s">
        <v>70</v>
      </c>
      <c r="G581" t="s">
        <v>837</v>
      </c>
      <c r="H581" t="s">
        <v>838</v>
      </c>
      <c r="I581" t="str">
        <f t="shared" si="147"/>
        <v>1010</v>
      </c>
      <c r="J581" t="s">
        <v>67</v>
      </c>
      <c r="K581" t="s">
        <v>855</v>
      </c>
      <c r="L581" t="s">
        <v>856</v>
      </c>
      <c r="M581" t="s">
        <v>855</v>
      </c>
      <c r="N581" t="s">
        <v>276</v>
      </c>
      <c r="O581" t="s">
        <v>959</v>
      </c>
      <c r="P581" t="str">
        <f>"3020667272"</f>
        <v>3020667272</v>
      </c>
      <c r="R581" t="str">
        <f>"00030206672725"</f>
        <v>00030206672725</v>
      </c>
      <c r="S581" s="1">
        <v>38818</v>
      </c>
      <c r="T581" s="1">
        <v>38818</v>
      </c>
      <c r="U581" t="str">
        <f>"3020667272"</f>
        <v>3020667272</v>
      </c>
      <c r="V581" t="str">
        <f t="shared" si="145"/>
        <v>1510</v>
      </c>
      <c r="W581" t="str">
        <f t="shared" si="142"/>
        <v>11</v>
      </c>
      <c r="X581" t="s">
        <v>75</v>
      </c>
      <c r="Y581" t="s">
        <v>76</v>
      </c>
      <c r="Z581" t="s">
        <v>105</v>
      </c>
      <c r="AA581" t="s">
        <v>106</v>
      </c>
      <c r="AB581" t="s">
        <v>79</v>
      </c>
      <c r="AD581" t="s">
        <v>80</v>
      </c>
      <c r="AE581" t="s">
        <v>81</v>
      </c>
      <c r="AF581" t="s">
        <v>82</v>
      </c>
      <c r="AG581" t="s">
        <v>83</v>
      </c>
      <c r="AH581" t="s">
        <v>84</v>
      </c>
      <c r="AI581" t="str">
        <f t="shared" si="143"/>
        <v>01</v>
      </c>
      <c r="AJ581" t="str">
        <f t="shared" si="144"/>
        <v>1</v>
      </c>
      <c r="AK581" t="s">
        <v>107</v>
      </c>
      <c r="AL581" t="s">
        <v>94</v>
      </c>
      <c r="AM581" t="s">
        <v>95</v>
      </c>
      <c r="AN581" t="str">
        <f t="shared" si="146"/>
        <v>.9700</v>
      </c>
      <c r="AO581" t="str">
        <f>"10.78"</f>
        <v>10.78</v>
      </c>
      <c r="AP581" t="s">
        <v>108</v>
      </c>
      <c r="AQ581" t="str">
        <f>"10.78"</f>
        <v>10.78</v>
      </c>
      <c r="AR581">
        <v>2</v>
      </c>
      <c r="AS581">
        <v>0</v>
      </c>
      <c r="AT581">
        <v>2</v>
      </c>
      <c r="AU581">
        <v>21.56</v>
      </c>
      <c r="AV581">
        <v>0</v>
      </c>
      <c r="AW581">
        <v>21.56</v>
      </c>
      <c r="AX581">
        <v>0</v>
      </c>
      <c r="AY581">
        <v>21.56</v>
      </c>
      <c r="AZ581">
        <v>0</v>
      </c>
    </row>
    <row r="582" spans="1:52">
      <c r="A582" t="s">
        <v>833</v>
      </c>
      <c r="B582" t="s">
        <v>834</v>
      </c>
      <c r="C582" t="s">
        <v>835</v>
      </c>
      <c r="D582" t="s">
        <v>836</v>
      </c>
      <c r="E582" t="s">
        <v>69</v>
      </c>
      <c r="F582" t="s">
        <v>70</v>
      </c>
      <c r="G582" t="s">
        <v>837</v>
      </c>
      <c r="H582" t="s">
        <v>838</v>
      </c>
      <c r="I582" t="str">
        <f t="shared" si="147"/>
        <v>1010</v>
      </c>
      <c r="J582" t="s">
        <v>67</v>
      </c>
      <c r="K582" t="s">
        <v>855</v>
      </c>
      <c r="L582" t="s">
        <v>856</v>
      </c>
      <c r="M582" t="s">
        <v>855</v>
      </c>
      <c r="N582" t="s">
        <v>960</v>
      </c>
      <c r="O582" t="s">
        <v>961</v>
      </c>
      <c r="P582" t="str">
        <f>"3020663022"</f>
        <v>3020663022</v>
      </c>
      <c r="Q582" t="str">
        <f>"050266302"</f>
        <v>050266302</v>
      </c>
      <c r="R582" t="str">
        <f>"00030206630220"</f>
        <v>00030206630220</v>
      </c>
      <c r="S582" s="1">
        <v>37285</v>
      </c>
      <c r="T582" s="1">
        <v>37285</v>
      </c>
      <c r="U582" t="str">
        <f>"3020663022"</f>
        <v>3020663022</v>
      </c>
      <c r="V582" t="str">
        <f t="shared" si="145"/>
        <v>1510</v>
      </c>
      <c r="W582" t="str">
        <f t="shared" si="142"/>
        <v>11</v>
      </c>
      <c r="X582" t="s">
        <v>376</v>
      </c>
      <c r="Y582" t="s">
        <v>76</v>
      </c>
      <c r="Z582" t="s">
        <v>105</v>
      </c>
      <c r="AA582" t="s">
        <v>106</v>
      </c>
      <c r="AB582" t="s">
        <v>79</v>
      </c>
      <c r="AD582" t="s">
        <v>80</v>
      </c>
      <c r="AE582" t="s">
        <v>81</v>
      </c>
      <c r="AF582" t="s">
        <v>82</v>
      </c>
      <c r="AG582" t="s">
        <v>83</v>
      </c>
      <c r="AH582" t="s">
        <v>84</v>
      </c>
      <c r="AI582" t="str">
        <f t="shared" si="143"/>
        <v>01</v>
      </c>
      <c r="AJ582" t="str">
        <f t="shared" si="144"/>
        <v>1</v>
      </c>
      <c r="AK582" t="s">
        <v>101</v>
      </c>
      <c r="AL582" t="s">
        <v>94</v>
      </c>
      <c r="AM582" t="s">
        <v>95</v>
      </c>
      <c r="AN582" t="str">
        <f t="shared" si="146"/>
        <v>.9700</v>
      </c>
      <c r="AO582" t="str">
        <f>"9.07"</f>
        <v>9.07</v>
      </c>
      <c r="AP582" t="s">
        <v>102</v>
      </c>
      <c r="AQ582" t="str">
        <f>"9.07"</f>
        <v>9.07</v>
      </c>
      <c r="AR582">
        <v>0</v>
      </c>
      <c r="AS582">
        <v>-5</v>
      </c>
      <c r="AT582">
        <v>-5</v>
      </c>
      <c r="AU582">
        <v>0</v>
      </c>
      <c r="AV582">
        <v>0</v>
      </c>
      <c r="AW582">
        <v>0</v>
      </c>
      <c r="AX582">
        <v>-41.15</v>
      </c>
      <c r="AY582">
        <v>-41.15</v>
      </c>
      <c r="AZ582">
        <v>0</v>
      </c>
    </row>
    <row r="583" spans="1:52">
      <c r="A583" t="s">
        <v>833</v>
      </c>
      <c r="B583" t="s">
        <v>834</v>
      </c>
      <c r="C583" t="s">
        <v>835</v>
      </c>
      <c r="D583" t="s">
        <v>836</v>
      </c>
      <c r="E583" t="s">
        <v>69</v>
      </c>
      <c r="F583" t="s">
        <v>70</v>
      </c>
      <c r="G583" t="s">
        <v>837</v>
      </c>
      <c r="H583" t="s">
        <v>838</v>
      </c>
      <c r="I583" t="str">
        <f t="shared" si="147"/>
        <v>1010</v>
      </c>
      <c r="J583" t="s">
        <v>67</v>
      </c>
      <c r="K583" t="s">
        <v>855</v>
      </c>
      <c r="L583" t="s">
        <v>856</v>
      </c>
      <c r="M583" t="s">
        <v>855</v>
      </c>
      <c r="N583" t="s">
        <v>962</v>
      </c>
      <c r="O583" t="s">
        <v>963</v>
      </c>
      <c r="P583" t="str">
        <f>"3020671552"</f>
        <v>3020671552</v>
      </c>
      <c r="R583" t="str">
        <f>"00030206715521"</f>
        <v>00030206715521</v>
      </c>
      <c r="S583" s="1">
        <v>41142</v>
      </c>
      <c r="T583" s="1">
        <v>41142</v>
      </c>
      <c r="U583" t="str">
        <f>"3020671552"</f>
        <v>3020671552</v>
      </c>
      <c r="V583" t="str">
        <f t="shared" si="145"/>
        <v>1510</v>
      </c>
      <c r="W583" t="str">
        <f t="shared" si="142"/>
        <v>11</v>
      </c>
      <c r="X583" t="s">
        <v>75</v>
      </c>
      <c r="Y583" t="s">
        <v>76</v>
      </c>
      <c r="Z583" t="s">
        <v>121</v>
      </c>
      <c r="AA583" t="s">
        <v>122</v>
      </c>
      <c r="AB583" t="s">
        <v>79</v>
      </c>
      <c r="AD583" t="s">
        <v>80</v>
      </c>
      <c r="AE583" t="s">
        <v>81</v>
      </c>
      <c r="AF583" t="s">
        <v>82</v>
      </c>
      <c r="AG583" t="s">
        <v>83</v>
      </c>
      <c r="AH583" t="s">
        <v>84</v>
      </c>
      <c r="AI583" t="str">
        <f t="shared" si="143"/>
        <v>01</v>
      </c>
      <c r="AJ583" t="str">
        <f t="shared" si="144"/>
        <v>1</v>
      </c>
      <c r="AK583" t="s">
        <v>98</v>
      </c>
      <c r="AL583" t="s">
        <v>86</v>
      </c>
      <c r="AM583" t="s">
        <v>95</v>
      </c>
      <c r="AN583" t="str">
        <f t="shared" si="146"/>
        <v>.9700</v>
      </c>
      <c r="AO583" t="str">
        <f>"8.00"</f>
        <v>8.00</v>
      </c>
      <c r="AP583" t="s">
        <v>99</v>
      </c>
      <c r="AQ583" t="str">
        <f>"8.00"</f>
        <v>8.00</v>
      </c>
      <c r="AR583">
        <v>101</v>
      </c>
      <c r="AS583">
        <v>-1</v>
      </c>
      <c r="AT583">
        <v>100</v>
      </c>
      <c r="AU583">
        <v>808</v>
      </c>
      <c r="AV583">
        <v>44.28</v>
      </c>
      <c r="AW583">
        <v>763.72</v>
      </c>
      <c r="AX583">
        <v>-7.35</v>
      </c>
      <c r="AY583">
        <v>756.37</v>
      </c>
      <c r="AZ583">
        <v>0</v>
      </c>
    </row>
    <row r="584" spans="1:52">
      <c r="A584" t="s">
        <v>833</v>
      </c>
      <c r="B584" t="s">
        <v>834</v>
      </c>
      <c r="C584" t="s">
        <v>835</v>
      </c>
      <c r="D584" t="s">
        <v>836</v>
      </c>
      <c r="E584" t="s">
        <v>69</v>
      </c>
      <c r="F584" t="s">
        <v>70</v>
      </c>
      <c r="G584" t="s">
        <v>837</v>
      </c>
      <c r="H584" t="s">
        <v>838</v>
      </c>
      <c r="I584" t="str">
        <f t="shared" si="147"/>
        <v>1010</v>
      </c>
      <c r="J584" t="s">
        <v>67</v>
      </c>
      <c r="K584" t="s">
        <v>855</v>
      </c>
      <c r="L584" t="s">
        <v>856</v>
      </c>
      <c r="M584" t="s">
        <v>855</v>
      </c>
      <c r="N584" t="s">
        <v>295</v>
      </c>
      <c r="O584" t="s">
        <v>964</v>
      </c>
      <c r="P584" t="str">
        <f>"3020664222"</f>
        <v>3020664222</v>
      </c>
      <c r="Q584" t="str">
        <f>"050266422"</f>
        <v>050266422</v>
      </c>
      <c r="R584" t="str">
        <f>"00030206642223"</f>
        <v>00030206642223</v>
      </c>
      <c r="S584" s="1">
        <v>37663</v>
      </c>
      <c r="T584" s="1">
        <v>37663</v>
      </c>
      <c r="U584" t="str">
        <f>"3020664222"</f>
        <v>3020664222</v>
      </c>
      <c r="V584" t="str">
        <f t="shared" si="145"/>
        <v>1510</v>
      </c>
      <c r="W584" t="str">
        <f t="shared" si="142"/>
        <v>11</v>
      </c>
      <c r="X584" t="s">
        <v>75</v>
      </c>
      <c r="Y584" t="s">
        <v>76</v>
      </c>
      <c r="Z584" t="s">
        <v>105</v>
      </c>
      <c r="AA584" t="s">
        <v>106</v>
      </c>
      <c r="AB584" t="s">
        <v>79</v>
      </c>
      <c r="AD584" t="s">
        <v>80</v>
      </c>
      <c r="AE584" t="s">
        <v>81</v>
      </c>
      <c r="AF584" t="s">
        <v>82</v>
      </c>
      <c r="AG584" t="s">
        <v>83</v>
      </c>
      <c r="AH584" t="s">
        <v>84</v>
      </c>
      <c r="AI584" t="str">
        <f t="shared" si="143"/>
        <v>01</v>
      </c>
      <c r="AJ584" t="str">
        <f t="shared" si="144"/>
        <v>1</v>
      </c>
      <c r="AK584" t="s">
        <v>101</v>
      </c>
      <c r="AL584" t="s">
        <v>94</v>
      </c>
      <c r="AM584" t="s">
        <v>95</v>
      </c>
      <c r="AN584" t="str">
        <f t="shared" si="146"/>
        <v>.9700</v>
      </c>
      <c r="AO584" t="str">
        <f>"9.07"</f>
        <v>9.07</v>
      </c>
      <c r="AP584" t="s">
        <v>102</v>
      </c>
      <c r="AQ584" t="str">
        <f>"9.07"</f>
        <v>9.07</v>
      </c>
      <c r="AR584">
        <v>12</v>
      </c>
      <c r="AS584">
        <v>-10</v>
      </c>
      <c r="AT584">
        <v>2</v>
      </c>
      <c r="AU584">
        <v>108.82</v>
      </c>
      <c r="AV584">
        <v>11.92</v>
      </c>
      <c r="AW584">
        <v>96.9</v>
      </c>
      <c r="AX584">
        <v>-76.900000000000006</v>
      </c>
      <c r="AY584">
        <v>20</v>
      </c>
      <c r="AZ584">
        <v>0</v>
      </c>
    </row>
    <row r="585" spans="1:52">
      <c r="A585" t="s">
        <v>833</v>
      </c>
      <c r="B585" t="s">
        <v>834</v>
      </c>
      <c r="C585" t="s">
        <v>835</v>
      </c>
      <c r="D585" t="s">
        <v>836</v>
      </c>
      <c r="E585" t="s">
        <v>69</v>
      </c>
      <c r="F585" t="s">
        <v>70</v>
      </c>
      <c r="G585" t="s">
        <v>837</v>
      </c>
      <c r="H585" t="s">
        <v>838</v>
      </c>
      <c r="I585" t="str">
        <f t="shared" si="147"/>
        <v>1010</v>
      </c>
      <c r="J585" t="s">
        <v>67</v>
      </c>
      <c r="K585" t="s">
        <v>855</v>
      </c>
      <c r="L585" t="s">
        <v>856</v>
      </c>
      <c r="M585" t="s">
        <v>855</v>
      </c>
      <c r="N585" t="s">
        <v>295</v>
      </c>
      <c r="O585" t="s">
        <v>965</v>
      </c>
      <c r="P585" t="str">
        <f>"3020663772"</f>
        <v>3020663772</v>
      </c>
      <c r="Q585" t="str">
        <f>"050266377"</f>
        <v>050266377</v>
      </c>
      <c r="R585" t="str">
        <f>"00030206637724"</f>
        <v>00030206637724</v>
      </c>
      <c r="S585" s="1">
        <v>37558</v>
      </c>
      <c r="T585" s="1">
        <v>37558</v>
      </c>
      <c r="U585" t="str">
        <f>"3020663772"</f>
        <v>3020663772</v>
      </c>
      <c r="V585" t="str">
        <f t="shared" si="145"/>
        <v>1510</v>
      </c>
      <c r="W585" t="str">
        <f t="shared" si="142"/>
        <v>11</v>
      </c>
      <c r="X585" t="s">
        <v>75</v>
      </c>
      <c r="Y585" t="s">
        <v>76</v>
      </c>
      <c r="Z585" t="s">
        <v>105</v>
      </c>
      <c r="AA585" t="s">
        <v>106</v>
      </c>
      <c r="AB585" t="s">
        <v>79</v>
      </c>
      <c r="AD585" t="s">
        <v>80</v>
      </c>
      <c r="AE585" t="s">
        <v>81</v>
      </c>
      <c r="AF585" t="s">
        <v>82</v>
      </c>
      <c r="AG585" t="s">
        <v>83</v>
      </c>
      <c r="AH585" t="s">
        <v>84</v>
      </c>
      <c r="AI585" t="str">
        <f t="shared" si="143"/>
        <v>01</v>
      </c>
      <c r="AJ585" t="str">
        <f t="shared" si="144"/>
        <v>1</v>
      </c>
      <c r="AK585" t="s">
        <v>101</v>
      </c>
      <c r="AL585" t="s">
        <v>94</v>
      </c>
      <c r="AM585" t="s">
        <v>95</v>
      </c>
      <c r="AN585" t="str">
        <f t="shared" si="146"/>
        <v>.9700</v>
      </c>
      <c r="AO585" t="str">
        <f>"9.07"</f>
        <v>9.07</v>
      </c>
      <c r="AP585" t="s">
        <v>102</v>
      </c>
      <c r="AQ585" t="str">
        <f>"9.07"</f>
        <v>9.07</v>
      </c>
      <c r="AR585">
        <v>35</v>
      </c>
      <c r="AS585">
        <v>-14</v>
      </c>
      <c r="AT585">
        <v>21</v>
      </c>
      <c r="AU585">
        <v>317.39</v>
      </c>
      <c r="AV585">
        <v>38.090000000000003</v>
      </c>
      <c r="AW585">
        <v>279.3</v>
      </c>
      <c r="AX585">
        <v>-107.18</v>
      </c>
      <c r="AY585">
        <v>172.12</v>
      </c>
      <c r="AZ585">
        <v>0</v>
      </c>
    </row>
    <row r="586" spans="1:52">
      <c r="A586" t="s">
        <v>833</v>
      </c>
      <c r="B586" t="s">
        <v>834</v>
      </c>
      <c r="C586" t="s">
        <v>835</v>
      </c>
      <c r="D586" t="s">
        <v>836</v>
      </c>
      <c r="E586" t="s">
        <v>69</v>
      </c>
      <c r="F586" t="s">
        <v>70</v>
      </c>
      <c r="G586" t="s">
        <v>837</v>
      </c>
      <c r="H586" t="s">
        <v>838</v>
      </c>
      <c r="I586" t="str">
        <f t="shared" si="147"/>
        <v>1010</v>
      </c>
      <c r="J586" t="s">
        <v>67</v>
      </c>
      <c r="K586" t="s">
        <v>855</v>
      </c>
      <c r="L586" t="s">
        <v>856</v>
      </c>
      <c r="M586" t="s">
        <v>855</v>
      </c>
      <c r="N586" t="s">
        <v>966</v>
      </c>
      <c r="O586" t="s">
        <v>967</v>
      </c>
      <c r="P586" t="str">
        <f>"3020670172"</f>
        <v>3020670172</v>
      </c>
      <c r="R586" t="str">
        <f>"00030206701722"</f>
        <v>00030206701722</v>
      </c>
      <c r="S586" s="1">
        <v>40379</v>
      </c>
      <c r="T586" s="1">
        <v>40379</v>
      </c>
      <c r="U586" t="str">
        <f>"3020670172"</f>
        <v>3020670172</v>
      </c>
      <c r="V586" t="str">
        <f t="shared" si="145"/>
        <v>1510</v>
      </c>
      <c r="W586" t="str">
        <f t="shared" si="142"/>
        <v>11</v>
      </c>
      <c r="X586" t="s">
        <v>75</v>
      </c>
      <c r="Y586" t="s">
        <v>76</v>
      </c>
      <c r="Z586" t="s">
        <v>105</v>
      </c>
      <c r="AA586" t="s">
        <v>106</v>
      </c>
      <c r="AB586" t="s">
        <v>79</v>
      </c>
      <c r="AD586" t="s">
        <v>80</v>
      </c>
      <c r="AE586" t="s">
        <v>81</v>
      </c>
      <c r="AF586" t="s">
        <v>82</v>
      </c>
      <c r="AG586" t="s">
        <v>83</v>
      </c>
      <c r="AH586" t="s">
        <v>84</v>
      </c>
      <c r="AI586" t="str">
        <f t="shared" si="143"/>
        <v>01</v>
      </c>
      <c r="AJ586" t="str">
        <f t="shared" si="144"/>
        <v>1</v>
      </c>
      <c r="AK586" t="s">
        <v>101</v>
      </c>
      <c r="AL586" t="s">
        <v>94</v>
      </c>
      <c r="AM586" t="s">
        <v>95</v>
      </c>
      <c r="AN586" t="str">
        <f t="shared" si="146"/>
        <v>.9700</v>
      </c>
      <c r="AO586" t="str">
        <f>"9.07"</f>
        <v>9.07</v>
      </c>
      <c r="AP586" t="s">
        <v>102</v>
      </c>
      <c r="AQ586" t="str">
        <f>"9.07"</f>
        <v>9.07</v>
      </c>
      <c r="AR586">
        <v>22</v>
      </c>
      <c r="AS586">
        <v>0</v>
      </c>
      <c r="AT586">
        <v>22</v>
      </c>
      <c r="AU586">
        <v>199.5</v>
      </c>
      <c r="AV586">
        <v>23.94</v>
      </c>
      <c r="AW586">
        <v>175.56</v>
      </c>
      <c r="AX586">
        <v>0</v>
      </c>
      <c r="AY586">
        <v>175.56</v>
      </c>
      <c r="AZ586">
        <v>0</v>
      </c>
    </row>
    <row r="587" spans="1:52">
      <c r="A587" t="s">
        <v>833</v>
      </c>
      <c r="B587" t="s">
        <v>834</v>
      </c>
      <c r="C587" t="s">
        <v>835</v>
      </c>
      <c r="D587" t="s">
        <v>836</v>
      </c>
      <c r="E587" t="s">
        <v>69</v>
      </c>
      <c r="F587" t="s">
        <v>70</v>
      </c>
      <c r="G587" t="s">
        <v>837</v>
      </c>
      <c r="H587" t="s">
        <v>838</v>
      </c>
      <c r="I587" t="str">
        <f t="shared" si="147"/>
        <v>1010</v>
      </c>
      <c r="J587" t="s">
        <v>67</v>
      </c>
      <c r="K587" t="s">
        <v>855</v>
      </c>
      <c r="L587" t="s">
        <v>856</v>
      </c>
      <c r="M587" t="s">
        <v>855</v>
      </c>
      <c r="N587" t="s">
        <v>968</v>
      </c>
      <c r="O587" t="s">
        <v>969</v>
      </c>
      <c r="P587" t="str">
        <f>"3020670812"</f>
        <v>3020670812</v>
      </c>
      <c r="R587" t="str">
        <f>"00030206708127"</f>
        <v>00030206708127</v>
      </c>
      <c r="S587" s="1">
        <v>40666</v>
      </c>
      <c r="T587" s="1">
        <v>40666</v>
      </c>
      <c r="U587" t="str">
        <f>"3020670812"</f>
        <v>3020670812</v>
      </c>
      <c r="V587" t="str">
        <f t="shared" si="145"/>
        <v>1510</v>
      </c>
      <c r="W587" t="str">
        <f t="shared" si="142"/>
        <v>11</v>
      </c>
      <c r="X587" t="s">
        <v>75</v>
      </c>
      <c r="Y587" t="s">
        <v>76</v>
      </c>
      <c r="Z587" t="s">
        <v>91</v>
      </c>
      <c r="AA587" t="s">
        <v>92</v>
      </c>
      <c r="AB587" t="s">
        <v>79</v>
      </c>
      <c r="AD587" t="s">
        <v>80</v>
      </c>
      <c r="AE587" t="s">
        <v>81</v>
      </c>
      <c r="AF587" t="s">
        <v>82</v>
      </c>
      <c r="AG587" t="s">
        <v>83</v>
      </c>
      <c r="AH587" t="s">
        <v>84</v>
      </c>
      <c r="AI587" t="str">
        <f t="shared" si="143"/>
        <v>01</v>
      </c>
      <c r="AJ587" t="str">
        <f t="shared" si="144"/>
        <v>1</v>
      </c>
      <c r="AK587" t="s">
        <v>85</v>
      </c>
      <c r="AL587" t="s">
        <v>86</v>
      </c>
      <c r="AM587" t="s">
        <v>87</v>
      </c>
      <c r="AN587" t="str">
        <f t="shared" si="146"/>
        <v>.9700</v>
      </c>
      <c r="AO587" t="str">
        <f>"7.50"</f>
        <v>7.50</v>
      </c>
      <c r="AP587" t="s">
        <v>88</v>
      </c>
      <c r="AQ587" t="str">
        <f>"7.50"</f>
        <v>7.50</v>
      </c>
      <c r="AR587">
        <v>31</v>
      </c>
      <c r="AS587">
        <v>0</v>
      </c>
      <c r="AT587">
        <v>31</v>
      </c>
      <c r="AU587">
        <v>232.5</v>
      </c>
      <c r="AV587">
        <v>27.75</v>
      </c>
      <c r="AW587">
        <v>204.75</v>
      </c>
      <c r="AX587">
        <v>0</v>
      </c>
      <c r="AY587">
        <v>204.75</v>
      </c>
      <c r="AZ587">
        <v>0</v>
      </c>
    </row>
    <row r="588" spans="1:52">
      <c r="A588" t="s">
        <v>833</v>
      </c>
      <c r="B588" t="s">
        <v>834</v>
      </c>
      <c r="C588" t="s">
        <v>835</v>
      </c>
      <c r="D588" t="s">
        <v>836</v>
      </c>
      <c r="E588" t="s">
        <v>69</v>
      </c>
      <c r="F588" t="s">
        <v>70</v>
      </c>
      <c r="G588" t="s">
        <v>837</v>
      </c>
      <c r="H588" t="s">
        <v>838</v>
      </c>
      <c r="I588" t="str">
        <f t="shared" si="147"/>
        <v>1010</v>
      </c>
      <c r="J588" t="s">
        <v>67</v>
      </c>
      <c r="K588" t="s">
        <v>855</v>
      </c>
      <c r="L588" t="s">
        <v>856</v>
      </c>
      <c r="M588" t="s">
        <v>855</v>
      </c>
      <c r="N588" t="s">
        <v>970</v>
      </c>
      <c r="O588" t="s">
        <v>908</v>
      </c>
      <c r="P588" t="str">
        <f>"3020669762"</f>
        <v>3020669762</v>
      </c>
      <c r="R588" t="str">
        <f>"00030206697629"</f>
        <v>00030206697629</v>
      </c>
      <c r="S588" s="1">
        <v>40078</v>
      </c>
      <c r="T588" s="1">
        <v>40078</v>
      </c>
      <c r="U588" t="str">
        <f>"3020669762"</f>
        <v>3020669762</v>
      </c>
      <c r="V588" t="str">
        <f t="shared" si="145"/>
        <v>1510</v>
      </c>
      <c r="W588" t="str">
        <f t="shared" si="142"/>
        <v>11</v>
      </c>
      <c r="X588" t="s">
        <v>75</v>
      </c>
      <c r="Y588" t="s">
        <v>76</v>
      </c>
      <c r="Z588" t="s">
        <v>254</v>
      </c>
      <c r="AA588" t="s">
        <v>255</v>
      </c>
      <c r="AB588" t="s">
        <v>79</v>
      </c>
      <c r="AD588" t="s">
        <v>80</v>
      </c>
      <c r="AE588" t="s">
        <v>81</v>
      </c>
      <c r="AF588" t="s">
        <v>82</v>
      </c>
      <c r="AG588" t="s">
        <v>83</v>
      </c>
      <c r="AH588" t="s">
        <v>84</v>
      </c>
      <c r="AI588" t="str">
        <f t="shared" si="143"/>
        <v>01</v>
      </c>
      <c r="AJ588" t="str">
        <f t="shared" si="144"/>
        <v>1</v>
      </c>
      <c r="AK588" t="s">
        <v>114</v>
      </c>
      <c r="AL588" t="s">
        <v>86</v>
      </c>
      <c r="AM588" t="s">
        <v>87</v>
      </c>
      <c r="AN588" t="str">
        <f t="shared" si="146"/>
        <v>.9700</v>
      </c>
      <c r="AO588" t="str">
        <f>"7.00"</f>
        <v>7.00</v>
      </c>
      <c r="AP588" t="s">
        <v>115</v>
      </c>
      <c r="AQ588" t="str">
        <f>"7.00"</f>
        <v>7.00</v>
      </c>
      <c r="AR588">
        <v>34</v>
      </c>
      <c r="AS588">
        <v>-2</v>
      </c>
      <c r="AT588">
        <v>32</v>
      </c>
      <c r="AU588">
        <v>238.01</v>
      </c>
      <c r="AV588">
        <v>26.85</v>
      </c>
      <c r="AW588">
        <v>211.16</v>
      </c>
      <c r="AX588">
        <v>-13.08</v>
      </c>
      <c r="AY588">
        <v>198.08</v>
      </c>
      <c r="AZ588">
        <v>0</v>
      </c>
    </row>
    <row r="589" spans="1:52">
      <c r="A589" t="s">
        <v>833</v>
      </c>
      <c r="B589" t="s">
        <v>834</v>
      </c>
      <c r="C589" t="s">
        <v>835</v>
      </c>
      <c r="D589" t="s">
        <v>836</v>
      </c>
      <c r="E589" t="s">
        <v>69</v>
      </c>
      <c r="F589" t="s">
        <v>70</v>
      </c>
      <c r="G589" t="s">
        <v>837</v>
      </c>
      <c r="H589" t="s">
        <v>838</v>
      </c>
      <c r="I589" t="str">
        <f t="shared" si="147"/>
        <v>1010</v>
      </c>
      <c r="J589" t="s">
        <v>67</v>
      </c>
      <c r="K589" t="s">
        <v>855</v>
      </c>
      <c r="L589" t="s">
        <v>856</v>
      </c>
      <c r="M589" t="s">
        <v>855</v>
      </c>
      <c r="N589" t="s">
        <v>971</v>
      </c>
      <c r="O589" t="s">
        <v>972</v>
      </c>
      <c r="P589" t="str">
        <f>"3020624132"</f>
        <v>3020624132</v>
      </c>
      <c r="R589" t="str">
        <f>"00030206241327"</f>
        <v>00030206241327</v>
      </c>
      <c r="S589" s="1">
        <v>41016</v>
      </c>
      <c r="T589" s="1">
        <v>41016</v>
      </c>
      <c r="U589" t="str">
        <f>"3020624132"</f>
        <v>3020624132</v>
      </c>
      <c r="V589" t="str">
        <f t="shared" si="145"/>
        <v>1510</v>
      </c>
      <c r="W589" t="str">
        <f t="shared" si="142"/>
        <v>11</v>
      </c>
      <c r="X589" t="s">
        <v>75</v>
      </c>
      <c r="Y589" t="s">
        <v>76</v>
      </c>
      <c r="Z589" t="s">
        <v>169</v>
      </c>
      <c r="AA589" t="s">
        <v>170</v>
      </c>
      <c r="AB589" t="s">
        <v>79</v>
      </c>
      <c r="AD589" t="s">
        <v>80</v>
      </c>
      <c r="AE589" t="s">
        <v>81</v>
      </c>
      <c r="AF589" t="s">
        <v>82</v>
      </c>
      <c r="AG589" t="s">
        <v>83</v>
      </c>
      <c r="AH589" t="s">
        <v>84</v>
      </c>
      <c r="AI589" t="str">
        <f t="shared" si="143"/>
        <v>01</v>
      </c>
      <c r="AJ589" t="str">
        <f t="shared" si="144"/>
        <v>1</v>
      </c>
      <c r="AK589" t="s">
        <v>85</v>
      </c>
      <c r="AL589" t="s">
        <v>86</v>
      </c>
      <c r="AM589" t="s">
        <v>87</v>
      </c>
      <c r="AN589" t="str">
        <f t="shared" si="146"/>
        <v>.9700</v>
      </c>
      <c r="AO589" t="str">
        <f>"7.50"</f>
        <v>7.50</v>
      </c>
      <c r="AP589" t="s">
        <v>88</v>
      </c>
      <c r="AQ589" t="str">
        <f>"7.50"</f>
        <v>7.50</v>
      </c>
      <c r="AR589">
        <v>43</v>
      </c>
      <c r="AS589">
        <v>-1</v>
      </c>
      <c r="AT589">
        <v>42</v>
      </c>
      <c r="AU589">
        <v>320.91000000000003</v>
      </c>
      <c r="AV589">
        <v>17.3</v>
      </c>
      <c r="AW589">
        <v>303.61</v>
      </c>
      <c r="AX589">
        <v>-6.27</v>
      </c>
      <c r="AY589">
        <v>297.33999999999997</v>
      </c>
      <c r="AZ589">
        <v>0</v>
      </c>
    </row>
    <row r="590" spans="1:52">
      <c r="A590" t="s">
        <v>833</v>
      </c>
      <c r="B590" t="s">
        <v>834</v>
      </c>
      <c r="C590" t="s">
        <v>835</v>
      </c>
      <c r="D590" t="s">
        <v>836</v>
      </c>
      <c r="E590" t="s">
        <v>69</v>
      </c>
      <c r="F590" t="s">
        <v>70</v>
      </c>
      <c r="G590" t="s">
        <v>837</v>
      </c>
      <c r="H590" t="s">
        <v>838</v>
      </c>
      <c r="I590" t="str">
        <f t="shared" si="147"/>
        <v>1010</v>
      </c>
      <c r="J590" t="s">
        <v>67</v>
      </c>
      <c r="K590" t="s">
        <v>855</v>
      </c>
      <c r="L590" t="s">
        <v>856</v>
      </c>
      <c r="M590" t="s">
        <v>855</v>
      </c>
      <c r="N590" t="s">
        <v>973</v>
      </c>
      <c r="O590" t="s">
        <v>974</v>
      </c>
      <c r="P590" t="str">
        <f>"3020671572"</f>
        <v>3020671572</v>
      </c>
      <c r="R590" t="str">
        <f>"00030206715729"</f>
        <v>00030206715729</v>
      </c>
      <c r="S590" s="1">
        <v>41156</v>
      </c>
      <c r="T590" s="1">
        <v>41156</v>
      </c>
      <c r="U590" t="str">
        <f>"3020671572"</f>
        <v>3020671572</v>
      </c>
      <c r="V590" t="str">
        <f t="shared" si="145"/>
        <v>1510</v>
      </c>
      <c r="W590" t="str">
        <f t="shared" si="142"/>
        <v>11</v>
      </c>
      <c r="X590" t="s">
        <v>75</v>
      </c>
      <c r="Y590" t="s">
        <v>76</v>
      </c>
      <c r="Z590" t="s">
        <v>169</v>
      </c>
      <c r="AA590" t="s">
        <v>170</v>
      </c>
      <c r="AB590" t="s">
        <v>79</v>
      </c>
      <c r="AD590" t="s">
        <v>80</v>
      </c>
      <c r="AE590" t="s">
        <v>81</v>
      </c>
      <c r="AF590" t="s">
        <v>82</v>
      </c>
      <c r="AG590" t="s">
        <v>83</v>
      </c>
      <c r="AH590" t="s">
        <v>84</v>
      </c>
      <c r="AI590" t="str">
        <f t="shared" si="143"/>
        <v>01</v>
      </c>
      <c r="AJ590" t="str">
        <f t="shared" si="144"/>
        <v>1</v>
      </c>
      <c r="AK590" t="s">
        <v>101</v>
      </c>
      <c r="AL590" t="s">
        <v>94</v>
      </c>
      <c r="AM590" t="s">
        <v>95</v>
      </c>
      <c r="AN590" t="str">
        <f t="shared" si="146"/>
        <v>.9700</v>
      </c>
      <c r="AO590" t="str">
        <f>"9.07"</f>
        <v>9.07</v>
      </c>
      <c r="AP590" t="s">
        <v>102</v>
      </c>
      <c r="AQ590" t="str">
        <f>"9.07"</f>
        <v>9.07</v>
      </c>
      <c r="AR590">
        <v>19</v>
      </c>
      <c r="AS590">
        <v>-2</v>
      </c>
      <c r="AT590">
        <v>17</v>
      </c>
      <c r="AU590">
        <v>172.39</v>
      </c>
      <c r="AV590">
        <v>7.85</v>
      </c>
      <c r="AW590">
        <v>164.54</v>
      </c>
      <c r="AX590">
        <v>-16.66</v>
      </c>
      <c r="AY590">
        <v>147.88</v>
      </c>
      <c r="AZ590">
        <v>0</v>
      </c>
    </row>
    <row r="591" spans="1:52">
      <c r="A591" t="s">
        <v>833</v>
      </c>
      <c r="B591" t="s">
        <v>834</v>
      </c>
      <c r="C591" t="s">
        <v>835</v>
      </c>
      <c r="D591" t="s">
        <v>836</v>
      </c>
      <c r="E591" t="s">
        <v>69</v>
      </c>
      <c r="F591" t="s">
        <v>70</v>
      </c>
      <c r="G591" t="s">
        <v>837</v>
      </c>
      <c r="H591" t="s">
        <v>838</v>
      </c>
      <c r="I591" t="str">
        <f t="shared" si="147"/>
        <v>1010</v>
      </c>
      <c r="J591" t="s">
        <v>67</v>
      </c>
      <c r="K591" t="s">
        <v>855</v>
      </c>
      <c r="L591" t="s">
        <v>856</v>
      </c>
      <c r="M591" t="s">
        <v>855</v>
      </c>
      <c r="N591" t="s">
        <v>975</v>
      </c>
      <c r="O591" t="s">
        <v>976</v>
      </c>
      <c r="P591" t="str">
        <f>"3020671562"</f>
        <v>3020671562</v>
      </c>
      <c r="R591" t="str">
        <f>"00030206715620"</f>
        <v>00030206715620</v>
      </c>
      <c r="S591" s="1">
        <v>41156</v>
      </c>
      <c r="T591" s="1">
        <v>41149</v>
      </c>
      <c r="U591" t="str">
        <f>"3020671562"</f>
        <v>3020671562</v>
      </c>
      <c r="V591" t="str">
        <f t="shared" si="145"/>
        <v>1510</v>
      </c>
      <c r="W591" t="str">
        <f t="shared" si="142"/>
        <v>11</v>
      </c>
      <c r="X591" t="s">
        <v>75</v>
      </c>
      <c r="Y591" t="s">
        <v>76</v>
      </c>
      <c r="Z591" t="s">
        <v>169</v>
      </c>
      <c r="AA591" t="s">
        <v>170</v>
      </c>
      <c r="AB591" t="s">
        <v>79</v>
      </c>
      <c r="AD591" t="s">
        <v>80</v>
      </c>
      <c r="AE591" t="s">
        <v>81</v>
      </c>
      <c r="AF591" t="s">
        <v>82</v>
      </c>
      <c r="AG591" t="s">
        <v>83</v>
      </c>
      <c r="AH591" t="s">
        <v>84</v>
      </c>
      <c r="AI591" t="str">
        <f t="shared" si="143"/>
        <v>01</v>
      </c>
      <c r="AJ591" t="str">
        <f t="shared" si="144"/>
        <v>1</v>
      </c>
      <c r="AK591" t="s">
        <v>101</v>
      </c>
      <c r="AL591" t="s">
        <v>94</v>
      </c>
      <c r="AM591" t="s">
        <v>95</v>
      </c>
      <c r="AN591" t="str">
        <f t="shared" si="146"/>
        <v>.9700</v>
      </c>
      <c r="AO591" t="str">
        <f>"9.07"</f>
        <v>9.07</v>
      </c>
      <c r="AP591" t="s">
        <v>102</v>
      </c>
      <c r="AQ591" t="str">
        <f>"9.07"</f>
        <v>9.07</v>
      </c>
      <c r="AR591">
        <v>20</v>
      </c>
      <c r="AS591">
        <v>-2</v>
      </c>
      <c r="AT591">
        <v>18</v>
      </c>
      <c r="AU591">
        <v>181.47</v>
      </c>
      <c r="AV591">
        <v>9.07</v>
      </c>
      <c r="AW591">
        <v>172.4</v>
      </c>
      <c r="AX591">
        <v>-16.73</v>
      </c>
      <c r="AY591">
        <v>155.66999999999999</v>
      </c>
      <c r="AZ591">
        <v>0</v>
      </c>
    </row>
    <row r="592" spans="1:52">
      <c r="A592" t="s">
        <v>833</v>
      </c>
      <c r="B592" t="s">
        <v>834</v>
      </c>
      <c r="C592" t="s">
        <v>835</v>
      </c>
      <c r="D592" t="s">
        <v>836</v>
      </c>
      <c r="E592" t="s">
        <v>69</v>
      </c>
      <c r="F592" t="s">
        <v>70</v>
      </c>
      <c r="G592" t="s">
        <v>837</v>
      </c>
      <c r="H592" t="s">
        <v>838</v>
      </c>
      <c r="I592" t="str">
        <f t="shared" si="147"/>
        <v>1010</v>
      </c>
      <c r="J592" t="s">
        <v>67</v>
      </c>
      <c r="K592" t="s">
        <v>855</v>
      </c>
      <c r="L592" t="s">
        <v>856</v>
      </c>
      <c r="M592" t="s">
        <v>855</v>
      </c>
      <c r="N592" t="s">
        <v>977</v>
      </c>
      <c r="O592" t="s">
        <v>908</v>
      </c>
      <c r="P592" t="str">
        <f>"3020670292"</f>
        <v>3020670292</v>
      </c>
      <c r="R592" t="str">
        <f>"00030206702927"</f>
        <v>00030206702927</v>
      </c>
      <c r="S592" s="1">
        <v>40435</v>
      </c>
      <c r="T592" s="1">
        <v>40435</v>
      </c>
      <c r="U592" t="str">
        <f>"3020670292"</f>
        <v>3020670292</v>
      </c>
      <c r="V592" t="str">
        <f t="shared" si="145"/>
        <v>1510</v>
      </c>
      <c r="W592" t="str">
        <f t="shared" si="142"/>
        <v>11</v>
      </c>
      <c r="X592" t="s">
        <v>75</v>
      </c>
      <c r="Y592" t="s">
        <v>76</v>
      </c>
      <c r="Z592" t="s">
        <v>254</v>
      </c>
      <c r="AA592" t="s">
        <v>255</v>
      </c>
      <c r="AB592" t="s">
        <v>79</v>
      </c>
      <c r="AD592" t="s">
        <v>80</v>
      </c>
      <c r="AE592" t="s">
        <v>81</v>
      </c>
      <c r="AF592" t="s">
        <v>82</v>
      </c>
      <c r="AG592" t="s">
        <v>83</v>
      </c>
      <c r="AH592" t="s">
        <v>84</v>
      </c>
      <c r="AI592" t="str">
        <f t="shared" si="143"/>
        <v>01</v>
      </c>
      <c r="AJ592" t="str">
        <f t="shared" si="144"/>
        <v>1</v>
      </c>
      <c r="AK592" t="s">
        <v>85</v>
      </c>
      <c r="AL592" t="s">
        <v>86</v>
      </c>
      <c r="AM592" t="s">
        <v>87</v>
      </c>
      <c r="AN592" t="str">
        <f t="shared" si="146"/>
        <v>.9700</v>
      </c>
      <c r="AO592" t="str">
        <f>"7.50"</f>
        <v>7.50</v>
      </c>
      <c r="AP592" t="s">
        <v>88</v>
      </c>
      <c r="AQ592" t="str">
        <f>"7.50"</f>
        <v>7.50</v>
      </c>
      <c r="AR592">
        <v>26</v>
      </c>
      <c r="AS592">
        <v>0</v>
      </c>
      <c r="AT592">
        <v>26</v>
      </c>
      <c r="AU592">
        <v>195</v>
      </c>
      <c r="AV592">
        <v>20.66</v>
      </c>
      <c r="AW592">
        <v>174.34</v>
      </c>
      <c r="AX592">
        <v>0</v>
      </c>
      <c r="AY592">
        <v>174.34</v>
      </c>
      <c r="AZ592">
        <v>0</v>
      </c>
    </row>
    <row r="593" spans="1:52">
      <c r="A593" t="s">
        <v>833</v>
      </c>
      <c r="B593" t="s">
        <v>834</v>
      </c>
      <c r="C593" t="s">
        <v>835</v>
      </c>
      <c r="D593" t="s">
        <v>836</v>
      </c>
      <c r="E593" t="s">
        <v>69</v>
      </c>
      <c r="F593" t="s">
        <v>70</v>
      </c>
      <c r="G593" t="s">
        <v>837</v>
      </c>
      <c r="H593" t="s">
        <v>838</v>
      </c>
      <c r="I593" t="str">
        <f t="shared" si="147"/>
        <v>1010</v>
      </c>
      <c r="J593" t="s">
        <v>67</v>
      </c>
      <c r="K593" t="s">
        <v>855</v>
      </c>
      <c r="L593" t="s">
        <v>856</v>
      </c>
      <c r="M593" t="s">
        <v>855</v>
      </c>
      <c r="N593" t="s">
        <v>977</v>
      </c>
      <c r="O593" t="s">
        <v>908</v>
      </c>
      <c r="P593" t="str">
        <f>"3020670292"</f>
        <v>3020670292</v>
      </c>
      <c r="R593" t="str">
        <f>"00030206702927"</f>
        <v>00030206702927</v>
      </c>
      <c r="S593" s="1">
        <v>40435</v>
      </c>
      <c r="T593" s="1">
        <v>40435</v>
      </c>
      <c r="U593" t="str">
        <f>"3020670292"</f>
        <v>3020670292</v>
      </c>
      <c r="V593" t="str">
        <f t="shared" si="145"/>
        <v>1510</v>
      </c>
      <c r="W593" t="str">
        <f>"20"</f>
        <v>20</v>
      </c>
      <c r="X593" t="s">
        <v>75</v>
      </c>
      <c r="Y593" t="s">
        <v>76</v>
      </c>
      <c r="Z593" t="s">
        <v>254</v>
      </c>
      <c r="AA593" t="s">
        <v>255</v>
      </c>
      <c r="AB593" t="s">
        <v>80</v>
      </c>
      <c r="AD593" t="s">
        <v>80</v>
      </c>
      <c r="AE593" t="s">
        <v>81</v>
      </c>
      <c r="AF593" t="s">
        <v>82</v>
      </c>
      <c r="AG593" t="s">
        <v>83</v>
      </c>
      <c r="AH593" t="s">
        <v>84</v>
      </c>
      <c r="AI593" t="str">
        <f t="shared" si="143"/>
        <v>01</v>
      </c>
      <c r="AJ593" t="str">
        <f t="shared" si="144"/>
        <v>1</v>
      </c>
      <c r="AK593" t="s">
        <v>85</v>
      </c>
      <c r="AL593" t="s">
        <v>86</v>
      </c>
      <c r="AM593" t="s">
        <v>87</v>
      </c>
      <c r="AN593" t="str">
        <f t="shared" si="146"/>
        <v>.9700</v>
      </c>
      <c r="AO593" t="str">
        <f>"7.50"</f>
        <v>7.50</v>
      </c>
      <c r="AP593" t="s">
        <v>88</v>
      </c>
      <c r="AQ593" t="str">
        <f>"7.50"</f>
        <v>7.50</v>
      </c>
      <c r="AR593">
        <v>0</v>
      </c>
      <c r="AS593">
        <v>-1</v>
      </c>
      <c r="AT593">
        <v>-1</v>
      </c>
      <c r="AU593">
        <v>0</v>
      </c>
      <c r="AV593">
        <v>0</v>
      </c>
      <c r="AW593">
        <v>0</v>
      </c>
      <c r="AX593">
        <v>-6.35</v>
      </c>
      <c r="AY593">
        <v>-6.35</v>
      </c>
      <c r="AZ593">
        <v>0</v>
      </c>
    </row>
    <row r="594" spans="1:52">
      <c r="A594" t="s">
        <v>833</v>
      </c>
      <c r="B594" t="s">
        <v>834</v>
      </c>
      <c r="C594" t="s">
        <v>835</v>
      </c>
      <c r="D594" t="s">
        <v>836</v>
      </c>
      <c r="E594" t="s">
        <v>69</v>
      </c>
      <c r="F594" t="s">
        <v>70</v>
      </c>
      <c r="G594" t="s">
        <v>837</v>
      </c>
      <c r="H594" t="s">
        <v>838</v>
      </c>
      <c r="I594" t="str">
        <f t="shared" si="147"/>
        <v>1010</v>
      </c>
      <c r="J594" t="s">
        <v>67</v>
      </c>
      <c r="K594" t="s">
        <v>855</v>
      </c>
      <c r="L594" t="s">
        <v>856</v>
      </c>
      <c r="M594" t="s">
        <v>855</v>
      </c>
      <c r="N594" t="s">
        <v>978</v>
      </c>
      <c r="O594" t="s">
        <v>979</v>
      </c>
      <c r="P594" t="str">
        <f>"3020664702"</f>
        <v>3020664702</v>
      </c>
      <c r="Q594" t="str">
        <f>"050266470"</f>
        <v>050266470</v>
      </c>
      <c r="R594" t="str">
        <f>"00030206647020"</f>
        <v>00030206647020</v>
      </c>
      <c r="S594" s="1">
        <v>37803</v>
      </c>
      <c r="T594" s="1">
        <v>37803</v>
      </c>
      <c r="U594" t="str">
        <f>"3020664702"</f>
        <v>3020664702</v>
      </c>
      <c r="V594" t="str">
        <f t="shared" si="145"/>
        <v>1510</v>
      </c>
      <c r="W594" t="str">
        <f t="shared" ref="W594:W602" si="148">"11"</f>
        <v>11</v>
      </c>
      <c r="X594" t="s">
        <v>75</v>
      </c>
      <c r="Y594" t="s">
        <v>76</v>
      </c>
      <c r="Z594" t="s">
        <v>731</v>
      </c>
      <c r="AA594" t="s">
        <v>732</v>
      </c>
      <c r="AB594" t="s">
        <v>79</v>
      </c>
      <c r="AD594" t="s">
        <v>80</v>
      </c>
      <c r="AE594" t="s">
        <v>81</v>
      </c>
      <c r="AF594" t="s">
        <v>82</v>
      </c>
      <c r="AG594" t="s">
        <v>83</v>
      </c>
      <c r="AH594" t="s">
        <v>84</v>
      </c>
      <c r="AI594" t="str">
        <f t="shared" si="143"/>
        <v>01</v>
      </c>
      <c r="AJ594" t="str">
        <f t="shared" si="144"/>
        <v>1</v>
      </c>
      <c r="AK594" t="s">
        <v>101</v>
      </c>
      <c r="AL594" t="s">
        <v>94</v>
      </c>
      <c r="AM594" t="s">
        <v>95</v>
      </c>
      <c r="AN594" t="str">
        <f t="shared" si="146"/>
        <v>.9700</v>
      </c>
      <c r="AO594" t="str">
        <f>"9.07"</f>
        <v>9.07</v>
      </c>
      <c r="AP594" t="s">
        <v>102</v>
      </c>
      <c r="AQ594" t="str">
        <f>"9.07"</f>
        <v>9.07</v>
      </c>
      <c r="AR594">
        <v>13</v>
      </c>
      <c r="AS594">
        <v>0</v>
      </c>
      <c r="AT594">
        <v>13</v>
      </c>
      <c r="AU594">
        <v>117.91</v>
      </c>
      <c r="AV594">
        <v>13.87</v>
      </c>
      <c r="AW594">
        <v>104.04</v>
      </c>
      <c r="AX594">
        <v>0</v>
      </c>
      <c r="AY594">
        <v>104.04</v>
      </c>
      <c r="AZ594">
        <v>0</v>
      </c>
    </row>
    <row r="595" spans="1:52">
      <c r="A595" t="s">
        <v>833</v>
      </c>
      <c r="B595" t="s">
        <v>834</v>
      </c>
      <c r="C595" t="s">
        <v>835</v>
      </c>
      <c r="D595" t="s">
        <v>836</v>
      </c>
      <c r="E595" t="s">
        <v>69</v>
      </c>
      <c r="F595" t="s">
        <v>70</v>
      </c>
      <c r="G595" t="s">
        <v>837</v>
      </c>
      <c r="H595" t="s">
        <v>838</v>
      </c>
      <c r="I595" t="str">
        <f t="shared" si="147"/>
        <v>1010</v>
      </c>
      <c r="J595" t="s">
        <v>67</v>
      </c>
      <c r="K595" t="s">
        <v>855</v>
      </c>
      <c r="L595" t="s">
        <v>856</v>
      </c>
      <c r="M595" t="s">
        <v>855</v>
      </c>
      <c r="N595" t="s">
        <v>980</v>
      </c>
      <c r="O595" t="s">
        <v>980</v>
      </c>
      <c r="P595" t="str">
        <f>"3020669402"</f>
        <v>3020669402</v>
      </c>
      <c r="R595" t="str">
        <f>"00030206694024"</f>
        <v>00030206694024</v>
      </c>
      <c r="S595" s="1">
        <v>39847</v>
      </c>
      <c r="T595" s="1">
        <v>39833</v>
      </c>
      <c r="U595" t="str">
        <f>"3020669402"</f>
        <v>3020669402</v>
      </c>
      <c r="V595" t="str">
        <f t="shared" si="145"/>
        <v>1510</v>
      </c>
      <c r="W595" t="str">
        <f t="shared" si="148"/>
        <v>11</v>
      </c>
      <c r="X595" t="s">
        <v>75</v>
      </c>
      <c r="Y595" t="s">
        <v>76</v>
      </c>
      <c r="Z595" t="s">
        <v>91</v>
      </c>
      <c r="AA595" t="s">
        <v>92</v>
      </c>
      <c r="AB595" t="s">
        <v>79</v>
      </c>
      <c r="AD595" t="s">
        <v>80</v>
      </c>
      <c r="AE595" t="s">
        <v>81</v>
      </c>
      <c r="AF595" t="s">
        <v>82</v>
      </c>
      <c r="AG595" t="s">
        <v>83</v>
      </c>
      <c r="AH595" t="s">
        <v>84</v>
      </c>
      <c r="AI595" t="str">
        <f t="shared" si="143"/>
        <v>01</v>
      </c>
      <c r="AJ595" t="str">
        <f t="shared" si="144"/>
        <v>1</v>
      </c>
      <c r="AK595" t="s">
        <v>118</v>
      </c>
      <c r="AL595" t="s">
        <v>94</v>
      </c>
      <c r="AM595" t="s">
        <v>95</v>
      </c>
      <c r="AN595" t="str">
        <f t="shared" si="146"/>
        <v>.9700</v>
      </c>
      <c r="AO595" t="str">
        <f>"10.32"</f>
        <v>10.32</v>
      </c>
      <c r="AP595" t="s">
        <v>119</v>
      </c>
      <c r="AQ595" t="str">
        <f>"10.32"</f>
        <v>10.32</v>
      </c>
      <c r="AR595">
        <v>5</v>
      </c>
      <c r="AS595">
        <v>0</v>
      </c>
      <c r="AT595">
        <v>5</v>
      </c>
      <c r="AU595">
        <v>51.6</v>
      </c>
      <c r="AV595">
        <v>4.8600000000000003</v>
      </c>
      <c r="AW595">
        <v>46.74</v>
      </c>
      <c r="AX595">
        <v>0</v>
      </c>
      <c r="AY595">
        <v>46.74</v>
      </c>
      <c r="AZ595">
        <v>0</v>
      </c>
    </row>
    <row r="596" spans="1:52">
      <c r="A596" t="s">
        <v>833</v>
      </c>
      <c r="B596" t="s">
        <v>834</v>
      </c>
      <c r="C596" t="s">
        <v>835</v>
      </c>
      <c r="D596" t="s">
        <v>836</v>
      </c>
      <c r="E596" t="s">
        <v>69</v>
      </c>
      <c r="F596" t="s">
        <v>70</v>
      </c>
      <c r="G596" t="s">
        <v>837</v>
      </c>
      <c r="H596" t="s">
        <v>838</v>
      </c>
      <c r="I596" t="str">
        <f t="shared" si="147"/>
        <v>1010</v>
      </c>
      <c r="J596" t="s">
        <v>67</v>
      </c>
      <c r="K596" t="s">
        <v>855</v>
      </c>
      <c r="L596" t="s">
        <v>856</v>
      </c>
      <c r="M596" t="s">
        <v>855</v>
      </c>
      <c r="N596" t="s">
        <v>981</v>
      </c>
      <c r="O596" t="s">
        <v>300</v>
      </c>
      <c r="P596" t="str">
        <f>"3020670962"</f>
        <v>3020670962</v>
      </c>
      <c r="R596" t="str">
        <f>"00030206709629"</f>
        <v>00030206709629</v>
      </c>
      <c r="S596" s="1">
        <v>40778</v>
      </c>
      <c r="T596" s="1">
        <v>40778</v>
      </c>
      <c r="U596" t="str">
        <f>"3020670962"</f>
        <v>3020670962</v>
      </c>
      <c r="V596" t="str">
        <f t="shared" si="145"/>
        <v>1510</v>
      </c>
      <c r="W596" t="str">
        <f t="shared" si="148"/>
        <v>11</v>
      </c>
      <c r="X596" t="s">
        <v>75</v>
      </c>
      <c r="Y596" t="s">
        <v>76</v>
      </c>
      <c r="Z596" t="s">
        <v>169</v>
      </c>
      <c r="AA596" t="s">
        <v>170</v>
      </c>
      <c r="AB596" t="s">
        <v>79</v>
      </c>
      <c r="AD596" t="s">
        <v>80</v>
      </c>
      <c r="AE596" t="s">
        <v>81</v>
      </c>
      <c r="AF596" t="s">
        <v>82</v>
      </c>
      <c r="AG596" t="s">
        <v>83</v>
      </c>
      <c r="AH596" t="s">
        <v>84</v>
      </c>
      <c r="AI596" t="str">
        <f t="shared" si="143"/>
        <v>01</v>
      </c>
      <c r="AJ596" t="str">
        <f t="shared" si="144"/>
        <v>1</v>
      </c>
      <c r="AK596" t="s">
        <v>85</v>
      </c>
      <c r="AL596" t="s">
        <v>86</v>
      </c>
      <c r="AM596" t="s">
        <v>87</v>
      </c>
      <c r="AN596" t="str">
        <f t="shared" si="146"/>
        <v>.9700</v>
      </c>
      <c r="AO596" t="str">
        <f>"7.50"</f>
        <v>7.50</v>
      </c>
      <c r="AP596" t="s">
        <v>88</v>
      </c>
      <c r="AQ596" t="str">
        <f>"7.50"</f>
        <v>7.50</v>
      </c>
      <c r="AR596">
        <v>128</v>
      </c>
      <c r="AS596">
        <v>-1</v>
      </c>
      <c r="AT596">
        <v>127</v>
      </c>
      <c r="AU596">
        <v>960</v>
      </c>
      <c r="AV596">
        <v>114.26</v>
      </c>
      <c r="AW596">
        <v>845.74</v>
      </c>
      <c r="AX596">
        <v>-6.71</v>
      </c>
      <c r="AY596">
        <v>839.03</v>
      </c>
      <c r="AZ596">
        <v>0</v>
      </c>
    </row>
    <row r="597" spans="1:52">
      <c r="A597" t="s">
        <v>833</v>
      </c>
      <c r="B597" t="s">
        <v>834</v>
      </c>
      <c r="C597" t="s">
        <v>835</v>
      </c>
      <c r="D597" t="s">
        <v>836</v>
      </c>
      <c r="E597" t="s">
        <v>69</v>
      </c>
      <c r="F597" t="s">
        <v>70</v>
      </c>
      <c r="G597" t="s">
        <v>837</v>
      </c>
      <c r="H597" t="s">
        <v>838</v>
      </c>
      <c r="I597" t="str">
        <f t="shared" si="147"/>
        <v>1010</v>
      </c>
      <c r="J597" t="s">
        <v>67</v>
      </c>
      <c r="K597" t="s">
        <v>855</v>
      </c>
      <c r="L597" t="s">
        <v>856</v>
      </c>
      <c r="M597" t="s">
        <v>855</v>
      </c>
      <c r="N597" t="s">
        <v>982</v>
      </c>
      <c r="O597" t="s">
        <v>983</v>
      </c>
      <c r="P597" t="str">
        <f>"3020669202"</f>
        <v>3020669202</v>
      </c>
      <c r="R597" t="str">
        <f>"00030206692020"</f>
        <v>00030206692020</v>
      </c>
      <c r="S597" s="1">
        <v>39742</v>
      </c>
      <c r="T597" s="1">
        <v>39742</v>
      </c>
      <c r="U597" t="str">
        <f>"3020669202"</f>
        <v>3020669202</v>
      </c>
      <c r="V597" t="str">
        <f t="shared" si="145"/>
        <v>1510</v>
      </c>
      <c r="W597" t="str">
        <f t="shared" si="148"/>
        <v>11</v>
      </c>
      <c r="X597" t="s">
        <v>75</v>
      </c>
      <c r="Y597" t="s">
        <v>76</v>
      </c>
      <c r="Z597" t="s">
        <v>105</v>
      </c>
      <c r="AA597" t="s">
        <v>106</v>
      </c>
      <c r="AB597" t="s">
        <v>79</v>
      </c>
      <c r="AD597" t="s">
        <v>80</v>
      </c>
      <c r="AE597" t="s">
        <v>81</v>
      </c>
      <c r="AF597" t="s">
        <v>82</v>
      </c>
      <c r="AG597" t="s">
        <v>83</v>
      </c>
      <c r="AH597" t="s">
        <v>84</v>
      </c>
      <c r="AI597" t="str">
        <f t="shared" si="143"/>
        <v>01</v>
      </c>
      <c r="AJ597" t="str">
        <f t="shared" si="144"/>
        <v>1</v>
      </c>
      <c r="AK597" t="s">
        <v>101</v>
      </c>
      <c r="AL597" t="s">
        <v>94</v>
      </c>
      <c r="AM597" t="s">
        <v>95</v>
      </c>
      <c r="AN597" t="str">
        <f t="shared" si="146"/>
        <v>.9700</v>
      </c>
      <c r="AO597" t="str">
        <f>"9.07"</f>
        <v>9.07</v>
      </c>
      <c r="AP597" t="s">
        <v>102</v>
      </c>
      <c r="AQ597" t="str">
        <f>"9.07"</f>
        <v>9.07</v>
      </c>
      <c r="AR597">
        <v>17</v>
      </c>
      <c r="AS597">
        <v>0</v>
      </c>
      <c r="AT597">
        <v>17</v>
      </c>
      <c r="AU597">
        <v>154.16</v>
      </c>
      <c r="AV597">
        <v>17.41</v>
      </c>
      <c r="AW597">
        <v>136.75</v>
      </c>
      <c r="AX597">
        <v>0</v>
      </c>
      <c r="AY597">
        <v>136.75</v>
      </c>
      <c r="AZ597">
        <v>0</v>
      </c>
    </row>
    <row r="598" spans="1:52">
      <c r="A598" t="s">
        <v>833</v>
      </c>
      <c r="B598" t="s">
        <v>834</v>
      </c>
      <c r="C598" t="s">
        <v>835</v>
      </c>
      <c r="D598" t="s">
        <v>836</v>
      </c>
      <c r="E598" t="s">
        <v>69</v>
      </c>
      <c r="F598" t="s">
        <v>70</v>
      </c>
      <c r="G598" t="s">
        <v>837</v>
      </c>
      <c r="H598" t="s">
        <v>838</v>
      </c>
      <c r="I598" t="str">
        <f t="shared" si="147"/>
        <v>1010</v>
      </c>
      <c r="J598" t="s">
        <v>67</v>
      </c>
      <c r="K598" t="s">
        <v>855</v>
      </c>
      <c r="L598" t="s">
        <v>856</v>
      </c>
      <c r="M598" t="s">
        <v>855</v>
      </c>
      <c r="N598" t="s">
        <v>984</v>
      </c>
      <c r="O598" t="s">
        <v>921</v>
      </c>
      <c r="P598" t="str">
        <f>"3020662742"</f>
        <v>3020662742</v>
      </c>
      <c r="Q598" t="str">
        <f>"050266274"</f>
        <v>050266274</v>
      </c>
      <c r="R598" t="str">
        <f>"00030206627428"</f>
        <v>00030206627428</v>
      </c>
      <c r="S598" s="1">
        <v>37159</v>
      </c>
      <c r="T598" s="1">
        <v>37159</v>
      </c>
      <c r="U598" t="str">
        <f>"3020662742"</f>
        <v>3020662742</v>
      </c>
      <c r="V598" t="str">
        <f t="shared" si="145"/>
        <v>1510</v>
      </c>
      <c r="W598" t="str">
        <f t="shared" si="148"/>
        <v>11</v>
      </c>
      <c r="X598" t="s">
        <v>75</v>
      </c>
      <c r="Y598" t="s">
        <v>76</v>
      </c>
      <c r="Z598" t="s">
        <v>105</v>
      </c>
      <c r="AA598" t="s">
        <v>106</v>
      </c>
      <c r="AB598" t="s">
        <v>79</v>
      </c>
      <c r="AD598" t="s">
        <v>80</v>
      </c>
      <c r="AE598" t="s">
        <v>81</v>
      </c>
      <c r="AF598" t="s">
        <v>82</v>
      </c>
      <c r="AG598" t="s">
        <v>83</v>
      </c>
      <c r="AH598" t="s">
        <v>84</v>
      </c>
      <c r="AI598" t="str">
        <f t="shared" si="143"/>
        <v>01</v>
      </c>
      <c r="AJ598" t="str">
        <f t="shared" si="144"/>
        <v>1</v>
      </c>
      <c r="AK598" t="s">
        <v>107</v>
      </c>
      <c r="AL598" t="s">
        <v>94</v>
      </c>
      <c r="AM598" t="s">
        <v>95</v>
      </c>
      <c r="AN598" t="str">
        <f t="shared" si="146"/>
        <v>.9700</v>
      </c>
      <c r="AO598" t="str">
        <f>"10.78"</f>
        <v>10.78</v>
      </c>
      <c r="AP598" t="s">
        <v>108</v>
      </c>
      <c r="AQ598" t="str">
        <f>"10.78"</f>
        <v>10.78</v>
      </c>
      <c r="AR598">
        <v>31</v>
      </c>
      <c r="AS598">
        <v>0</v>
      </c>
      <c r="AT598">
        <v>31</v>
      </c>
      <c r="AU598">
        <v>334.26</v>
      </c>
      <c r="AV598">
        <v>36.880000000000003</v>
      </c>
      <c r="AW598">
        <v>297.38</v>
      </c>
      <c r="AX598">
        <v>0</v>
      </c>
      <c r="AY598">
        <v>297.38</v>
      </c>
      <c r="AZ598">
        <v>0</v>
      </c>
    </row>
    <row r="599" spans="1:52">
      <c r="A599" t="s">
        <v>833</v>
      </c>
      <c r="B599" t="s">
        <v>834</v>
      </c>
      <c r="C599" t="s">
        <v>835</v>
      </c>
      <c r="D599" t="s">
        <v>836</v>
      </c>
      <c r="E599" t="s">
        <v>69</v>
      </c>
      <c r="F599" t="s">
        <v>70</v>
      </c>
      <c r="G599" t="s">
        <v>837</v>
      </c>
      <c r="H599" t="s">
        <v>838</v>
      </c>
      <c r="I599" t="str">
        <f t="shared" si="147"/>
        <v>1010</v>
      </c>
      <c r="J599" t="s">
        <v>67</v>
      </c>
      <c r="K599" t="s">
        <v>855</v>
      </c>
      <c r="L599" t="s">
        <v>856</v>
      </c>
      <c r="M599" t="s">
        <v>855</v>
      </c>
      <c r="N599" t="s">
        <v>985</v>
      </c>
      <c r="O599" t="s">
        <v>986</v>
      </c>
      <c r="P599" t="str">
        <f>"3020624012"</f>
        <v>3020624012</v>
      </c>
      <c r="R599" t="str">
        <f>"00030206240122"</f>
        <v>00030206240122</v>
      </c>
      <c r="S599" s="1">
        <v>40428</v>
      </c>
      <c r="T599" s="1">
        <v>40428</v>
      </c>
      <c r="U599" t="str">
        <f>"3020624012"</f>
        <v>3020624012</v>
      </c>
      <c r="V599" t="str">
        <f t="shared" si="145"/>
        <v>1510</v>
      </c>
      <c r="W599" t="str">
        <f t="shared" si="148"/>
        <v>11</v>
      </c>
      <c r="X599" t="s">
        <v>75</v>
      </c>
      <c r="Y599" t="s">
        <v>76</v>
      </c>
      <c r="Z599" t="s">
        <v>987</v>
      </c>
      <c r="AA599" t="s">
        <v>988</v>
      </c>
      <c r="AB599" t="s">
        <v>79</v>
      </c>
      <c r="AD599" t="s">
        <v>80</v>
      </c>
      <c r="AE599" t="s">
        <v>81</v>
      </c>
      <c r="AF599" t="s">
        <v>82</v>
      </c>
      <c r="AG599" t="s">
        <v>83</v>
      </c>
      <c r="AH599" t="s">
        <v>84</v>
      </c>
      <c r="AI599" t="str">
        <f t="shared" ref="AI599:AI630" si="149">"01"</f>
        <v>01</v>
      </c>
      <c r="AJ599" t="str">
        <f t="shared" ref="AJ599:AJ630" si="150">"1"</f>
        <v>1</v>
      </c>
      <c r="AK599" t="s">
        <v>98</v>
      </c>
      <c r="AL599" t="s">
        <v>94</v>
      </c>
      <c r="AM599" t="s">
        <v>95</v>
      </c>
      <c r="AN599" t="str">
        <f t="shared" si="146"/>
        <v>.9700</v>
      </c>
      <c r="AO599" t="str">
        <f>"8.00"</f>
        <v>8.00</v>
      </c>
      <c r="AP599" t="s">
        <v>99</v>
      </c>
      <c r="AQ599" t="str">
        <f>"8.00"</f>
        <v>8.00</v>
      </c>
      <c r="AR599">
        <v>3</v>
      </c>
      <c r="AS599">
        <v>-1</v>
      </c>
      <c r="AT599">
        <v>2</v>
      </c>
      <c r="AU599">
        <v>24</v>
      </c>
      <c r="AV599">
        <v>2.88</v>
      </c>
      <c r="AW599">
        <v>21.12</v>
      </c>
      <c r="AX599">
        <v>-7.03</v>
      </c>
      <c r="AY599">
        <v>14.09</v>
      </c>
      <c r="AZ599">
        <v>0</v>
      </c>
    </row>
    <row r="600" spans="1:52">
      <c r="A600" t="s">
        <v>833</v>
      </c>
      <c r="B600" t="s">
        <v>834</v>
      </c>
      <c r="C600" t="s">
        <v>835</v>
      </c>
      <c r="D600" t="s">
        <v>836</v>
      </c>
      <c r="E600" t="s">
        <v>69</v>
      </c>
      <c r="F600" t="s">
        <v>70</v>
      </c>
      <c r="G600" t="s">
        <v>837</v>
      </c>
      <c r="H600" t="s">
        <v>838</v>
      </c>
      <c r="I600" t="str">
        <f t="shared" si="147"/>
        <v>1010</v>
      </c>
      <c r="J600" t="s">
        <v>67</v>
      </c>
      <c r="K600" t="s">
        <v>855</v>
      </c>
      <c r="L600" t="s">
        <v>856</v>
      </c>
      <c r="M600" t="s">
        <v>855</v>
      </c>
      <c r="N600" t="s">
        <v>989</v>
      </c>
      <c r="O600" t="s">
        <v>149</v>
      </c>
      <c r="P600" t="str">
        <f>"3020668962"</f>
        <v>3020668962</v>
      </c>
      <c r="R600" t="str">
        <f>"00030206689624"</f>
        <v>00030206689624</v>
      </c>
      <c r="S600" s="1">
        <v>39623</v>
      </c>
      <c r="T600" s="1">
        <v>39623</v>
      </c>
      <c r="U600" t="str">
        <f>"3020668962"</f>
        <v>3020668962</v>
      </c>
      <c r="V600" t="str">
        <f t="shared" si="145"/>
        <v>1510</v>
      </c>
      <c r="W600" t="str">
        <f t="shared" si="148"/>
        <v>11</v>
      </c>
      <c r="X600" t="s">
        <v>376</v>
      </c>
      <c r="Y600" t="s">
        <v>76</v>
      </c>
      <c r="Z600" t="s">
        <v>91</v>
      </c>
      <c r="AA600" t="s">
        <v>92</v>
      </c>
      <c r="AB600" t="s">
        <v>79</v>
      </c>
      <c r="AD600" t="s">
        <v>80</v>
      </c>
      <c r="AE600" t="s">
        <v>81</v>
      </c>
      <c r="AF600" t="s">
        <v>82</v>
      </c>
      <c r="AG600" t="s">
        <v>83</v>
      </c>
      <c r="AH600" t="s">
        <v>84</v>
      </c>
      <c r="AI600" t="str">
        <f t="shared" si="149"/>
        <v>01</v>
      </c>
      <c r="AJ600" t="str">
        <f t="shared" si="150"/>
        <v>1</v>
      </c>
      <c r="AK600" t="s">
        <v>101</v>
      </c>
      <c r="AL600" t="s">
        <v>94</v>
      </c>
      <c r="AM600" t="s">
        <v>95</v>
      </c>
      <c r="AN600" t="str">
        <f t="shared" si="146"/>
        <v>.9700</v>
      </c>
      <c r="AO600" t="str">
        <f>"9.07"</f>
        <v>9.07</v>
      </c>
      <c r="AP600" t="s">
        <v>102</v>
      </c>
      <c r="AQ600" t="str">
        <f>"9.07"</f>
        <v>9.07</v>
      </c>
      <c r="AR600">
        <v>0</v>
      </c>
      <c r="AS600">
        <v>-1</v>
      </c>
      <c r="AT600">
        <v>-1</v>
      </c>
      <c r="AU600">
        <v>0</v>
      </c>
      <c r="AV600">
        <v>0</v>
      </c>
      <c r="AW600">
        <v>0</v>
      </c>
      <c r="AX600">
        <v>-8.3699999999999992</v>
      </c>
      <c r="AY600">
        <v>-8.3699999999999992</v>
      </c>
      <c r="AZ600">
        <v>0</v>
      </c>
    </row>
    <row r="601" spans="1:52">
      <c r="A601" t="s">
        <v>833</v>
      </c>
      <c r="B601" t="s">
        <v>834</v>
      </c>
      <c r="C601" t="s">
        <v>835</v>
      </c>
      <c r="D601" t="s">
        <v>836</v>
      </c>
      <c r="E601" t="s">
        <v>69</v>
      </c>
      <c r="F601" t="s">
        <v>70</v>
      </c>
      <c r="G601" t="s">
        <v>837</v>
      </c>
      <c r="H601" t="s">
        <v>838</v>
      </c>
      <c r="I601" t="str">
        <f t="shared" si="147"/>
        <v>1010</v>
      </c>
      <c r="J601" t="s">
        <v>67</v>
      </c>
      <c r="K601" t="s">
        <v>855</v>
      </c>
      <c r="L601" t="s">
        <v>856</v>
      </c>
      <c r="M601" t="s">
        <v>855</v>
      </c>
      <c r="N601" t="s">
        <v>990</v>
      </c>
      <c r="O601" t="s">
        <v>991</v>
      </c>
      <c r="P601" t="str">
        <f>"3020667082"</f>
        <v>3020667082</v>
      </c>
      <c r="R601" t="str">
        <f>"00030206670820"</f>
        <v>00030206670820</v>
      </c>
      <c r="S601" s="1">
        <v>38727</v>
      </c>
      <c r="T601" s="1">
        <v>38727</v>
      </c>
      <c r="U601" t="str">
        <f>"3020667082"</f>
        <v>3020667082</v>
      </c>
      <c r="V601" t="str">
        <f t="shared" si="145"/>
        <v>1510</v>
      </c>
      <c r="W601" t="str">
        <f t="shared" si="148"/>
        <v>11</v>
      </c>
      <c r="X601" t="s">
        <v>75</v>
      </c>
      <c r="Y601" t="s">
        <v>76</v>
      </c>
      <c r="Z601" t="s">
        <v>121</v>
      </c>
      <c r="AA601" t="s">
        <v>122</v>
      </c>
      <c r="AB601" t="s">
        <v>79</v>
      </c>
      <c r="AD601" t="s">
        <v>80</v>
      </c>
      <c r="AE601" t="s">
        <v>81</v>
      </c>
      <c r="AF601" t="s">
        <v>82</v>
      </c>
      <c r="AG601" t="s">
        <v>83</v>
      </c>
      <c r="AH601" t="s">
        <v>84</v>
      </c>
      <c r="AI601" t="str">
        <f t="shared" si="149"/>
        <v>01</v>
      </c>
      <c r="AJ601" t="str">
        <f t="shared" si="150"/>
        <v>1</v>
      </c>
      <c r="AK601" t="s">
        <v>101</v>
      </c>
      <c r="AL601" t="s">
        <v>94</v>
      </c>
      <c r="AM601" t="s">
        <v>95</v>
      </c>
      <c r="AN601" t="str">
        <f t="shared" si="146"/>
        <v>.9700</v>
      </c>
      <c r="AO601" t="str">
        <f>"9.07"</f>
        <v>9.07</v>
      </c>
      <c r="AP601" t="s">
        <v>102</v>
      </c>
      <c r="AQ601" t="str">
        <f>"9.07"</f>
        <v>9.07</v>
      </c>
      <c r="AR601">
        <v>1</v>
      </c>
      <c r="AS601">
        <v>-13</v>
      </c>
      <c r="AT601">
        <v>-12</v>
      </c>
      <c r="AU601">
        <v>9.07</v>
      </c>
      <c r="AV601">
        <v>1.0900000000000001</v>
      </c>
      <c r="AW601">
        <v>7.98</v>
      </c>
      <c r="AX601">
        <v>-108.25</v>
      </c>
      <c r="AY601">
        <v>-100.27</v>
      </c>
      <c r="AZ601">
        <v>0</v>
      </c>
    </row>
    <row r="602" spans="1:52">
      <c r="A602" t="s">
        <v>833</v>
      </c>
      <c r="B602" t="s">
        <v>834</v>
      </c>
      <c r="C602" t="s">
        <v>835</v>
      </c>
      <c r="D602" t="s">
        <v>836</v>
      </c>
      <c r="E602" t="s">
        <v>69</v>
      </c>
      <c r="F602" t="s">
        <v>70</v>
      </c>
      <c r="G602" t="s">
        <v>837</v>
      </c>
      <c r="H602" t="s">
        <v>838</v>
      </c>
      <c r="I602" t="str">
        <f t="shared" si="147"/>
        <v>1010</v>
      </c>
      <c r="J602" t="s">
        <v>67</v>
      </c>
      <c r="K602" t="s">
        <v>855</v>
      </c>
      <c r="L602" t="s">
        <v>856</v>
      </c>
      <c r="M602" t="s">
        <v>855</v>
      </c>
      <c r="N602" t="s">
        <v>992</v>
      </c>
      <c r="O602" t="s">
        <v>908</v>
      </c>
      <c r="P602" t="str">
        <f>"3020670272"</f>
        <v>3020670272</v>
      </c>
      <c r="R602" t="str">
        <f>"00030206702729"</f>
        <v>00030206702729</v>
      </c>
      <c r="S602" s="1">
        <v>40414</v>
      </c>
      <c r="T602" s="1">
        <v>40414</v>
      </c>
      <c r="U602" t="str">
        <f>"3020670272"</f>
        <v>3020670272</v>
      </c>
      <c r="V602" t="str">
        <f t="shared" si="145"/>
        <v>1510</v>
      </c>
      <c r="W602" t="str">
        <f t="shared" si="148"/>
        <v>11</v>
      </c>
      <c r="X602" t="s">
        <v>75</v>
      </c>
      <c r="Y602" t="s">
        <v>76</v>
      </c>
      <c r="Z602" t="s">
        <v>254</v>
      </c>
      <c r="AA602" t="s">
        <v>255</v>
      </c>
      <c r="AB602" t="s">
        <v>79</v>
      </c>
      <c r="AD602" t="s">
        <v>80</v>
      </c>
      <c r="AE602" t="s">
        <v>81</v>
      </c>
      <c r="AF602" t="s">
        <v>82</v>
      </c>
      <c r="AG602" t="s">
        <v>83</v>
      </c>
      <c r="AH602" t="s">
        <v>84</v>
      </c>
      <c r="AI602" t="str">
        <f t="shared" si="149"/>
        <v>01</v>
      </c>
      <c r="AJ602" t="str">
        <f t="shared" si="150"/>
        <v>1</v>
      </c>
      <c r="AK602" t="s">
        <v>85</v>
      </c>
      <c r="AL602" t="s">
        <v>86</v>
      </c>
      <c r="AM602" t="s">
        <v>87</v>
      </c>
      <c r="AN602" t="str">
        <f t="shared" si="146"/>
        <v>.9700</v>
      </c>
      <c r="AO602" t="str">
        <f>"7.50"</f>
        <v>7.50</v>
      </c>
      <c r="AP602" t="s">
        <v>88</v>
      </c>
      <c r="AQ602" t="str">
        <f>"7.50"</f>
        <v>7.50</v>
      </c>
      <c r="AR602">
        <v>14</v>
      </c>
      <c r="AS602">
        <v>0</v>
      </c>
      <c r="AT602">
        <v>14</v>
      </c>
      <c r="AU602">
        <v>103</v>
      </c>
      <c r="AV602">
        <v>10.8</v>
      </c>
      <c r="AW602">
        <v>92.2</v>
      </c>
      <c r="AX602">
        <v>0</v>
      </c>
      <c r="AY602">
        <v>92.2</v>
      </c>
      <c r="AZ602">
        <v>0</v>
      </c>
    </row>
    <row r="603" spans="1:52">
      <c r="A603" t="s">
        <v>833</v>
      </c>
      <c r="B603" t="s">
        <v>834</v>
      </c>
      <c r="C603" t="s">
        <v>835</v>
      </c>
      <c r="D603" t="s">
        <v>836</v>
      </c>
      <c r="E603" t="s">
        <v>69</v>
      </c>
      <c r="F603" t="s">
        <v>70</v>
      </c>
      <c r="G603" t="s">
        <v>837</v>
      </c>
      <c r="H603" t="s">
        <v>838</v>
      </c>
      <c r="I603" t="str">
        <f t="shared" si="147"/>
        <v>1010</v>
      </c>
      <c r="J603" t="s">
        <v>67</v>
      </c>
      <c r="K603" t="s">
        <v>855</v>
      </c>
      <c r="L603" t="s">
        <v>856</v>
      </c>
      <c r="M603" t="s">
        <v>855</v>
      </c>
      <c r="N603" t="s">
        <v>992</v>
      </c>
      <c r="O603" t="s">
        <v>908</v>
      </c>
      <c r="P603" t="str">
        <f>"3020670272"</f>
        <v>3020670272</v>
      </c>
      <c r="R603" t="str">
        <f>"00030206702729"</f>
        <v>00030206702729</v>
      </c>
      <c r="S603" s="1">
        <v>40414</v>
      </c>
      <c r="T603" s="1">
        <v>40414</v>
      </c>
      <c r="U603" t="str">
        <f>"3020670272"</f>
        <v>3020670272</v>
      </c>
      <c r="V603" t="str">
        <f t="shared" si="145"/>
        <v>1510</v>
      </c>
      <c r="W603" t="str">
        <f>"20"</f>
        <v>20</v>
      </c>
      <c r="X603" t="s">
        <v>75</v>
      </c>
      <c r="Y603" t="s">
        <v>76</v>
      </c>
      <c r="Z603" t="s">
        <v>254</v>
      </c>
      <c r="AA603" t="s">
        <v>255</v>
      </c>
      <c r="AB603" t="s">
        <v>80</v>
      </c>
      <c r="AD603" t="s">
        <v>80</v>
      </c>
      <c r="AE603" t="s">
        <v>81</v>
      </c>
      <c r="AF603" t="s">
        <v>82</v>
      </c>
      <c r="AG603" t="s">
        <v>83</v>
      </c>
      <c r="AH603" t="s">
        <v>84</v>
      </c>
      <c r="AI603" t="str">
        <f t="shared" si="149"/>
        <v>01</v>
      </c>
      <c r="AJ603" t="str">
        <f t="shared" si="150"/>
        <v>1</v>
      </c>
      <c r="AK603" t="s">
        <v>85</v>
      </c>
      <c r="AL603" t="s">
        <v>86</v>
      </c>
      <c r="AM603" t="s">
        <v>87</v>
      </c>
      <c r="AN603" t="str">
        <f t="shared" si="146"/>
        <v>.9700</v>
      </c>
      <c r="AO603" t="str">
        <f>"7.50"</f>
        <v>7.50</v>
      </c>
      <c r="AP603" t="s">
        <v>88</v>
      </c>
      <c r="AQ603" t="str">
        <f>"7.50"</f>
        <v>7.50</v>
      </c>
      <c r="AR603">
        <v>10</v>
      </c>
      <c r="AS603">
        <v>0</v>
      </c>
      <c r="AT603">
        <v>10</v>
      </c>
      <c r="AU603">
        <v>69.5</v>
      </c>
      <c r="AV603">
        <v>0</v>
      </c>
      <c r="AW603">
        <v>69.5</v>
      </c>
      <c r="AX603">
        <v>0</v>
      </c>
      <c r="AY603">
        <v>69.5</v>
      </c>
      <c r="AZ603">
        <v>0</v>
      </c>
    </row>
    <row r="604" spans="1:52">
      <c r="A604" t="s">
        <v>833</v>
      </c>
      <c r="B604" t="s">
        <v>834</v>
      </c>
      <c r="C604" t="s">
        <v>835</v>
      </c>
      <c r="D604" t="s">
        <v>836</v>
      </c>
      <c r="E604" t="s">
        <v>69</v>
      </c>
      <c r="F604" t="s">
        <v>70</v>
      </c>
      <c r="G604" t="s">
        <v>837</v>
      </c>
      <c r="H604" t="s">
        <v>838</v>
      </c>
      <c r="I604" t="str">
        <f t="shared" si="147"/>
        <v>1010</v>
      </c>
      <c r="J604" t="s">
        <v>67</v>
      </c>
      <c r="K604" t="s">
        <v>855</v>
      </c>
      <c r="L604" t="s">
        <v>856</v>
      </c>
      <c r="M604" t="s">
        <v>855</v>
      </c>
      <c r="N604" t="s">
        <v>993</v>
      </c>
      <c r="O604" t="s">
        <v>309</v>
      </c>
      <c r="P604" t="str">
        <f>"3020671072"</f>
        <v>3020671072</v>
      </c>
      <c r="R604" t="str">
        <f>"00030206710724"</f>
        <v>00030206710724</v>
      </c>
      <c r="S604" s="1">
        <v>40806</v>
      </c>
      <c r="T604" s="1">
        <v>40806</v>
      </c>
      <c r="U604" t="str">
        <f>"3020671072"</f>
        <v>3020671072</v>
      </c>
      <c r="V604" t="str">
        <f t="shared" si="145"/>
        <v>1510</v>
      </c>
      <c r="W604" t="str">
        <f t="shared" ref="W604:W619" si="151">"11"</f>
        <v>11</v>
      </c>
      <c r="X604" t="s">
        <v>75</v>
      </c>
      <c r="Y604" t="s">
        <v>76</v>
      </c>
      <c r="Z604" t="s">
        <v>126</v>
      </c>
      <c r="AA604" t="s">
        <v>127</v>
      </c>
      <c r="AB604" t="s">
        <v>79</v>
      </c>
      <c r="AD604" t="s">
        <v>80</v>
      </c>
      <c r="AE604" t="s">
        <v>81</v>
      </c>
      <c r="AF604" t="s">
        <v>82</v>
      </c>
      <c r="AG604" t="s">
        <v>83</v>
      </c>
      <c r="AH604" t="s">
        <v>84</v>
      </c>
      <c r="AI604" t="str">
        <f t="shared" si="149"/>
        <v>01</v>
      </c>
      <c r="AJ604" t="str">
        <f t="shared" si="150"/>
        <v>1</v>
      </c>
      <c r="AK604" t="s">
        <v>85</v>
      </c>
      <c r="AL604" t="s">
        <v>86</v>
      </c>
      <c r="AM604" t="s">
        <v>87</v>
      </c>
      <c r="AN604" t="str">
        <f t="shared" si="146"/>
        <v>.9700</v>
      </c>
      <c r="AO604" t="str">
        <f>"7.50"</f>
        <v>7.50</v>
      </c>
      <c r="AP604" t="s">
        <v>88</v>
      </c>
      <c r="AQ604" t="str">
        <f>"7.50"</f>
        <v>7.50</v>
      </c>
      <c r="AR604">
        <v>54</v>
      </c>
      <c r="AS604">
        <v>-1</v>
      </c>
      <c r="AT604">
        <v>53</v>
      </c>
      <c r="AU604">
        <v>404</v>
      </c>
      <c r="AV604">
        <v>45.9</v>
      </c>
      <c r="AW604">
        <v>358.1</v>
      </c>
      <c r="AX604">
        <v>-7.07</v>
      </c>
      <c r="AY604">
        <v>351.03</v>
      </c>
      <c r="AZ604">
        <v>0</v>
      </c>
    </row>
    <row r="605" spans="1:52">
      <c r="A605" t="s">
        <v>833</v>
      </c>
      <c r="B605" t="s">
        <v>834</v>
      </c>
      <c r="C605" t="s">
        <v>835</v>
      </c>
      <c r="D605" t="s">
        <v>836</v>
      </c>
      <c r="E605" t="s">
        <v>69</v>
      </c>
      <c r="F605" t="s">
        <v>70</v>
      </c>
      <c r="G605" t="s">
        <v>837</v>
      </c>
      <c r="H605" t="s">
        <v>838</v>
      </c>
      <c r="I605" t="str">
        <f t="shared" si="147"/>
        <v>1010</v>
      </c>
      <c r="J605" t="s">
        <v>67</v>
      </c>
      <c r="K605" t="s">
        <v>855</v>
      </c>
      <c r="L605" t="s">
        <v>856</v>
      </c>
      <c r="M605" t="s">
        <v>855</v>
      </c>
      <c r="N605" t="s">
        <v>994</v>
      </c>
      <c r="O605" t="s">
        <v>300</v>
      </c>
      <c r="P605" t="str">
        <f>"3020671662"</f>
        <v>3020671662</v>
      </c>
      <c r="R605" t="str">
        <f>"00030206716627"</f>
        <v>00030206716627</v>
      </c>
      <c r="S605" s="1">
        <v>41212</v>
      </c>
      <c r="T605" s="1">
        <v>41212</v>
      </c>
      <c r="U605" t="str">
        <f>"3020671662"</f>
        <v>3020671662</v>
      </c>
      <c r="V605" t="str">
        <f>"1010"</f>
        <v>1010</v>
      </c>
      <c r="W605" t="str">
        <f t="shared" si="151"/>
        <v>11</v>
      </c>
      <c r="X605" t="s">
        <v>75</v>
      </c>
      <c r="Y605" t="s">
        <v>76</v>
      </c>
      <c r="Z605" t="s">
        <v>105</v>
      </c>
      <c r="AA605" t="s">
        <v>106</v>
      </c>
      <c r="AB605" t="s">
        <v>79</v>
      </c>
      <c r="AD605" t="s">
        <v>80</v>
      </c>
      <c r="AE605" t="s">
        <v>81</v>
      </c>
      <c r="AF605" t="s">
        <v>82</v>
      </c>
      <c r="AG605" t="s">
        <v>83</v>
      </c>
      <c r="AH605" t="s">
        <v>84</v>
      </c>
      <c r="AI605" t="str">
        <f t="shared" si="149"/>
        <v>01</v>
      </c>
      <c r="AJ605" t="str">
        <f t="shared" si="150"/>
        <v>1</v>
      </c>
      <c r="AK605" t="s">
        <v>101</v>
      </c>
      <c r="AL605" t="s">
        <v>94</v>
      </c>
      <c r="AM605" t="s">
        <v>95</v>
      </c>
      <c r="AN605" t="str">
        <f t="shared" si="146"/>
        <v>.9700</v>
      </c>
      <c r="AO605" t="str">
        <f>"9.07"</f>
        <v>9.07</v>
      </c>
      <c r="AP605" t="s">
        <v>102</v>
      </c>
      <c r="AQ605" t="str">
        <f>"9.07"</f>
        <v>9.07</v>
      </c>
      <c r="AR605">
        <v>19</v>
      </c>
      <c r="AS605">
        <v>-2</v>
      </c>
      <c r="AT605">
        <v>17</v>
      </c>
      <c r="AU605">
        <v>172.39</v>
      </c>
      <c r="AV605">
        <v>10.38</v>
      </c>
      <c r="AW605">
        <v>162.01</v>
      </c>
      <c r="AX605">
        <v>-16.739999999999998</v>
      </c>
      <c r="AY605">
        <v>145.27000000000001</v>
      </c>
      <c r="AZ605">
        <v>0</v>
      </c>
    </row>
    <row r="606" spans="1:52">
      <c r="A606" t="s">
        <v>833</v>
      </c>
      <c r="B606" t="s">
        <v>834</v>
      </c>
      <c r="C606" t="s">
        <v>835</v>
      </c>
      <c r="D606" t="s">
        <v>836</v>
      </c>
      <c r="E606" t="s">
        <v>69</v>
      </c>
      <c r="F606" t="s">
        <v>70</v>
      </c>
      <c r="G606" t="s">
        <v>837</v>
      </c>
      <c r="H606" t="s">
        <v>838</v>
      </c>
      <c r="I606" t="str">
        <f t="shared" si="147"/>
        <v>1010</v>
      </c>
      <c r="J606" t="s">
        <v>67</v>
      </c>
      <c r="K606" t="s">
        <v>855</v>
      </c>
      <c r="L606" t="s">
        <v>856</v>
      </c>
      <c r="M606" t="s">
        <v>855</v>
      </c>
      <c r="N606" t="s">
        <v>995</v>
      </c>
      <c r="O606" t="s">
        <v>996</v>
      </c>
      <c r="P606" t="str">
        <f>"3020661292"</f>
        <v>3020661292</v>
      </c>
      <c r="Q606" t="str">
        <f>"050266129"</f>
        <v>050266129</v>
      </c>
      <c r="R606" t="str">
        <f>"00030206612929"</f>
        <v>00030206612929</v>
      </c>
      <c r="S606" s="1">
        <v>36683</v>
      </c>
      <c r="T606" s="1">
        <v>36683</v>
      </c>
      <c r="U606" t="str">
        <f>"3020661292"</f>
        <v>3020661292</v>
      </c>
      <c r="V606" t="str">
        <f t="shared" ref="V606:V639" si="152">"1510"</f>
        <v>1510</v>
      </c>
      <c r="W606" t="str">
        <f t="shared" si="151"/>
        <v>11</v>
      </c>
      <c r="X606" t="s">
        <v>75</v>
      </c>
      <c r="Y606" t="s">
        <v>76</v>
      </c>
      <c r="Z606" t="s">
        <v>126</v>
      </c>
      <c r="AA606" t="s">
        <v>127</v>
      </c>
      <c r="AB606" t="s">
        <v>79</v>
      </c>
      <c r="AD606" t="s">
        <v>80</v>
      </c>
      <c r="AE606" t="s">
        <v>81</v>
      </c>
      <c r="AF606" t="s">
        <v>82</v>
      </c>
      <c r="AG606" t="s">
        <v>83</v>
      </c>
      <c r="AH606" t="s">
        <v>84</v>
      </c>
      <c r="AI606" t="str">
        <f t="shared" si="149"/>
        <v>01</v>
      </c>
      <c r="AJ606" t="str">
        <f t="shared" si="150"/>
        <v>1</v>
      </c>
      <c r="AK606" t="s">
        <v>93</v>
      </c>
      <c r="AL606" t="s">
        <v>94</v>
      </c>
      <c r="AM606" t="s">
        <v>95</v>
      </c>
      <c r="AN606" t="str">
        <f t="shared" si="146"/>
        <v>.9700</v>
      </c>
      <c r="AO606" t="str">
        <f>"11.41"</f>
        <v>11.41</v>
      </c>
      <c r="AP606" t="s">
        <v>96</v>
      </c>
      <c r="AQ606" t="str">
        <f>"11.41"</f>
        <v>11.41</v>
      </c>
      <c r="AR606">
        <v>24</v>
      </c>
      <c r="AS606">
        <v>0</v>
      </c>
      <c r="AT606">
        <v>24</v>
      </c>
      <c r="AU606">
        <v>273.83</v>
      </c>
      <c r="AV606">
        <v>27.39</v>
      </c>
      <c r="AW606">
        <v>246.44</v>
      </c>
      <c r="AX606">
        <v>0</v>
      </c>
      <c r="AY606">
        <v>246.44</v>
      </c>
      <c r="AZ606">
        <v>0</v>
      </c>
    </row>
    <row r="607" spans="1:52">
      <c r="A607" t="s">
        <v>833</v>
      </c>
      <c r="B607" t="s">
        <v>834</v>
      </c>
      <c r="C607" t="s">
        <v>835</v>
      </c>
      <c r="D607" t="s">
        <v>836</v>
      </c>
      <c r="E607" t="s">
        <v>69</v>
      </c>
      <c r="F607" t="s">
        <v>70</v>
      </c>
      <c r="G607" t="s">
        <v>837</v>
      </c>
      <c r="H607" t="s">
        <v>838</v>
      </c>
      <c r="I607" t="str">
        <f t="shared" si="147"/>
        <v>1010</v>
      </c>
      <c r="J607" t="s">
        <v>67</v>
      </c>
      <c r="K607" t="s">
        <v>855</v>
      </c>
      <c r="L607" t="s">
        <v>856</v>
      </c>
      <c r="M607" t="s">
        <v>855</v>
      </c>
      <c r="N607" t="s">
        <v>995</v>
      </c>
      <c r="O607" t="s">
        <v>997</v>
      </c>
      <c r="P607" t="str">
        <f>"3020670232"</f>
        <v>3020670232</v>
      </c>
      <c r="R607" t="str">
        <f>"00030206702323"</f>
        <v>00030206702323</v>
      </c>
      <c r="S607" s="1">
        <v>40365</v>
      </c>
      <c r="T607" s="1">
        <v>40365</v>
      </c>
      <c r="U607" t="str">
        <f>"3020670232"</f>
        <v>3020670232</v>
      </c>
      <c r="V607" t="str">
        <f t="shared" si="152"/>
        <v>1510</v>
      </c>
      <c r="W607" t="str">
        <f t="shared" si="151"/>
        <v>11</v>
      </c>
      <c r="X607" t="s">
        <v>75</v>
      </c>
      <c r="Y607" t="s">
        <v>76</v>
      </c>
      <c r="Z607" t="s">
        <v>105</v>
      </c>
      <c r="AA607" t="s">
        <v>106</v>
      </c>
      <c r="AB607" t="s">
        <v>79</v>
      </c>
      <c r="AD607" t="s">
        <v>80</v>
      </c>
      <c r="AE607" t="s">
        <v>81</v>
      </c>
      <c r="AF607" t="s">
        <v>82</v>
      </c>
      <c r="AG607" t="s">
        <v>83</v>
      </c>
      <c r="AH607" t="s">
        <v>84</v>
      </c>
      <c r="AI607" t="str">
        <f t="shared" si="149"/>
        <v>01</v>
      </c>
      <c r="AJ607" t="str">
        <f t="shared" si="150"/>
        <v>1</v>
      </c>
      <c r="AK607" t="s">
        <v>85</v>
      </c>
      <c r="AL607" t="s">
        <v>86</v>
      </c>
      <c r="AM607" t="s">
        <v>87</v>
      </c>
      <c r="AN607" t="str">
        <f t="shared" si="146"/>
        <v>.9700</v>
      </c>
      <c r="AO607" t="str">
        <f>"7.50"</f>
        <v>7.50</v>
      </c>
      <c r="AP607" t="s">
        <v>88</v>
      </c>
      <c r="AQ607" t="str">
        <f>"7.50"</f>
        <v>7.50</v>
      </c>
      <c r="AR607">
        <v>3</v>
      </c>
      <c r="AS607">
        <v>0</v>
      </c>
      <c r="AT607">
        <v>3</v>
      </c>
      <c r="AU607">
        <v>22.5</v>
      </c>
      <c r="AV607">
        <v>2.7</v>
      </c>
      <c r="AW607">
        <v>19.8</v>
      </c>
      <c r="AX607">
        <v>0</v>
      </c>
      <c r="AY607">
        <v>19.8</v>
      </c>
      <c r="AZ607">
        <v>0</v>
      </c>
    </row>
    <row r="608" spans="1:52">
      <c r="A608" t="s">
        <v>833</v>
      </c>
      <c r="B608" t="s">
        <v>834</v>
      </c>
      <c r="C608" t="s">
        <v>835</v>
      </c>
      <c r="D608" t="s">
        <v>836</v>
      </c>
      <c r="E608" t="s">
        <v>69</v>
      </c>
      <c r="F608" t="s">
        <v>70</v>
      </c>
      <c r="G608" t="s">
        <v>837</v>
      </c>
      <c r="H608" t="s">
        <v>838</v>
      </c>
      <c r="I608" t="str">
        <f t="shared" si="147"/>
        <v>1010</v>
      </c>
      <c r="J608" t="s">
        <v>67</v>
      </c>
      <c r="K608" t="s">
        <v>855</v>
      </c>
      <c r="L608" t="s">
        <v>856</v>
      </c>
      <c r="M608" t="s">
        <v>855</v>
      </c>
      <c r="N608" t="s">
        <v>998</v>
      </c>
      <c r="O608" t="s">
        <v>878</v>
      </c>
      <c r="P608" t="str">
        <f>"3020670052"</f>
        <v>3020670052</v>
      </c>
      <c r="R608" t="str">
        <f>"00030206700527"</f>
        <v>00030206700527</v>
      </c>
      <c r="S608" s="1">
        <v>40288</v>
      </c>
      <c r="T608" s="1">
        <v>40288</v>
      </c>
      <c r="U608" t="str">
        <f>"3020670052"</f>
        <v>3020670052</v>
      </c>
      <c r="V608" t="str">
        <f t="shared" si="152"/>
        <v>1510</v>
      </c>
      <c r="W608" t="str">
        <f t="shared" si="151"/>
        <v>11</v>
      </c>
      <c r="X608" t="s">
        <v>75</v>
      </c>
      <c r="Y608" t="s">
        <v>76</v>
      </c>
      <c r="Z608" t="s">
        <v>254</v>
      </c>
      <c r="AA608" t="s">
        <v>255</v>
      </c>
      <c r="AB608" t="s">
        <v>79</v>
      </c>
      <c r="AD608" t="s">
        <v>80</v>
      </c>
      <c r="AE608" t="s">
        <v>81</v>
      </c>
      <c r="AF608" t="s">
        <v>82</v>
      </c>
      <c r="AG608" t="s">
        <v>83</v>
      </c>
      <c r="AH608" t="s">
        <v>84</v>
      </c>
      <c r="AI608" t="str">
        <f t="shared" si="149"/>
        <v>01</v>
      </c>
      <c r="AJ608" t="str">
        <f t="shared" si="150"/>
        <v>1</v>
      </c>
      <c r="AK608" t="s">
        <v>114</v>
      </c>
      <c r="AL608" t="s">
        <v>162</v>
      </c>
      <c r="AM608" t="s">
        <v>87</v>
      </c>
      <c r="AN608" t="str">
        <f t="shared" si="146"/>
        <v>.9700</v>
      </c>
      <c r="AO608" t="str">
        <f>"7.00"</f>
        <v>7.00</v>
      </c>
      <c r="AP608" t="s">
        <v>115</v>
      </c>
      <c r="AQ608" t="str">
        <f>"7.00"</f>
        <v>7.00</v>
      </c>
      <c r="AR608">
        <v>8</v>
      </c>
      <c r="AS608">
        <v>0</v>
      </c>
      <c r="AT608">
        <v>8</v>
      </c>
      <c r="AU608">
        <v>54.51</v>
      </c>
      <c r="AV608">
        <v>3.33</v>
      </c>
      <c r="AW608">
        <v>51.18</v>
      </c>
      <c r="AX608">
        <v>0</v>
      </c>
      <c r="AY608">
        <v>51.18</v>
      </c>
      <c r="AZ608">
        <v>0</v>
      </c>
    </row>
    <row r="609" spans="1:52">
      <c r="A609" t="s">
        <v>833</v>
      </c>
      <c r="B609" t="s">
        <v>834</v>
      </c>
      <c r="C609" t="s">
        <v>835</v>
      </c>
      <c r="D609" t="s">
        <v>836</v>
      </c>
      <c r="E609" t="s">
        <v>69</v>
      </c>
      <c r="F609" t="s">
        <v>70</v>
      </c>
      <c r="G609" t="s">
        <v>837</v>
      </c>
      <c r="H609" t="s">
        <v>838</v>
      </c>
      <c r="I609" t="str">
        <f t="shared" ref="I609:I640" si="153">"1010"</f>
        <v>1010</v>
      </c>
      <c r="J609" t="s">
        <v>67</v>
      </c>
      <c r="K609" t="s">
        <v>855</v>
      </c>
      <c r="L609" t="s">
        <v>856</v>
      </c>
      <c r="M609" t="s">
        <v>855</v>
      </c>
      <c r="N609" t="s">
        <v>999</v>
      </c>
      <c r="O609" t="s">
        <v>1000</v>
      </c>
      <c r="P609" t="str">
        <f>"3020663592"</f>
        <v>3020663592</v>
      </c>
      <c r="Q609" t="str">
        <f>"050266359"</f>
        <v>050266359</v>
      </c>
      <c r="R609" t="str">
        <f>"00030206635928"</f>
        <v>00030206635928</v>
      </c>
      <c r="S609" s="1">
        <v>37460</v>
      </c>
      <c r="T609" s="1">
        <v>37460</v>
      </c>
      <c r="U609" t="str">
        <f>"3020663592"</f>
        <v>3020663592</v>
      </c>
      <c r="V609" t="str">
        <f t="shared" si="152"/>
        <v>1510</v>
      </c>
      <c r="W609" t="str">
        <f t="shared" si="151"/>
        <v>11</v>
      </c>
      <c r="X609" t="s">
        <v>75</v>
      </c>
      <c r="Y609" t="s">
        <v>76</v>
      </c>
      <c r="Z609" t="s">
        <v>77</v>
      </c>
      <c r="AA609" t="s">
        <v>78</v>
      </c>
      <c r="AB609" t="s">
        <v>79</v>
      </c>
      <c r="AD609" t="s">
        <v>80</v>
      </c>
      <c r="AE609" t="s">
        <v>81</v>
      </c>
      <c r="AF609" t="s">
        <v>82</v>
      </c>
      <c r="AG609" t="s">
        <v>83</v>
      </c>
      <c r="AH609" t="s">
        <v>84</v>
      </c>
      <c r="AI609" t="str">
        <f t="shared" si="149"/>
        <v>01</v>
      </c>
      <c r="AJ609" t="str">
        <f t="shared" si="150"/>
        <v>1</v>
      </c>
      <c r="AK609" t="s">
        <v>93</v>
      </c>
      <c r="AL609" t="s">
        <v>94</v>
      </c>
      <c r="AM609" t="s">
        <v>95</v>
      </c>
      <c r="AN609" t="str">
        <f t="shared" si="146"/>
        <v>.9700</v>
      </c>
      <c r="AO609" t="str">
        <f>"11.41"</f>
        <v>11.41</v>
      </c>
      <c r="AP609" t="s">
        <v>96</v>
      </c>
      <c r="AQ609" t="str">
        <f>"11.41"</f>
        <v>11.41</v>
      </c>
      <c r="AR609">
        <v>23</v>
      </c>
      <c r="AS609">
        <v>0</v>
      </c>
      <c r="AT609">
        <v>23</v>
      </c>
      <c r="AU609">
        <v>262.42</v>
      </c>
      <c r="AV609">
        <v>31.32</v>
      </c>
      <c r="AW609">
        <v>231.1</v>
      </c>
      <c r="AX609">
        <v>0</v>
      </c>
      <c r="AY609">
        <v>231.1</v>
      </c>
      <c r="AZ609">
        <v>0</v>
      </c>
    </row>
    <row r="610" spans="1:52">
      <c r="A610" t="s">
        <v>833</v>
      </c>
      <c r="B610" t="s">
        <v>834</v>
      </c>
      <c r="C610" t="s">
        <v>835</v>
      </c>
      <c r="D610" t="s">
        <v>836</v>
      </c>
      <c r="E610" t="s">
        <v>69</v>
      </c>
      <c r="F610" t="s">
        <v>70</v>
      </c>
      <c r="G610" t="s">
        <v>837</v>
      </c>
      <c r="H610" t="s">
        <v>838</v>
      </c>
      <c r="I610" t="str">
        <f t="shared" si="153"/>
        <v>1010</v>
      </c>
      <c r="J610" t="s">
        <v>67</v>
      </c>
      <c r="K610" t="s">
        <v>855</v>
      </c>
      <c r="L610" t="s">
        <v>856</v>
      </c>
      <c r="M610" t="s">
        <v>855</v>
      </c>
      <c r="N610" t="s">
        <v>1001</v>
      </c>
      <c r="O610" t="s">
        <v>1002</v>
      </c>
      <c r="P610" t="str">
        <f>"3020661182"</f>
        <v>3020661182</v>
      </c>
      <c r="Q610" t="str">
        <f>"050266118"</f>
        <v>050266118</v>
      </c>
      <c r="R610" t="str">
        <f>"00030206611823"</f>
        <v>00030206611823</v>
      </c>
      <c r="S610" s="1">
        <v>36655</v>
      </c>
      <c r="T610" s="1">
        <v>36655</v>
      </c>
      <c r="U610" t="str">
        <f>"3020661182"</f>
        <v>3020661182</v>
      </c>
      <c r="V610" t="str">
        <f t="shared" si="152"/>
        <v>1510</v>
      </c>
      <c r="W610" t="str">
        <f t="shared" si="151"/>
        <v>11</v>
      </c>
      <c r="X610" t="s">
        <v>75</v>
      </c>
      <c r="Y610" t="s">
        <v>76</v>
      </c>
      <c r="Z610" t="s">
        <v>105</v>
      </c>
      <c r="AA610" t="s">
        <v>106</v>
      </c>
      <c r="AB610" t="s">
        <v>79</v>
      </c>
      <c r="AD610" t="s">
        <v>80</v>
      </c>
      <c r="AE610" t="s">
        <v>81</v>
      </c>
      <c r="AF610" t="s">
        <v>82</v>
      </c>
      <c r="AG610" t="s">
        <v>83</v>
      </c>
      <c r="AH610" t="s">
        <v>84</v>
      </c>
      <c r="AI610" t="str">
        <f t="shared" si="149"/>
        <v>01</v>
      </c>
      <c r="AJ610" t="str">
        <f t="shared" si="150"/>
        <v>1</v>
      </c>
      <c r="AK610" t="s">
        <v>101</v>
      </c>
      <c r="AL610" t="s">
        <v>94</v>
      </c>
      <c r="AM610" t="s">
        <v>95</v>
      </c>
      <c r="AN610" t="str">
        <f t="shared" si="146"/>
        <v>.9700</v>
      </c>
      <c r="AO610" t="str">
        <f>"9.07"</f>
        <v>9.07</v>
      </c>
      <c r="AP610" t="s">
        <v>102</v>
      </c>
      <c r="AQ610" t="str">
        <f>"9.07"</f>
        <v>9.07</v>
      </c>
      <c r="AR610">
        <v>31</v>
      </c>
      <c r="AS610">
        <v>-1</v>
      </c>
      <c r="AT610">
        <v>30</v>
      </c>
      <c r="AU610">
        <v>281.12</v>
      </c>
      <c r="AV610">
        <v>33.74</v>
      </c>
      <c r="AW610">
        <v>247.38</v>
      </c>
      <c r="AX610">
        <v>-8.67</v>
      </c>
      <c r="AY610">
        <v>238.71</v>
      </c>
      <c r="AZ610">
        <v>0</v>
      </c>
    </row>
    <row r="611" spans="1:52">
      <c r="A611" t="s">
        <v>833</v>
      </c>
      <c r="B611" t="s">
        <v>834</v>
      </c>
      <c r="C611" t="s">
        <v>835</v>
      </c>
      <c r="D611" t="s">
        <v>836</v>
      </c>
      <c r="E611" t="s">
        <v>69</v>
      </c>
      <c r="F611" t="s">
        <v>70</v>
      </c>
      <c r="G611" t="s">
        <v>837</v>
      </c>
      <c r="H611" t="s">
        <v>838</v>
      </c>
      <c r="I611" t="str">
        <f t="shared" si="153"/>
        <v>1010</v>
      </c>
      <c r="J611" t="s">
        <v>67</v>
      </c>
      <c r="K611" t="s">
        <v>855</v>
      </c>
      <c r="L611" t="s">
        <v>856</v>
      </c>
      <c r="M611" t="s">
        <v>855</v>
      </c>
      <c r="N611" t="s">
        <v>1003</v>
      </c>
      <c r="O611" t="s">
        <v>300</v>
      </c>
      <c r="P611" t="str">
        <f>"3020663262"</f>
        <v>3020663262</v>
      </c>
      <c r="Q611" t="str">
        <f>"050266326"</f>
        <v>050266326</v>
      </c>
      <c r="R611" t="str">
        <f>"00030206632620"</f>
        <v>00030206632620</v>
      </c>
      <c r="S611" s="1">
        <v>37341</v>
      </c>
      <c r="T611" s="1">
        <v>37341</v>
      </c>
      <c r="U611" t="str">
        <f>"3020663262"</f>
        <v>3020663262</v>
      </c>
      <c r="V611" t="str">
        <f t="shared" si="152"/>
        <v>1510</v>
      </c>
      <c r="W611" t="str">
        <f t="shared" si="151"/>
        <v>11</v>
      </c>
      <c r="X611" t="s">
        <v>75</v>
      </c>
      <c r="Y611" t="s">
        <v>76</v>
      </c>
      <c r="Z611" t="s">
        <v>282</v>
      </c>
      <c r="AA611" t="s">
        <v>283</v>
      </c>
      <c r="AB611" t="s">
        <v>79</v>
      </c>
      <c r="AD611" t="s">
        <v>80</v>
      </c>
      <c r="AE611" t="s">
        <v>81</v>
      </c>
      <c r="AF611" t="s">
        <v>82</v>
      </c>
      <c r="AG611" t="s">
        <v>83</v>
      </c>
      <c r="AH611" t="s">
        <v>84</v>
      </c>
      <c r="AI611" t="str">
        <f t="shared" si="149"/>
        <v>01</v>
      </c>
      <c r="AJ611" t="str">
        <f t="shared" si="150"/>
        <v>1</v>
      </c>
      <c r="AK611" t="s">
        <v>101</v>
      </c>
      <c r="AL611" t="s">
        <v>94</v>
      </c>
      <c r="AM611" t="s">
        <v>95</v>
      </c>
      <c r="AN611" t="str">
        <f t="shared" si="146"/>
        <v>.9700</v>
      </c>
      <c r="AO611" t="str">
        <f>"9.07"</f>
        <v>9.07</v>
      </c>
      <c r="AP611" t="s">
        <v>102</v>
      </c>
      <c r="AQ611" t="str">
        <f>"9.07"</f>
        <v>9.07</v>
      </c>
      <c r="AR611">
        <v>12</v>
      </c>
      <c r="AS611">
        <v>0</v>
      </c>
      <c r="AT611">
        <v>12</v>
      </c>
      <c r="AU611">
        <v>108.85</v>
      </c>
      <c r="AV611">
        <v>12.84</v>
      </c>
      <c r="AW611">
        <v>96.01</v>
      </c>
      <c r="AX611">
        <v>0</v>
      </c>
      <c r="AY611">
        <v>96.01</v>
      </c>
      <c r="AZ611">
        <v>0</v>
      </c>
    </row>
    <row r="612" spans="1:52">
      <c r="A612" t="s">
        <v>833</v>
      </c>
      <c r="B612" t="s">
        <v>834</v>
      </c>
      <c r="C612" t="s">
        <v>835</v>
      </c>
      <c r="D612" t="s">
        <v>836</v>
      </c>
      <c r="E612" t="s">
        <v>69</v>
      </c>
      <c r="F612" t="s">
        <v>70</v>
      </c>
      <c r="G612" t="s">
        <v>837</v>
      </c>
      <c r="H612" t="s">
        <v>838</v>
      </c>
      <c r="I612" t="str">
        <f t="shared" si="153"/>
        <v>1010</v>
      </c>
      <c r="J612" t="s">
        <v>67</v>
      </c>
      <c r="K612" t="s">
        <v>855</v>
      </c>
      <c r="L612" t="s">
        <v>856</v>
      </c>
      <c r="M612" t="s">
        <v>855</v>
      </c>
      <c r="N612" t="s">
        <v>1004</v>
      </c>
      <c r="O612" t="s">
        <v>1005</v>
      </c>
      <c r="P612" t="str">
        <f>"3020662482"</f>
        <v>3020662482</v>
      </c>
      <c r="Q612" t="str">
        <f>"050266248"</f>
        <v>050266248</v>
      </c>
      <c r="R612" t="str">
        <f>"00030206624823"</f>
        <v>00030206624823</v>
      </c>
      <c r="S612" s="1">
        <v>37096</v>
      </c>
      <c r="T612" s="1">
        <v>37096</v>
      </c>
      <c r="U612" t="str">
        <f>"3020662482"</f>
        <v>3020662482</v>
      </c>
      <c r="V612" t="str">
        <f t="shared" si="152"/>
        <v>1510</v>
      </c>
      <c r="W612" t="str">
        <f t="shared" si="151"/>
        <v>11</v>
      </c>
      <c r="X612" t="s">
        <v>75</v>
      </c>
      <c r="Y612" t="s">
        <v>76</v>
      </c>
      <c r="Z612" t="s">
        <v>105</v>
      </c>
      <c r="AA612" t="s">
        <v>106</v>
      </c>
      <c r="AB612" t="s">
        <v>79</v>
      </c>
      <c r="AD612" t="s">
        <v>80</v>
      </c>
      <c r="AE612" t="s">
        <v>81</v>
      </c>
      <c r="AF612" t="s">
        <v>82</v>
      </c>
      <c r="AG612" t="s">
        <v>83</v>
      </c>
      <c r="AH612" t="s">
        <v>84</v>
      </c>
      <c r="AI612" t="str">
        <f t="shared" si="149"/>
        <v>01</v>
      </c>
      <c r="AJ612" t="str">
        <f t="shared" si="150"/>
        <v>1</v>
      </c>
      <c r="AK612" t="s">
        <v>101</v>
      </c>
      <c r="AL612" t="s">
        <v>94</v>
      </c>
      <c r="AM612" t="s">
        <v>95</v>
      </c>
      <c r="AN612" t="str">
        <f t="shared" si="146"/>
        <v>.9700</v>
      </c>
      <c r="AO612" t="str">
        <f>"9.07"</f>
        <v>9.07</v>
      </c>
      <c r="AP612" t="s">
        <v>102</v>
      </c>
      <c r="AQ612" t="str">
        <f>"9.07"</f>
        <v>9.07</v>
      </c>
      <c r="AR612">
        <v>24</v>
      </c>
      <c r="AS612">
        <v>-1</v>
      </c>
      <c r="AT612">
        <v>23</v>
      </c>
      <c r="AU612">
        <v>217.64</v>
      </c>
      <c r="AV612">
        <v>25.03</v>
      </c>
      <c r="AW612">
        <v>192.61</v>
      </c>
      <c r="AX612">
        <v>-8.3699999999999992</v>
      </c>
      <c r="AY612">
        <v>184.24</v>
      </c>
      <c r="AZ612">
        <v>0</v>
      </c>
    </row>
    <row r="613" spans="1:52">
      <c r="A613" t="s">
        <v>833</v>
      </c>
      <c r="B613" t="s">
        <v>834</v>
      </c>
      <c r="C613" t="s">
        <v>835</v>
      </c>
      <c r="D613" t="s">
        <v>836</v>
      </c>
      <c r="E613" t="s">
        <v>69</v>
      </c>
      <c r="F613" t="s">
        <v>70</v>
      </c>
      <c r="G613" t="s">
        <v>837</v>
      </c>
      <c r="H613" t="s">
        <v>838</v>
      </c>
      <c r="I613" t="str">
        <f t="shared" si="153"/>
        <v>1010</v>
      </c>
      <c r="J613" t="s">
        <v>67</v>
      </c>
      <c r="K613" t="s">
        <v>855</v>
      </c>
      <c r="L613" t="s">
        <v>856</v>
      </c>
      <c r="M613" t="s">
        <v>855</v>
      </c>
      <c r="N613" t="s">
        <v>1006</v>
      </c>
      <c r="O613" t="s">
        <v>1007</v>
      </c>
      <c r="P613" t="str">
        <f>"3020670952"</f>
        <v>3020670952</v>
      </c>
      <c r="R613" t="str">
        <f>"00030206709520"</f>
        <v>00030206709520</v>
      </c>
      <c r="S613" s="1">
        <v>40750</v>
      </c>
      <c r="T613" s="1">
        <v>40750</v>
      </c>
      <c r="U613" t="str">
        <f>"3020670952"</f>
        <v>3020670952</v>
      </c>
      <c r="V613" t="str">
        <f t="shared" si="152"/>
        <v>1510</v>
      </c>
      <c r="W613" t="str">
        <f t="shared" si="151"/>
        <v>11</v>
      </c>
      <c r="X613" t="s">
        <v>75</v>
      </c>
      <c r="Y613" t="s">
        <v>76</v>
      </c>
      <c r="Z613" t="s">
        <v>180</v>
      </c>
      <c r="AA613" t="s">
        <v>181</v>
      </c>
      <c r="AB613" t="s">
        <v>79</v>
      </c>
      <c r="AD613" t="s">
        <v>80</v>
      </c>
      <c r="AE613" t="s">
        <v>81</v>
      </c>
      <c r="AF613" t="s">
        <v>82</v>
      </c>
      <c r="AG613" t="s">
        <v>83</v>
      </c>
      <c r="AH613" t="s">
        <v>84</v>
      </c>
      <c r="AI613" t="str">
        <f t="shared" si="149"/>
        <v>01</v>
      </c>
      <c r="AJ613" t="str">
        <f t="shared" si="150"/>
        <v>1</v>
      </c>
      <c r="AK613" t="s">
        <v>101</v>
      </c>
      <c r="AL613" t="s">
        <v>94</v>
      </c>
      <c r="AM613" t="s">
        <v>95</v>
      </c>
      <c r="AN613" t="str">
        <f t="shared" si="146"/>
        <v>.9700</v>
      </c>
      <c r="AO613" t="str">
        <f>"9.07"</f>
        <v>9.07</v>
      </c>
      <c r="AP613" t="s">
        <v>102</v>
      </c>
      <c r="AQ613" t="str">
        <f>"9.07"</f>
        <v>9.07</v>
      </c>
      <c r="AR613">
        <v>60</v>
      </c>
      <c r="AS613">
        <v>-7</v>
      </c>
      <c r="AT613">
        <v>53</v>
      </c>
      <c r="AU613">
        <v>544.09</v>
      </c>
      <c r="AV613">
        <v>65.290000000000006</v>
      </c>
      <c r="AW613">
        <v>478.8</v>
      </c>
      <c r="AX613">
        <v>-59.07</v>
      </c>
      <c r="AY613">
        <v>419.73</v>
      </c>
      <c r="AZ613">
        <v>0</v>
      </c>
    </row>
    <row r="614" spans="1:52">
      <c r="A614" t="s">
        <v>833</v>
      </c>
      <c r="B614" t="s">
        <v>834</v>
      </c>
      <c r="C614" t="s">
        <v>835</v>
      </c>
      <c r="D614" t="s">
        <v>836</v>
      </c>
      <c r="E614" t="s">
        <v>69</v>
      </c>
      <c r="F614" t="s">
        <v>70</v>
      </c>
      <c r="G614" t="s">
        <v>837</v>
      </c>
      <c r="H614" t="s">
        <v>838</v>
      </c>
      <c r="I614" t="str">
        <f t="shared" si="153"/>
        <v>1010</v>
      </c>
      <c r="J614" t="s">
        <v>67</v>
      </c>
      <c r="K614" t="s">
        <v>855</v>
      </c>
      <c r="L614" t="s">
        <v>856</v>
      </c>
      <c r="M614" t="s">
        <v>855</v>
      </c>
      <c r="N614" t="s">
        <v>1008</v>
      </c>
      <c r="O614" t="s">
        <v>1009</v>
      </c>
      <c r="P614" t="str">
        <f>"3020663632"</f>
        <v>3020663632</v>
      </c>
      <c r="Q614" t="str">
        <f>"050266363"</f>
        <v>050266363</v>
      </c>
      <c r="R614" t="str">
        <f>"00030206636321"</f>
        <v>00030206636321</v>
      </c>
      <c r="S614" s="1">
        <v>37418</v>
      </c>
      <c r="T614" s="1">
        <v>37418</v>
      </c>
      <c r="U614" t="str">
        <f>"3020663632"</f>
        <v>3020663632</v>
      </c>
      <c r="V614" t="str">
        <f t="shared" si="152"/>
        <v>1510</v>
      </c>
      <c r="W614" t="str">
        <f t="shared" si="151"/>
        <v>11</v>
      </c>
      <c r="X614" t="s">
        <v>75</v>
      </c>
      <c r="Y614" t="s">
        <v>76</v>
      </c>
      <c r="Z614" t="s">
        <v>126</v>
      </c>
      <c r="AA614" t="s">
        <v>127</v>
      </c>
      <c r="AB614" t="s">
        <v>79</v>
      </c>
      <c r="AD614" t="s">
        <v>80</v>
      </c>
      <c r="AE614" t="s">
        <v>81</v>
      </c>
      <c r="AF614" t="s">
        <v>82</v>
      </c>
      <c r="AG614" t="s">
        <v>83</v>
      </c>
      <c r="AH614" t="s">
        <v>84</v>
      </c>
      <c r="AI614" t="str">
        <f t="shared" si="149"/>
        <v>01</v>
      </c>
      <c r="AJ614" t="str">
        <f t="shared" si="150"/>
        <v>1</v>
      </c>
      <c r="AK614" t="s">
        <v>93</v>
      </c>
      <c r="AL614" t="s">
        <v>94</v>
      </c>
      <c r="AM614" t="s">
        <v>95</v>
      </c>
      <c r="AN614" t="str">
        <f t="shared" si="146"/>
        <v>.9700</v>
      </c>
      <c r="AO614" t="str">
        <f>"11.41"</f>
        <v>11.41</v>
      </c>
      <c r="AP614" t="s">
        <v>96</v>
      </c>
      <c r="AQ614" t="str">
        <f>"11.41"</f>
        <v>11.41</v>
      </c>
      <c r="AR614">
        <v>24</v>
      </c>
      <c r="AS614">
        <v>0</v>
      </c>
      <c r="AT614">
        <v>24</v>
      </c>
      <c r="AU614">
        <v>273.82</v>
      </c>
      <c r="AV614">
        <v>27.38</v>
      </c>
      <c r="AW614">
        <v>246.44</v>
      </c>
      <c r="AX614">
        <v>0</v>
      </c>
      <c r="AY614">
        <v>246.44</v>
      </c>
      <c r="AZ614">
        <v>0</v>
      </c>
    </row>
    <row r="615" spans="1:52">
      <c r="A615" t="s">
        <v>833</v>
      </c>
      <c r="B615" t="s">
        <v>834</v>
      </c>
      <c r="C615" t="s">
        <v>835</v>
      </c>
      <c r="D615" t="s">
        <v>836</v>
      </c>
      <c r="E615" t="s">
        <v>69</v>
      </c>
      <c r="F615" t="s">
        <v>70</v>
      </c>
      <c r="G615" t="s">
        <v>837</v>
      </c>
      <c r="H615" t="s">
        <v>838</v>
      </c>
      <c r="I615" t="str">
        <f t="shared" si="153"/>
        <v>1010</v>
      </c>
      <c r="J615" t="s">
        <v>67</v>
      </c>
      <c r="K615" t="s">
        <v>855</v>
      </c>
      <c r="L615" t="s">
        <v>856</v>
      </c>
      <c r="M615" t="s">
        <v>855</v>
      </c>
      <c r="N615" t="s">
        <v>1010</v>
      </c>
      <c r="O615" t="s">
        <v>1011</v>
      </c>
      <c r="P615" t="str">
        <f>"3020667702"</f>
        <v>3020667702</v>
      </c>
      <c r="R615" t="str">
        <f>"00030206677027"</f>
        <v>00030206677027</v>
      </c>
      <c r="S615" s="1">
        <v>39035</v>
      </c>
      <c r="T615" s="1">
        <v>39035</v>
      </c>
      <c r="U615" t="str">
        <f>"3020667702"</f>
        <v>3020667702</v>
      </c>
      <c r="V615" t="str">
        <f t="shared" si="152"/>
        <v>1510</v>
      </c>
      <c r="W615" t="str">
        <f t="shared" si="151"/>
        <v>11</v>
      </c>
      <c r="X615" t="s">
        <v>376</v>
      </c>
      <c r="Y615" t="s">
        <v>76</v>
      </c>
      <c r="Z615" t="s">
        <v>91</v>
      </c>
      <c r="AA615" t="s">
        <v>92</v>
      </c>
      <c r="AB615" t="s">
        <v>79</v>
      </c>
      <c r="AD615" t="s">
        <v>80</v>
      </c>
      <c r="AE615" t="s">
        <v>81</v>
      </c>
      <c r="AF615" t="s">
        <v>82</v>
      </c>
      <c r="AG615" t="s">
        <v>83</v>
      </c>
      <c r="AH615" t="s">
        <v>84</v>
      </c>
      <c r="AI615" t="str">
        <f t="shared" si="149"/>
        <v>01</v>
      </c>
      <c r="AJ615" t="str">
        <f t="shared" si="150"/>
        <v>1</v>
      </c>
      <c r="AK615" t="s">
        <v>101</v>
      </c>
      <c r="AL615" t="s">
        <v>94</v>
      </c>
      <c r="AM615" t="s">
        <v>95</v>
      </c>
      <c r="AN615" t="str">
        <f t="shared" si="146"/>
        <v>.9700</v>
      </c>
      <c r="AO615" t="str">
        <f>"9.07"</f>
        <v>9.07</v>
      </c>
      <c r="AP615" t="s">
        <v>102</v>
      </c>
      <c r="AQ615" t="str">
        <f>"9.07"</f>
        <v>9.07</v>
      </c>
      <c r="AR615">
        <v>0</v>
      </c>
      <c r="AS615">
        <v>-3</v>
      </c>
      <c r="AT615">
        <v>-3</v>
      </c>
      <c r="AU615">
        <v>0</v>
      </c>
      <c r="AV615">
        <v>0</v>
      </c>
      <c r="AW615">
        <v>0</v>
      </c>
      <c r="AX615">
        <v>-24.72</v>
      </c>
      <c r="AY615">
        <v>-24.72</v>
      </c>
      <c r="AZ615">
        <v>0</v>
      </c>
    </row>
    <row r="616" spans="1:52">
      <c r="A616" t="s">
        <v>833</v>
      </c>
      <c r="B616" t="s">
        <v>834</v>
      </c>
      <c r="C616" t="s">
        <v>835</v>
      </c>
      <c r="D616" t="s">
        <v>836</v>
      </c>
      <c r="E616" t="s">
        <v>69</v>
      </c>
      <c r="F616" t="s">
        <v>70</v>
      </c>
      <c r="G616" t="s">
        <v>837</v>
      </c>
      <c r="H616" t="s">
        <v>838</v>
      </c>
      <c r="I616" t="str">
        <f t="shared" si="153"/>
        <v>1010</v>
      </c>
      <c r="J616" t="s">
        <v>67</v>
      </c>
      <c r="K616" t="s">
        <v>855</v>
      </c>
      <c r="L616" t="s">
        <v>856</v>
      </c>
      <c r="M616" t="s">
        <v>855</v>
      </c>
      <c r="N616" t="s">
        <v>1012</v>
      </c>
      <c r="O616" t="s">
        <v>965</v>
      </c>
      <c r="P616" t="str">
        <f>"3020668152"</f>
        <v>3020668152</v>
      </c>
      <c r="R616" t="str">
        <f>"00030206681529"</f>
        <v>00030206681529</v>
      </c>
      <c r="S616" s="1">
        <v>39224</v>
      </c>
      <c r="T616" s="1">
        <v>39224</v>
      </c>
      <c r="U616" t="str">
        <f>"3020668152"</f>
        <v>3020668152</v>
      </c>
      <c r="V616" t="str">
        <f t="shared" si="152"/>
        <v>1510</v>
      </c>
      <c r="W616" t="str">
        <f t="shared" si="151"/>
        <v>11</v>
      </c>
      <c r="X616" t="s">
        <v>75</v>
      </c>
      <c r="Y616" t="s">
        <v>76</v>
      </c>
      <c r="Z616" t="s">
        <v>105</v>
      </c>
      <c r="AA616" t="s">
        <v>106</v>
      </c>
      <c r="AB616" t="s">
        <v>79</v>
      </c>
      <c r="AD616" t="s">
        <v>80</v>
      </c>
      <c r="AE616" t="s">
        <v>81</v>
      </c>
      <c r="AF616" t="s">
        <v>82</v>
      </c>
      <c r="AG616" t="s">
        <v>83</v>
      </c>
      <c r="AH616" t="s">
        <v>84</v>
      </c>
      <c r="AI616" t="str">
        <f t="shared" si="149"/>
        <v>01</v>
      </c>
      <c r="AJ616" t="str">
        <f t="shared" si="150"/>
        <v>1</v>
      </c>
      <c r="AK616" t="s">
        <v>101</v>
      </c>
      <c r="AL616" t="s">
        <v>94</v>
      </c>
      <c r="AM616" t="s">
        <v>95</v>
      </c>
      <c r="AN616" t="str">
        <f t="shared" si="146"/>
        <v>.9700</v>
      </c>
      <c r="AO616" t="str">
        <f>"9.07"</f>
        <v>9.07</v>
      </c>
      <c r="AP616" t="s">
        <v>102</v>
      </c>
      <c r="AQ616" t="str">
        <f>"9.07"</f>
        <v>9.07</v>
      </c>
      <c r="AR616">
        <v>54</v>
      </c>
      <c r="AS616">
        <v>0</v>
      </c>
      <c r="AT616">
        <v>54</v>
      </c>
      <c r="AU616">
        <v>489.69</v>
      </c>
      <c r="AV616">
        <v>57.32</v>
      </c>
      <c r="AW616">
        <v>432.37</v>
      </c>
      <c r="AX616">
        <v>0</v>
      </c>
      <c r="AY616">
        <v>432.37</v>
      </c>
      <c r="AZ616">
        <v>0</v>
      </c>
    </row>
    <row r="617" spans="1:52">
      <c r="A617" t="s">
        <v>833</v>
      </c>
      <c r="B617" t="s">
        <v>834</v>
      </c>
      <c r="C617" t="s">
        <v>835</v>
      </c>
      <c r="D617" t="s">
        <v>836</v>
      </c>
      <c r="E617" t="s">
        <v>69</v>
      </c>
      <c r="F617" t="s">
        <v>70</v>
      </c>
      <c r="G617" t="s">
        <v>837</v>
      </c>
      <c r="H617" t="s">
        <v>838</v>
      </c>
      <c r="I617" t="str">
        <f t="shared" si="153"/>
        <v>1010</v>
      </c>
      <c r="J617" t="s">
        <v>67</v>
      </c>
      <c r="K617" t="s">
        <v>855</v>
      </c>
      <c r="L617" t="s">
        <v>856</v>
      </c>
      <c r="M617" t="s">
        <v>855</v>
      </c>
      <c r="N617" t="s">
        <v>1013</v>
      </c>
      <c r="O617" t="s">
        <v>164</v>
      </c>
      <c r="P617" t="str">
        <f>"3020662732"</f>
        <v>3020662732</v>
      </c>
      <c r="Q617" t="str">
        <f>"050266273"</f>
        <v>050266273</v>
      </c>
      <c r="R617" t="str">
        <f>"00030206627329"</f>
        <v>00030206627329</v>
      </c>
      <c r="S617" s="1">
        <v>37180</v>
      </c>
      <c r="T617" s="1">
        <v>37180</v>
      </c>
      <c r="U617" t="str">
        <f>"3020662732"</f>
        <v>3020662732</v>
      </c>
      <c r="V617" t="str">
        <f t="shared" si="152"/>
        <v>1510</v>
      </c>
      <c r="W617" t="str">
        <f t="shared" si="151"/>
        <v>11</v>
      </c>
      <c r="X617" t="s">
        <v>75</v>
      </c>
      <c r="Y617" t="s">
        <v>76</v>
      </c>
      <c r="Z617" t="s">
        <v>105</v>
      </c>
      <c r="AA617" t="s">
        <v>106</v>
      </c>
      <c r="AB617" t="s">
        <v>79</v>
      </c>
      <c r="AD617" t="s">
        <v>80</v>
      </c>
      <c r="AE617" t="s">
        <v>81</v>
      </c>
      <c r="AF617" t="s">
        <v>82</v>
      </c>
      <c r="AG617" t="s">
        <v>83</v>
      </c>
      <c r="AH617" t="s">
        <v>84</v>
      </c>
      <c r="AI617" t="str">
        <f t="shared" si="149"/>
        <v>01</v>
      </c>
      <c r="AJ617" t="str">
        <f t="shared" si="150"/>
        <v>1</v>
      </c>
      <c r="AK617" t="s">
        <v>101</v>
      </c>
      <c r="AL617" t="s">
        <v>94</v>
      </c>
      <c r="AM617" t="s">
        <v>95</v>
      </c>
      <c r="AN617" t="str">
        <f t="shared" si="146"/>
        <v>.9700</v>
      </c>
      <c r="AO617" t="str">
        <f>"9.07"</f>
        <v>9.07</v>
      </c>
      <c r="AP617" t="s">
        <v>102</v>
      </c>
      <c r="AQ617" t="str">
        <f>"9.07"</f>
        <v>9.07</v>
      </c>
      <c r="AR617">
        <v>120</v>
      </c>
      <c r="AS617">
        <v>0</v>
      </c>
      <c r="AT617">
        <v>120</v>
      </c>
      <c r="AU617">
        <v>1088.26</v>
      </c>
      <c r="AV617">
        <v>129.96</v>
      </c>
      <c r="AW617">
        <v>958.3</v>
      </c>
      <c r="AX617">
        <v>0</v>
      </c>
      <c r="AY617">
        <v>958.3</v>
      </c>
      <c r="AZ617">
        <v>0</v>
      </c>
    </row>
    <row r="618" spans="1:52">
      <c r="A618" t="s">
        <v>833</v>
      </c>
      <c r="B618" t="s">
        <v>834</v>
      </c>
      <c r="C618" t="s">
        <v>835</v>
      </c>
      <c r="D618" t="s">
        <v>836</v>
      </c>
      <c r="E618" t="s">
        <v>69</v>
      </c>
      <c r="F618" t="s">
        <v>70</v>
      </c>
      <c r="G618" t="s">
        <v>837</v>
      </c>
      <c r="H618" t="s">
        <v>838</v>
      </c>
      <c r="I618" t="str">
        <f t="shared" si="153"/>
        <v>1010</v>
      </c>
      <c r="J618" t="s">
        <v>67</v>
      </c>
      <c r="K618" t="s">
        <v>855</v>
      </c>
      <c r="L618" t="s">
        <v>856</v>
      </c>
      <c r="M618" t="s">
        <v>855</v>
      </c>
      <c r="N618" t="s">
        <v>1014</v>
      </c>
      <c r="O618" t="s">
        <v>1015</v>
      </c>
      <c r="P618" t="str">
        <f>"3020663012"</f>
        <v>3020663012</v>
      </c>
      <c r="Q618" t="str">
        <f>"050266301"</f>
        <v>050266301</v>
      </c>
      <c r="R618" t="str">
        <f>"00030206630121"</f>
        <v>00030206630121</v>
      </c>
      <c r="S618" s="1">
        <v>37285</v>
      </c>
      <c r="T618" s="1">
        <v>37285</v>
      </c>
      <c r="U618" t="str">
        <f>"3020663012"</f>
        <v>3020663012</v>
      </c>
      <c r="V618" t="str">
        <f t="shared" si="152"/>
        <v>1510</v>
      </c>
      <c r="W618" t="str">
        <f t="shared" si="151"/>
        <v>11</v>
      </c>
      <c r="X618" t="s">
        <v>75</v>
      </c>
      <c r="Y618" t="s">
        <v>76</v>
      </c>
      <c r="Z618" t="s">
        <v>282</v>
      </c>
      <c r="AA618" t="s">
        <v>283</v>
      </c>
      <c r="AB618" t="s">
        <v>79</v>
      </c>
      <c r="AD618" t="s">
        <v>80</v>
      </c>
      <c r="AE618" t="s">
        <v>81</v>
      </c>
      <c r="AF618" t="s">
        <v>82</v>
      </c>
      <c r="AG618" t="s">
        <v>83</v>
      </c>
      <c r="AH618" t="s">
        <v>84</v>
      </c>
      <c r="AI618" t="str">
        <f t="shared" si="149"/>
        <v>01</v>
      </c>
      <c r="AJ618" t="str">
        <f t="shared" si="150"/>
        <v>1</v>
      </c>
      <c r="AK618" t="s">
        <v>101</v>
      </c>
      <c r="AL618" t="s">
        <v>94</v>
      </c>
      <c r="AM618" t="s">
        <v>95</v>
      </c>
      <c r="AN618" t="str">
        <f t="shared" si="146"/>
        <v>.9700</v>
      </c>
      <c r="AO618" t="str">
        <f>"9.07"</f>
        <v>9.07</v>
      </c>
      <c r="AP618" t="s">
        <v>102</v>
      </c>
      <c r="AQ618" t="str">
        <f>"9.07"</f>
        <v>9.07</v>
      </c>
      <c r="AR618">
        <v>29</v>
      </c>
      <c r="AS618">
        <v>0</v>
      </c>
      <c r="AT618">
        <v>29</v>
      </c>
      <c r="AU618">
        <v>262.98</v>
      </c>
      <c r="AV618">
        <v>27.2</v>
      </c>
      <c r="AW618">
        <v>235.78</v>
      </c>
      <c r="AX618">
        <v>0</v>
      </c>
      <c r="AY618">
        <v>235.78</v>
      </c>
      <c r="AZ618">
        <v>0</v>
      </c>
    </row>
    <row r="619" spans="1:52">
      <c r="A619" t="s">
        <v>833</v>
      </c>
      <c r="B619" t="s">
        <v>834</v>
      </c>
      <c r="C619" t="s">
        <v>835</v>
      </c>
      <c r="D619" t="s">
        <v>836</v>
      </c>
      <c r="E619" t="s">
        <v>69</v>
      </c>
      <c r="F619" t="s">
        <v>70</v>
      </c>
      <c r="G619" t="s">
        <v>837</v>
      </c>
      <c r="H619" t="s">
        <v>838</v>
      </c>
      <c r="I619" t="str">
        <f t="shared" si="153"/>
        <v>1010</v>
      </c>
      <c r="J619" t="s">
        <v>67</v>
      </c>
      <c r="K619" t="s">
        <v>855</v>
      </c>
      <c r="L619" t="s">
        <v>856</v>
      </c>
      <c r="M619" t="s">
        <v>855</v>
      </c>
      <c r="N619" t="s">
        <v>1016</v>
      </c>
      <c r="O619" t="s">
        <v>908</v>
      </c>
      <c r="P619" t="str">
        <f>"3020670772"</f>
        <v>3020670772</v>
      </c>
      <c r="R619" t="str">
        <f>"00030206707724"</f>
        <v>00030206707724</v>
      </c>
      <c r="S619" s="1">
        <v>40715</v>
      </c>
      <c r="T619" s="1">
        <v>40715</v>
      </c>
      <c r="U619" t="str">
        <f>"3020670772"</f>
        <v>3020670772</v>
      </c>
      <c r="V619" t="str">
        <f t="shared" si="152"/>
        <v>1510</v>
      </c>
      <c r="W619" t="str">
        <f t="shared" si="151"/>
        <v>11</v>
      </c>
      <c r="X619" t="s">
        <v>75</v>
      </c>
      <c r="Y619" t="s">
        <v>76</v>
      </c>
      <c r="Z619" t="s">
        <v>254</v>
      </c>
      <c r="AA619" t="s">
        <v>255</v>
      </c>
      <c r="AB619" t="s">
        <v>79</v>
      </c>
      <c r="AD619" t="s">
        <v>80</v>
      </c>
      <c r="AE619" t="s">
        <v>81</v>
      </c>
      <c r="AF619" t="s">
        <v>82</v>
      </c>
      <c r="AG619" t="s">
        <v>83</v>
      </c>
      <c r="AH619" t="s">
        <v>84</v>
      </c>
      <c r="AI619" t="str">
        <f t="shared" si="149"/>
        <v>01</v>
      </c>
      <c r="AJ619" t="str">
        <f t="shared" si="150"/>
        <v>1</v>
      </c>
      <c r="AK619" t="s">
        <v>85</v>
      </c>
      <c r="AL619" t="s">
        <v>86</v>
      </c>
      <c r="AM619" t="s">
        <v>87</v>
      </c>
      <c r="AN619" t="str">
        <f t="shared" si="146"/>
        <v>.9700</v>
      </c>
      <c r="AO619" t="str">
        <f>"7.50"</f>
        <v>7.50</v>
      </c>
      <c r="AP619" t="s">
        <v>88</v>
      </c>
      <c r="AQ619" t="str">
        <f>"7.50"</f>
        <v>7.50</v>
      </c>
      <c r="AR619">
        <v>61</v>
      </c>
      <c r="AS619">
        <v>-1</v>
      </c>
      <c r="AT619">
        <v>60</v>
      </c>
      <c r="AU619">
        <v>457.5</v>
      </c>
      <c r="AV619">
        <v>54</v>
      </c>
      <c r="AW619">
        <v>403.5</v>
      </c>
      <c r="AX619">
        <v>-6.91</v>
      </c>
      <c r="AY619">
        <v>396.59</v>
      </c>
      <c r="AZ619">
        <v>0</v>
      </c>
    </row>
    <row r="620" spans="1:52">
      <c r="A620" t="s">
        <v>833</v>
      </c>
      <c r="B620" t="s">
        <v>834</v>
      </c>
      <c r="C620" t="s">
        <v>835</v>
      </c>
      <c r="D620" t="s">
        <v>836</v>
      </c>
      <c r="E620" t="s">
        <v>69</v>
      </c>
      <c r="F620" t="s">
        <v>70</v>
      </c>
      <c r="G620" t="s">
        <v>837</v>
      </c>
      <c r="H620" t="s">
        <v>838</v>
      </c>
      <c r="I620" t="str">
        <f t="shared" si="153"/>
        <v>1010</v>
      </c>
      <c r="J620" t="s">
        <v>67</v>
      </c>
      <c r="K620" t="s">
        <v>855</v>
      </c>
      <c r="L620" t="s">
        <v>856</v>
      </c>
      <c r="M620" t="s">
        <v>855</v>
      </c>
      <c r="N620" t="s">
        <v>1016</v>
      </c>
      <c r="O620" t="s">
        <v>908</v>
      </c>
      <c r="P620" t="str">
        <f>"3020670772"</f>
        <v>3020670772</v>
      </c>
      <c r="R620" t="str">
        <f>"00030206707724"</f>
        <v>00030206707724</v>
      </c>
      <c r="S620" s="1">
        <v>40715</v>
      </c>
      <c r="T620" s="1">
        <v>40715</v>
      </c>
      <c r="U620" t="str">
        <f>"3020670772"</f>
        <v>3020670772</v>
      </c>
      <c r="V620" t="str">
        <f t="shared" si="152"/>
        <v>1510</v>
      </c>
      <c r="W620" t="str">
        <f>"20"</f>
        <v>20</v>
      </c>
      <c r="X620" t="s">
        <v>75</v>
      </c>
      <c r="Y620" t="s">
        <v>76</v>
      </c>
      <c r="Z620" t="s">
        <v>254</v>
      </c>
      <c r="AA620" t="s">
        <v>255</v>
      </c>
      <c r="AB620" t="s">
        <v>80</v>
      </c>
      <c r="AD620" t="s">
        <v>80</v>
      </c>
      <c r="AE620" t="s">
        <v>81</v>
      </c>
      <c r="AF620" t="s">
        <v>82</v>
      </c>
      <c r="AG620" t="s">
        <v>83</v>
      </c>
      <c r="AH620" t="s">
        <v>84</v>
      </c>
      <c r="AI620" t="str">
        <f t="shared" si="149"/>
        <v>01</v>
      </c>
      <c r="AJ620" t="str">
        <f t="shared" si="150"/>
        <v>1</v>
      </c>
      <c r="AK620" t="s">
        <v>85</v>
      </c>
      <c r="AL620" t="s">
        <v>86</v>
      </c>
      <c r="AM620" t="s">
        <v>87</v>
      </c>
      <c r="AN620" t="str">
        <f t="shared" si="146"/>
        <v>.9700</v>
      </c>
      <c r="AO620" t="str">
        <f>"7.50"</f>
        <v>7.50</v>
      </c>
      <c r="AP620" t="s">
        <v>88</v>
      </c>
      <c r="AQ620" t="str">
        <f>"7.50"</f>
        <v>7.50</v>
      </c>
      <c r="AR620">
        <v>1</v>
      </c>
      <c r="AS620">
        <v>0</v>
      </c>
      <c r="AT620">
        <v>1</v>
      </c>
      <c r="AU620">
        <v>6.95</v>
      </c>
      <c r="AV620">
        <v>0</v>
      </c>
      <c r="AW620">
        <v>6.95</v>
      </c>
      <c r="AX620">
        <v>0</v>
      </c>
      <c r="AY620">
        <v>6.95</v>
      </c>
      <c r="AZ620">
        <v>0</v>
      </c>
    </row>
    <row r="621" spans="1:52">
      <c r="A621" t="s">
        <v>833</v>
      </c>
      <c r="B621" t="s">
        <v>834</v>
      </c>
      <c r="C621" t="s">
        <v>835</v>
      </c>
      <c r="D621" t="s">
        <v>836</v>
      </c>
      <c r="E621" t="s">
        <v>69</v>
      </c>
      <c r="F621" t="s">
        <v>70</v>
      </c>
      <c r="G621" t="s">
        <v>837</v>
      </c>
      <c r="H621" t="s">
        <v>838</v>
      </c>
      <c r="I621" t="str">
        <f t="shared" si="153"/>
        <v>1010</v>
      </c>
      <c r="J621" t="s">
        <v>67</v>
      </c>
      <c r="K621" t="s">
        <v>855</v>
      </c>
      <c r="L621" t="s">
        <v>856</v>
      </c>
      <c r="M621" t="s">
        <v>855</v>
      </c>
      <c r="N621" t="s">
        <v>1017</v>
      </c>
      <c r="O621" t="s">
        <v>1018</v>
      </c>
      <c r="P621" t="str">
        <f>"3020670782"</f>
        <v>3020670782</v>
      </c>
      <c r="R621" t="str">
        <f>"00030206707823"</f>
        <v>00030206707823</v>
      </c>
      <c r="S621" s="1">
        <v>40687</v>
      </c>
      <c r="T621" s="1">
        <v>40687</v>
      </c>
      <c r="U621" t="str">
        <f>"3020670782"</f>
        <v>3020670782</v>
      </c>
      <c r="V621" t="str">
        <f t="shared" si="152"/>
        <v>1510</v>
      </c>
      <c r="W621" t="str">
        <f t="shared" ref="W621:W629" si="154">"11"</f>
        <v>11</v>
      </c>
      <c r="X621" t="s">
        <v>75</v>
      </c>
      <c r="Y621" t="s">
        <v>76</v>
      </c>
      <c r="Z621" t="s">
        <v>126</v>
      </c>
      <c r="AA621" t="s">
        <v>127</v>
      </c>
      <c r="AB621" t="s">
        <v>79</v>
      </c>
      <c r="AD621" t="s">
        <v>80</v>
      </c>
      <c r="AE621" t="s">
        <v>81</v>
      </c>
      <c r="AF621" t="s">
        <v>82</v>
      </c>
      <c r="AG621" t="s">
        <v>83</v>
      </c>
      <c r="AH621" t="s">
        <v>84</v>
      </c>
      <c r="AI621" t="str">
        <f t="shared" si="149"/>
        <v>01</v>
      </c>
      <c r="AJ621" t="str">
        <f t="shared" si="150"/>
        <v>1</v>
      </c>
      <c r="AK621" t="s">
        <v>85</v>
      </c>
      <c r="AL621" t="s">
        <v>86</v>
      </c>
      <c r="AM621" t="s">
        <v>87</v>
      </c>
      <c r="AN621" t="str">
        <f t="shared" si="146"/>
        <v>.9700</v>
      </c>
      <c r="AO621" t="str">
        <f>"7.50"</f>
        <v>7.50</v>
      </c>
      <c r="AP621" t="s">
        <v>88</v>
      </c>
      <c r="AQ621" t="str">
        <f>"7.50"</f>
        <v>7.50</v>
      </c>
      <c r="AR621">
        <v>65</v>
      </c>
      <c r="AS621">
        <v>0</v>
      </c>
      <c r="AT621">
        <v>65</v>
      </c>
      <c r="AU621">
        <v>487.51</v>
      </c>
      <c r="AV621">
        <v>58.39</v>
      </c>
      <c r="AW621">
        <v>429.12</v>
      </c>
      <c r="AX621">
        <v>0</v>
      </c>
      <c r="AY621">
        <v>429.12</v>
      </c>
      <c r="AZ621">
        <v>0</v>
      </c>
    </row>
    <row r="622" spans="1:52">
      <c r="A622" t="s">
        <v>833</v>
      </c>
      <c r="B622" t="s">
        <v>834</v>
      </c>
      <c r="C622" t="s">
        <v>835</v>
      </c>
      <c r="D622" t="s">
        <v>836</v>
      </c>
      <c r="E622" t="s">
        <v>69</v>
      </c>
      <c r="F622" t="s">
        <v>70</v>
      </c>
      <c r="G622" t="s">
        <v>837</v>
      </c>
      <c r="H622" t="s">
        <v>838</v>
      </c>
      <c r="I622" t="str">
        <f t="shared" si="153"/>
        <v>1010</v>
      </c>
      <c r="J622" t="s">
        <v>67</v>
      </c>
      <c r="K622" t="s">
        <v>855</v>
      </c>
      <c r="L622" t="s">
        <v>856</v>
      </c>
      <c r="M622" t="s">
        <v>855</v>
      </c>
      <c r="N622" t="s">
        <v>1019</v>
      </c>
      <c r="O622" t="s">
        <v>1020</v>
      </c>
      <c r="P622" t="str">
        <f>"3020667572"</f>
        <v>3020667572</v>
      </c>
      <c r="R622" t="str">
        <f>"00030206675726"</f>
        <v>00030206675726</v>
      </c>
      <c r="S622" s="1">
        <v>39021</v>
      </c>
      <c r="T622" s="1">
        <v>39021</v>
      </c>
      <c r="U622" t="str">
        <f>"3020667572"</f>
        <v>3020667572</v>
      </c>
      <c r="V622" t="str">
        <f t="shared" si="152"/>
        <v>1510</v>
      </c>
      <c r="W622" t="str">
        <f t="shared" si="154"/>
        <v>11</v>
      </c>
      <c r="X622" t="s">
        <v>75</v>
      </c>
      <c r="Y622" t="s">
        <v>76</v>
      </c>
      <c r="Z622" t="s">
        <v>105</v>
      </c>
      <c r="AA622" t="s">
        <v>106</v>
      </c>
      <c r="AB622" t="s">
        <v>79</v>
      </c>
      <c r="AD622" t="s">
        <v>80</v>
      </c>
      <c r="AE622" t="s">
        <v>81</v>
      </c>
      <c r="AF622" t="s">
        <v>82</v>
      </c>
      <c r="AG622" t="s">
        <v>83</v>
      </c>
      <c r="AH622" t="s">
        <v>84</v>
      </c>
      <c r="AI622" t="str">
        <f t="shared" si="149"/>
        <v>01</v>
      </c>
      <c r="AJ622" t="str">
        <f t="shared" si="150"/>
        <v>1</v>
      </c>
      <c r="AK622" t="s">
        <v>101</v>
      </c>
      <c r="AL622" t="s">
        <v>94</v>
      </c>
      <c r="AM622" t="s">
        <v>95</v>
      </c>
      <c r="AN622" t="str">
        <f t="shared" si="146"/>
        <v>.9700</v>
      </c>
      <c r="AO622" t="str">
        <f>"9.07"</f>
        <v>9.07</v>
      </c>
      <c r="AP622" t="s">
        <v>102</v>
      </c>
      <c r="AQ622" t="str">
        <f>"9.07"</f>
        <v>9.07</v>
      </c>
      <c r="AR622">
        <v>34</v>
      </c>
      <c r="AS622">
        <v>0</v>
      </c>
      <c r="AT622">
        <v>34</v>
      </c>
      <c r="AU622">
        <v>308.33</v>
      </c>
      <c r="AV622">
        <v>35.92</v>
      </c>
      <c r="AW622">
        <v>272.41000000000003</v>
      </c>
      <c r="AX622">
        <v>0</v>
      </c>
      <c r="AY622">
        <v>272.41000000000003</v>
      </c>
      <c r="AZ622">
        <v>0</v>
      </c>
    </row>
    <row r="623" spans="1:52">
      <c r="A623" t="s">
        <v>833</v>
      </c>
      <c r="B623" t="s">
        <v>834</v>
      </c>
      <c r="C623" t="s">
        <v>835</v>
      </c>
      <c r="D623" t="s">
        <v>836</v>
      </c>
      <c r="E623" t="s">
        <v>69</v>
      </c>
      <c r="F623" t="s">
        <v>70</v>
      </c>
      <c r="G623" t="s">
        <v>837</v>
      </c>
      <c r="H623" t="s">
        <v>838</v>
      </c>
      <c r="I623" t="str">
        <f t="shared" si="153"/>
        <v>1010</v>
      </c>
      <c r="J623" t="s">
        <v>67</v>
      </c>
      <c r="K623" t="s">
        <v>855</v>
      </c>
      <c r="L623" t="s">
        <v>856</v>
      </c>
      <c r="M623" t="s">
        <v>855</v>
      </c>
      <c r="N623" t="s">
        <v>1021</v>
      </c>
      <c r="O623" t="s">
        <v>1022</v>
      </c>
      <c r="P623" t="str">
        <f>"3020624112"</f>
        <v>3020624112</v>
      </c>
      <c r="R623" t="str">
        <f>"00030206241129"</f>
        <v>00030206241129</v>
      </c>
      <c r="S623" s="1">
        <v>40806</v>
      </c>
      <c r="T623" s="1">
        <v>40806</v>
      </c>
      <c r="U623" t="str">
        <f>"3020624112"</f>
        <v>3020624112</v>
      </c>
      <c r="V623" t="str">
        <f t="shared" si="152"/>
        <v>1510</v>
      </c>
      <c r="W623" t="str">
        <f t="shared" si="154"/>
        <v>11</v>
      </c>
      <c r="X623" t="s">
        <v>75</v>
      </c>
      <c r="Y623" t="s">
        <v>76</v>
      </c>
      <c r="Z623" t="s">
        <v>169</v>
      </c>
      <c r="AA623" t="s">
        <v>170</v>
      </c>
      <c r="AB623" t="s">
        <v>79</v>
      </c>
      <c r="AD623" t="s">
        <v>80</v>
      </c>
      <c r="AE623" t="s">
        <v>81</v>
      </c>
      <c r="AF623" t="s">
        <v>82</v>
      </c>
      <c r="AG623" t="s">
        <v>83</v>
      </c>
      <c r="AH623" t="s">
        <v>84</v>
      </c>
      <c r="AI623" t="str">
        <f t="shared" si="149"/>
        <v>01</v>
      </c>
      <c r="AJ623" t="str">
        <f t="shared" si="150"/>
        <v>1</v>
      </c>
      <c r="AK623" t="s">
        <v>85</v>
      </c>
      <c r="AL623" t="s">
        <v>94</v>
      </c>
      <c r="AM623" t="s">
        <v>87</v>
      </c>
      <c r="AN623" t="str">
        <f t="shared" si="146"/>
        <v>.9700</v>
      </c>
      <c r="AO623" t="str">
        <f>"7.50"</f>
        <v>7.50</v>
      </c>
      <c r="AP623" t="s">
        <v>88</v>
      </c>
      <c r="AQ623" t="str">
        <f>"7.50"</f>
        <v>7.50</v>
      </c>
      <c r="AR623">
        <v>22</v>
      </c>
      <c r="AS623">
        <v>-1</v>
      </c>
      <c r="AT623">
        <v>21</v>
      </c>
      <c r="AU623">
        <v>165</v>
      </c>
      <c r="AV623">
        <v>19.8</v>
      </c>
      <c r="AW623">
        <v>145.19999999999999</v>
      </c>
      <c r="AX623">
        <v>-7.11</v>
      </c>
      <c r="AY623">
        <v>138.09</v>
      </c>
      <c r="AZ623">
        <v>0</v>
      </c>
    </row>
    <row r="624" spans="1:52">
      <c r="A624" t="s">
        <v>833</v>
      </c>
      <c r="B624" t="s">
        <v>834</v>
      </c>
      <c r="C624" t="s">
        <v>835</v>
      </c>
      <c r="D624" t="s">
        <v>836</v>
      </c>
      <c r="E624" t="s">
        <v>69</v>
      </c>
      <c r="F624" t="s">
        <v>70</v>
      </c>
      <c r="G624" t="s">
        <v>837</v>
      </c>
      <c r="H624" t="s">
        <v>838</v>
      </c>
      <c r="I624" t="str">
        <f t="shared" si="153"/>
        <v>1010</v>
      </c>
      <c r="J624" t="s">
        <v>67</v>
      </c>
      <c r="K624" t="s">
        <v>855</v>
      </c>
      <c r="L624" t="s">
        <v>856</v>
      </c>
      <c r="M624" t="s">
        <v>855</v>
      </c>
      <c r="N624" t="s">
        <v>1023</v>
      </c>
      <c r="O624" t="s">
        <v>1024</v>
      </c>
      <c r="P624" t="str">
        <f>"3020666722"</f>
        <v>3020666722</v>
      </c>
      <c r="R624" t="str">
        <f>"00030206667226"</f>
        <v>00030206667226</v>
      </c>
      <c r="S624" s="1">
        <v>38587</v>
      </c>
      <c r="T624" s="1">
        <v>38587</v>
      </c>
      <c r="U624" t="str">
        <f>"3020666722"</f>
        <v>3020666722</v>
      </c>
      <c r="V624" t="str">
        <f t="shared" si="152"/>
        <v>1510</v>
      </c>
      <c r="W624" t="str">
        <f t="shared" si="154"/>
        <v>11</v>
      </c>
      <c r="X624" t="s">
        <v>75</v>
      </c>
      <c r="Y624" t="s">
        <v>76</v>
      </c>
      <c r="Z624" t="s">
        <v>169</v>
      </c>
      <c r="AA624" t="s">
        <v>170</v>
      </c>
      <c r="AB624" t="s">
        <v>79</v>
      </c>
      <c r="AD624" t="s">
        <v>80</v>
      </c>
      <c r="AE624" t="s">
        <v>81</v>
      </c>
      <c r="AF624" t="s">
        <v>82</v>
      </c>
      <c r="AG624" t="s">
        <v>83</v>
      </c>
      <c r="AH624" t="s">
        <v>84</v>
      </c>
      <c r="AI624" t="str">
        <f t="shared" si="149"/>
        <v>01</v>
      </c>
      <c r="AJ624" t="str">
        <f t="shared" si="150"/>
        <v>1</v>
      </c>
      <c r="AK624" t="s">
        <v>154</v>
      </c>
      <c r="AL624" t="s">
        <v>94</v>
      </c>
      <c r="AM624" t="s">
        <v>87</v>
      </c>
      <c r="AN624" t="str">
        <f t="shared" si="146"/>
        <v>.9700</v>
      </c>
      <c r="AO624" t="str">
        <f>"7.25"</f>
        <v>7.25</v>
      </c>
      <c r="AP624" t="s">
        <v>156</v>
      </c>
      <c r="AQ624" t="str">
        <f>"7.25"</f>
        <v>7.25</v>
      </c>
      <c r="AR624">
        <v>15</v>
      </c>
      <c r="AS624">
        <v>0</v>
      </c>
      <c r="AT624">
        <v>15</v>
      </c>
      <c r="AU624">
        <v>108.75</v>
      </c>
      <c r="AV624">
        <v>7.83</v>
      </c>
      <c r="AW624">
        <v>100.92</v>
      </c>
      <c r="AX624">
        <v>0</v>
      </c>
      <c r="AY624">
        <v>100.92</v>
      </c>
      <c r="AZ624">
        <v>0</v>
      </c>
    </row>
    <row r="625" spans="1:52">
      <c r="A625" t="s">
        <v>833</v>
      </c>
      <c r="B625" t="s">
        <v>834</v>
      </c>
      <c r="C625" t="s">
        <v>835</v>
      </c>
      <c r="D625" t="s">
        <v>836</v>
      </c>
      <c r="E625" t="s">
        <v>69</v>
      </c>
      <c r="F625" t="s">
        <v>70</v>
      </c>
      <c r="G625" t="s">
        <v>837</v>
      </c>
      <c r="H625" t="s">
        <v>838</v>
      </c>
      <c r="I625" t="str">
        <f t="shared" si="153"/>
        <v>1010</v>
      </c>
      <c r="J625" t="s">
        <v>67</v>
      </c>
      <c r="K625" t="s">
        <v>855</v>
      </c>
      <c r="L625" t="s">
        <v>856</v>
      </c>
      <c r="M625" t="s">
        <v>855</v>
      </c>
      <c r="N625" t="s">
        <v>1025</v>
      </c>
      <c r="O625" t="s">
        <v>1026</v>
      </c>
      <c r="P625" t="str">
        <f>"3020670162"</f>
        <v>3020670162</v>
      </c>
      <c r="R625" t="str">
        <f>"00030206701623"</f>
        <v>00030206701623</v>
      </c>
      <c r="S625" s="1">
        <v>40365</v>
      </c>
      <c r="T625" s="1">
        <v>40344</v>
      </c>
      <c r="U625" t="str">
        <f>"3020670162"</f>
        <v>3020670162</v>
      </c>
      <c r="V625" t="str">
        <f t="shared" si="152"/>
        <v>1510</v>
      </c>
      <c r="W625" t="str">
        <f t="shared" si="154"/>
        <v>11</v>
      </c>
      <c r="X625" t="s">
        <v>75</v>
      </c>
      <c r="Y625" t="s">
        <v>76</v>
      </c>
      <c r="Z625" t="s">
        <v>91</v>
      </c>
      <c r="AA625" t="s">
        <v>92</v>
      </c>
      <c r="AB625" t="s">
        <v>79</v>
      </c>
      <c r="AD625" t="s">
        <v>80</v>
      </c>
      <c r="AE625" t="s">
        <v>81</v>
      </c>
      <c r="AF625" t="s">
        <v>82</v>
      </c>
      <c r="AG625" t="s">
        <v>83</v>
      </c>
      <c r="AH625" t="s">
        <v>84</v>
      </c>
      <c r="AI625" t="str">
        <f t="shared" si="149"/>
        <v>01</v>
      </c>
      <c r="AJ625" t="str">
        <f t="shared" si="150"/>
        <v>1</v>
      </c>
      <c r="AK625" t="s">
        <v>118</v>
      </c>
      <c r="AL625" t="s">
        <v>94</v>
      </c>
      <c r="AM625" t="s">
        <v>95</v>
      </c>
      <c r="AN625" t="str">
        <f t="shared" si="146"/>
        <v>.9700</v>
      </c>
      <c r="AO625" t="str">
        <f>"10.32"</f>
        <v>10.32</v>
      </c>
      <c r="AP625" t="s">
        <v>119</v>
      </c>
      <c r="AQ625" t="str">
        <f>"10.32"</f>
        <v>10.32</v>
      </c>
      <c r="AR625">
        <v>9</v>
      </c>
      <c r="AS625">
        <v>0</v>
      </c>
      <c r="AT625">
        <v>9</v>
      </c>
      <c r="AU625">
        <v>92.87</v>
      </c>
      <c r="AV625">
        <v>11.05</v>
      </c>
      <c r="AW625">
        <v>81.819999999999993</v>
      </c>
      <c r="AX625">
        <v>0</v>
      </c>
      <c r="AY625">
        <v>81.819999999999993</v>
      </c>
      <c r="AZ625">
        <v>0</v>
      </c>
    </row>
    <row r="626" spans="1:52">
      <c r="A626" t="s">
        <v>833</v>
      </c>
      <c r="B626" t="s">
        <v>834</v>
      </c>
      <c r="C626" t="s">
        <v>835</v>
      </c>
      <c r="D626" t="s">
        <v>836</v>
      </c>
      <c r="E626" t="s">
        <v>69</v>
      </c>
      <c r="F626" t="s">
        <v>70</v>
      </c>
      <c r="G626" t="s">
        <v>837</v>
      </c>
      <c r="H626" t="s">
        <v>838</v>
      </c>
      <c r="I626" t="str">
        <f t="shared" si="153"/>
        <v>1010</v>
      </c>
      <c r="J626" t="s">
        <v>67</v>
      </c>
      <c r="K626" t="s">
        <v>855</v>
      </c>
      <c r="L626" t="s">
        <v>856</v>
      </c>
      <c r="M626" t="s">
        <v>855</v>
      </c>
      <c r="N626" t="s">
        <v>1025</v>
      </c>
      <c r="O626" t="s">
        <v>1027</v>
      </c>
      <c r="P626" t="str">
        <f>"3020669032"</f>
        <v>3020669032</v>
      </c>
      <c r="R626" t="str">
        <f>"00030206690323"</f>
        <v>00030206690323</v>
      </c>
      <c r="S626" s="1">
        <v>39700</v>
      </c>
      <c r="T626" s="1">
        <v>39700</v>
      </c>
      <c r="U626" t="str">
        <f>"3020669032"</f>
        <v>3020669032</v>
      </c>
      <c r="V626" t="str">
        <f t="shared" si="152"/>
        <v>1510</v>
      </c>
      <c r="W626" t="str">
        <f t="shared" si="154"/>
        <v>11</v>
      </c>
      <c r="X626" t="s">
        <v>75</v>
      </c>
      <c r="Y626" t="s">
        <v>76</v>
      </c>
      <c r="Z626" t="s">
        <v>91</v>
      </c>
      <c r="AA626" t="s">
        <v>92</v>
      </c>
      <c r="AB626" t="s">
        <v>79</v>
      </c>
      <c r="AD626" t="s">
        <v>80</v>
      </c>
      <c r="AE626" t="s">
        <v>81</v>
      </c>
      <c r="AF626" t="s">
        <v>82</v>
      </c>
      <c r="AG626" t="s">
        <v>83</v>
      </c>
      <c r="AH626" t="s">
        <v>84</v>
      </c>
      <c r="AI626" t="str">
        <f t="shared" si="149"/>
        <v>01</v>
      </c>
      <c r="AJ626" t="str">
        <f t="shared" si="150"/>
        <v>1</v>
      </c>
      <c r="AK626" t="s">
        <v>101</v>
      </c>
      <c r="AL626" t="s">
        <v>94</v>
      </c>
      <c r="AM626" t="s">
        <v>95</v>
      </c>
      <c r="AN626" t="str">
        <f t="shared" si="146"/>
        <v>.9700</v>
      </c>
      <c r="AO626" t="str">
        <f>"9.07"</f>
        <v>9.07</v>
      </c>
      <c r="AP626" t="s">
        <v>102</v>
      </c>
      <c r="AQ626" t="str">
        <f>"9.07"</f>
        <v>9.07</v>
      </c>
      <c r="AR626">
        <v>3</v>
      </c>
      <c r="AS626">
        <v>0</v>
      </c>
      <c r="AT626">
        <v>3</v>
      </c>
      <c r="AU626">
        <v>27.21</v>
      </c>
      <c r="AV626">
        <v>3.27</v>
      </c>
      <c r="AW626">
        <v>23.94</v>
      </c>
      <c r="AX626">
        <v>0</v>
      </c>
      <c r="AY626">
        <v>23.94</v>
      </c>
      <c r="AZ626">
        <v>0</v>
      </c>
    </row>
    <row r="627" spans="1:52">
      <c r="A627" t="s">
        <v>833</v>
      </c>
      <c r="B627" t="s">
        <v>834</v>
      </c>
      <c r="C627" t="s">
        <v>835</v>
      </c>
      <c r="D627" t="s">
        <v>836</v>
      </c>
      <c r="E627" t="s">
        <v>69</v>
      </c>
      <c r="F627" t="s">
        <v>70</v>
      </c>
      <c r="G627" t="s">
        <v>837</v>
      </c>
      <c r="H627" t="s">
        <v>838</v>
      </c>
      <c r="I627" t="str">
        <f t="shared" si="153"/>
        <v>1010</v>
      </c>
      <c r="J627" t="s">
        <v>67</v>
      </c>
      <c r="K627" t="s">
        <v>855</v>
      </c>
      <c r="L627" t="s">
        <v>856</v>
      </c>
      <c r="M627" t="s">
        <v>855</v>
      </c>
      <c r="N627" t="s">
        <v>1028</v>
      </c>
      <c r="O627" t="s">
        <v>884</v>
      </c>
      <c r="P627" t="s">
        <v>1029</v>
      </c>
      <c r="R627" t="str">
        <f>"00030206600223"</f>
        <v>00030206600223</v>
      </c>
      <c r="S627" s="1">
        <v>36242</v>
      </c>
      <c r="T627" s="1">
        <v>36242</v>
      </c>
      <c r="U627" t="s">
        <v>1029</v>
      </c>
      <c r="V627" t="str">
        <f t="shared" si="152"/>
        <v>1510</v>
      </c>
      <c r="W627" t="str">
        <f t="shared" si="154"/>
        <v>11</v>
      </c>
      <c r="X627" t="s">
        <v>75</v>
      </c>
      <c r="Y627" t="s">
        <v>76</v>
      </c>
      <c r="Z627" t="s">
        <v>105</v>
      </c>
      <c r="AA627" t="s">
        <v>106</v>
      </c>
      <c r="AB627" t="s">
        <v>79</v>
      </c>
      <c r="AD627" t="s">
        <v>80</v>
      </c>
      <c r="AE627" t="s">
        <v>81</v>
      </c>
      <c r="AF627" t="s">
        <v>82</v>
      </c>
      <c r="AG627" t="s">
        <v>83</v>
      </c>
      <c r="AH627" t="s">
        <v>84</v>
      </c>
      <c r="AI627" t="str">
        <f t="shared" si="149"/>
        <v>01</v>
      </c>
      <c r="AJ627" t="str">
        <f t="shared" si="150"/>
        <v>1</v>
      </c>
      <c r="AK627" t="s">
        <v>93</v>
      </c>
      <c r="AL627" t="s">
        <v>94</v>
      </c>
      <c r="AM627" t="s">
        <v>95</v>
      </c>
      <c r="AN627" t="str">
        <f t="shared" si="146"/>
        <v>.9700</v>
      </c>
      <c r="AO627" t="str">
        <f>"11.41"</f>
        <v>11.41</v>
      </c>
      <c r="AP627" t="s">
        <v>96</v>
      </c>
      <c r="AQ627" t="str">
        <f>"11.41"</f>
        <v>11.41</v>
      </c>
      <c r="AR627">
        <v>255</v>
      </c>
      <c r="AS627">
        <v>-3</v>
      </c>
      <c r="AT627">
        <v>252</v>
      </c>
      <c r="AU627">
        <v>2903.71</v>
      </c>
      <c r="AV627">
        <v>341.04</v>
      </c>
      <c r="AW627">
        <v>2562.67</v>
      </c>
      <c r="AX627">
        <v>-31.27</v>
      </c>
      <c r="AY627">
        <v>2531.4</v>
      </c>
      <c r="AZ627">
        <v>0</v>
      </c>
    </row>
    <row r="628" spans="1:52">
      <c r="A628" t="s">
        <v>833</v>
      </c>
      <c r="B628" t="s">
        <v>834</v>
      </c>
      <c r="C628" t="s">
        <v>835</v>
      </c>
      <c r="D628" t="s">
        <v>836</v>
      </c>
      <c r="E628" t="s">
        <v>69</v>
      </c>
      <c r="F628" t="s">
        <v>70</v>
      </c>
      <c r="G628" t="s">
        <v>837</v>
      </c>
      <c r="H628" t="s">
        <v>838</v>
      </c>
      <c r="I628" t="str">
        <f t="shared" si="153"/>
        <v>1010</v>
      </c>
      <c r="J628" t="s">
        <v>67</v>
      </c>
      <c r="K628" t="s">
        <v>855</v>
      </c>
      <c r="L628" t="s">
        <v>856</v>
      </c>
      <c r="M628" t="s">
        <v>855</v>
      </c>
      <c r="N628" t="s">
        <v>1030</v>
      </c>
      <c r="O628" t="s">
        <v>309</v>
      </c>
      <c r="P628" t="str">
        <f>"3020668232"</f>
        <v>3020668232</v>
      </c>
      <c r="R628" t="str">
        <f>"00030206682328"</f>
        <v>00030206682328</v>
      </c>
      <c r="S628" s="1">
        <v>39259</v>
      </c>
      <c r="T628" s="1">
        <v>39259</v>
      </c>
      <c r="U628" t="str">
        <f>"3020668232"</f>
        <v>3020668232</v>
      </c>
      <c r="V628" t="str">
        <f t="shared" si="152"/>
        <v>1510</v>
      </c>
      <c r="W628" t="str">
        <f t="shared" si="154"/>
        <v>11</v>
      </c>
      <c r="X628" t="s">
        <v>75</v>
      </c>
      <c r="Y628" t="s">
        <v>76</v>
      </c>
      <c r="Z628" t="s">
        <v>126</v>
      </c>
      <c r="AA628" t="s">
        <v>127</v>
      </c>
      <c r="AB628" t="s">
        <v>79</v>
      </c>
      <c r="AD628" t="s">
        <v>80</v>
      </c>
      <c r="AE628" t="s">
        <v>81</v>
      </c>
      <c r="AF628" t="s">
        <v>82</v>
      </c>
      <c r="AG628" t="s">
        <v>83</v>
      </c>
      <c r="AH628" t="s">
        <v>84</v>
      </c>
      <c r="AI628" t="str">
        <f t="shared" si="149"/>
        <v>01</v>
      </c>
      <c r="AJ628" t="str">
        <f t="shared" si="150"/>
        <v>1</v>
      </c>
      <c r="AK628" t="s">
        <v>101</v>
      </c>
      <c r="AL628" t="s">
        <v>94</v>
      </c>
      <c r="AM628" t="s">
        <v>95</v>
      </c>
      <c r="AN628" t="str">
        <f t="shared" si="146"/>
        <v>.9700</v>
      </c>
      <c r="AO628" t="str">
        <f>"9.07"</f>
        <v>9.07</v>
      </c>
      <c r="AP628" t="s">
        <v>102</v>
      </c>
      <c r="AQ628" t="str">
        <f>"9.07"</f>
        <v>9.07</v>
      </c>
      <c r="AR628">
        <v>32</v>
      </c>
      <c r="AS628">
        <v>0</v>
      </c>
      <c r="AT628">
        <v>32</v>
      </c>
      <c r="AU628">
        <v>290.19</v>
      </c>
      <c r="AV628">
        <v>32.65</v>
      </c>
      <c r="AW628">
        <v>257.54000000000002</v>
      </c>
      <c r="AX628">
        <v>0</v>
      </c>
      <c r="AY628">
        <v>257.54000000000002</v>
      </c>
      <c r="AZ628">
        <v>0</v>
      </c>
    </row>
    <row r="629" spans="1:52">
      <c r="A629" t="s">
        <v>833</v>
      </c>
      <c r="B629" t="s">
        <v>834</v>
      </c>
      <c r="C629" t="s">
        <v>835</v>
      </c>
      <c r="D629" t="s">
        <v>836</v>
      </c>
      <c r="E629" t="s">
        <v>69</v>
      </c>
      <c r="F629" t="s">
        <v>70</v>
      </c>
      <c r="G629" t="s">
        <v>837</v>
      </c>
      <c r="H629" t="s">
        <v>838</v>
      </c>
      <c r="I629" t="str">
        <f t="shared" si="153"/>
        <v>1010</v>
      </c>
      <c r="J629" t="s">
        <v>67</v>
      </c>
      <c r="K629" t="s">
        <v>855</v>
      </c>
      <c r="L629" t="s">
        <v>856</v>
      </c>
      <c r="M629" t="s">
        <v>855</v>
      </c>
      <c r="N629" t="s">
        <v>1030</v>
      </c>
      <c r="O629" t="s">
        <v>908</v>
      </c>
      <c r="P629" t="str">
        <f>"3020670652"</f>
        <v>3020670652</v>
      </c>
      <c r="R629" t="str">
        <f>"00030206706529"</f>
        <v>00030206706529</v>
      </c>
      <c r="S629" s="1">
        <v>40687</v>
      </c>
      <c r="T629" s="1">
        <v>40666</v>
      </c>
      <c r="U629" t="str">
        <f>"3020670652"</f>
        <v>3020670652</v>
      </c>
      <c r="V629" t="str">
        <f t="shared" si="152"/>
        <v>1510</v>
      </c>
      <c r="W629" t="str">
        <f t="shared" si="154"/>
        <v>11</v>
      </c>
      <c r="X629" t="s">
        <v>75</v>
      </c>
      <c r="Y629" t="s">
        <v>76</v>
      </c>
      <c r="Z629" t="s">
        <v>254</v>
      </c>
      <c r="AA629" t="s">
        <v>255</v>
      </c>
      <c r="AB629" t="s">
        <v>79</v>
      </c>
      <c r="AD629" t="s">
        <v>80</v>
      </c>
      <c r="AE629" t="s">
        <v>81</v>
      </c>
      <c r="AF629" t="s">
        <v>82</v>
      </c>
      <c r="AG629" t="s">
        <v>83</v>
      </c>
      <c r="AH629" t="s">
        <v>84</v>
      </c>
      <c r="AI629" t="str">
        <f t="shared" si="149"/>
        <v>01</v>
      </c>
      <c r="AJ629" t="str">
        <f t="shared" si="150"/>
        <v>1</v>
      </c>
      <c r="AK629" t="s">
        <v>114</v>
      </c>
      <c r="AL629" t="s">
        <v>162</v>
      </c>
      <c r="AM629" t="s">
        <v>87</v>
      </c>
      <c r="AN629" t="str">
        <f t="shared" si="146"/>
        <v>.9700</v>
      </c>
      <c r="AO629" t="str">
        <f>"7.00"</f>
        <v>7.00</v>
      </c>
      <c r="AP629" t="s">
        <v>115</v>
      </c>
      <c r="AQ629" t="str">
        <f>"7.00"</f>
        <v>7.00</v>
      </c>
      <c r="AR629">
        <v>128</v>
      </c>
      <c r="AS629">
        <v>-1</v>
      </c>
      <c r="AT629">
        <v>127</v>
      </c>
      <c r="AU629">
        <v>896.03</v>
      </c>
      <c r="AV629">
        <v>107.39</v>
      </c>
      <c r="AW629">
        <v>788.64</v>
      </c>
      <c r="AX629">
        <v>-6.44</v>
      </c>
      <c r="AY629">
        <v>782.2</v>
      </c>
      <c r="AZ629">
        <v>0</v>
      </c>
    </row>
    <row r="630" spans="1:52">
      <c r="A630" t="s">
        <v>833</v>
      </c>
      <c r="B630" t="s">
        <v>834</v>
      </c>
      <c r="C630" t="s">
        <v>835</v>
      </c>
      <c r="D630" t="s">
        <v>836</v>
      </c>
      <c r="E630" t="s">
        <v>69</v>
      </c>
      <c r="F630" t="s">
        <v>70</v>
      </c>
      <c r="G630" t="s">
        <v>837</v>
      </c>
      <c r="H630" t="s">
        <v>838</v>
      </c>
      <c r="I630" t="str">
        <f t="shared" si="153"/>
        <v>1010</v>
      </c>
      <c r="J630" t="s">
        <v>67</v>
      </c>
      <c r="K630" t="s">
        <v>855</v>
      </c>
      <c r="L630" t="s">
        <v>856</v>
      </c>
      <c r="M630" t="s">
        <v>855</v>
      </c>
      <c r="N630" t="s">
        <v>1030</v>
      </c>
      <c r="O630" t="s">
        <v>908</v>
      </c>
      <c r="P630" t="str">
        <f>"3020670652"</f>
        <v>3020670652</v>
      </c>
      <c r="R630" t="str">
        <f>"00030206706529"</f>
        <v>00030206706529</v>
      </c>
      <c r="S630" s="1">
        <v>40687</v>
      </c>
      <c r="T630" s="1">
        <v>40666</v>
      </c>
      <c r="U630" t="str">
        <f>"3020670652"</f>
        <v>3020670652</v>
      </c>
      <c r="V630" t="str">
        <f t="shared" si="152"/>
        <v>1510</v>
      </c>
      <c r="W630" t="str">
        <f>"20"</f>
        <v>20</v>
      </c>
      <c r="X630" t="s">
        <v>75</v>
      </c>
      <c r="Y630" t="s">
        <v>76</v>
      </c>
      <c r="Z630" t="s">
        <v>254</v>
      </c>
      <c r="AA630" t="s">
        <v>255</v>
      </c>
      <c r="AB630" t="s">
        <v>80</v>
      </c>
      <c r="AD630" t="s">
        <v>80</v>
      </c>
      <c r="AE630" t="s">
        <v>81</v>
      </c>
      <c r="AF630" t="s">
        <v>82</v>
      </c>
      <c r="AG630" t="s">
        <v>83</v>
      </c>
      <c r="AH630" t="s">
        <v>84</v>
      </c>
      <c r="AI630" t="str">
        <f t="shared" si="149"/>
        <v>01</v>
      </c>
      <c r="AJ630" t="str">
        <f t="shared" si="150"/>
        <v>1</v>
      </c>
      <c r="AK630" t="s">
        <v>114</v>
      </c>
      <c r="AL630" t="s">
        <v>162</v>
      </c>
      <c r="AM630" t="s">
        <v>87</v>
      </c>
      <c r="AN630" t="str">
        <f t="shared" si="146"/>
        <v>.9700</v>
      </c>
      <c r="AO630" t="str">
        <f>"7.00"</f>
        <v>7.00</v>
      </c>
      <c r="AP630" t="s">
        <v>115</v>
      </c>
      <c r="AQ630" t="str">
        <f>"7.00"</f>
        <v>7.00</v>
      </c>
      <c r="AR630">
        <v>1</v>
      </c>
      <c r="AS630">
        <v>-2</v>
      </c>
      <c r="AT630">
        <v>-1</v>
      </c>
      <c r="AU630">
        <v>6.95</v>
      </c>
      <c r="AV630">
        <v>0</v>
      </c>
      <c r="AW630">
        <v>6.95</v>
      </c>
      <c r="AX630">
        <v>-13.9</v>
      </c>
      <c r="AY630">
        <v>-6.95</v>
      </c>
      <c r="AZ630">
        <v>0</v>
      </c>
    </row>
    <row r="631" spans="1:52">
      <c r="A631" t="s">
        <v>833</v>
      </c>
      <c r="B631" t="s">
        <v>834</v>
      </c>
      <c r="C631" t="s">
        <v>835</v>
      </c>
      <c r="D631" t="s">
        <v>836</v>
      </c>
      <c r="E631" t="s">
        <v>69</v>
      </c>
      <c r="F631" t="s">
        <v>70</v>
      </c>
      <c r="G631" t="s">
        <v>837</v>
      </c>
      <c r="H631" t="s">
        <v>838</v>
      </c>
      <c r="I631" t="str">
        <f t="shared" si="153"/>
        <v>1010</v>
      </c>
      <c r="J631" t="s">
        <v>67</v>
      </c>
      <c r="K631" t="s">
        <v>855</v>
      </c>
      <c r="L631" t="s">
        <v>856</v>
      </c>
      <c r="M631" t="s">
        <v>855</v>
      </c>
      <c r="N631" t="s">
        <v>1031</v>
      </c>
      <c r="O631" t="s">
        <v>1032</v>
      </c>
      <c r="P631" t="str">
        <f>"3020671402"</f>
        <v>3020671402</v>
      </c>
      <c r="R631" t="str">
        <f>"00030206714029"</f>
        <v>00030206714029</v>
      </c>
      <c r="S631" s="1">
        <v>41037</v>
      </c>
      <c r="T631" s="1">
        <v>41037</v>
      </c>
      <c r="U631" t="str">
        <f>"3020671402"</f>
        <v>3020671402</v>
      </c>
      <c r="V631" t="str">
        <f t="shared" si="152"/>
        <v>1510</v>
      </c>
      <c r="W631" t="str">
        <f t="shared" ref="W631:W662" si="155">"11"</f>
        <v>11</v>
      </c>
      <c r="X631" t="s">
        <v>75</v>
      </c>
      <c r="Y631" t="s">
        <v>173</v>
      </c>
      <c r="Z631" t="s">
        <v>91</v>
      </c>
      <c r="AA631" t="s">
        <v>92</v>
      </c>
      <c r="AB631" t="s">
        <v>79</v>
      </c>
      <c r="AD631" t="s">
        <v>80</v>
      </c>
      <c r="AE631" t="s">
        <v>81</v>
      </c>
      <c r="AF631" t="s">
        <v>82</v>
      </c>
      <c r="AG631" t="s">
        <v>83</v>
      </c>
      <c r="AH631" t="s">
        <v>84</v>
      </c>
      <c r="AI631" t="str">
        <f t="shared" ref="AI631:AI638" si="156">"01"</f>
        <v>01</v>
      </c>
      <c r="AJ631" t="str">
        <f t="shared" ref="AJ631:AJ640" si="157">"1"</f>
        <v>1</v>
      </c>
      <c r="AK631" t="s">
        <v>101</v>
      </c>
      <c r="AL631" t="s">
        <v>94</v>
      </c>
      <c r="AM631" t="s">
        <v>95</v>
      </c>
      <c r="AN631" t="str">
        <f t="shared" si="146"/>
        <v>.9700</v>
      </c>
      <c r="AO631" t="str">
        <f>"9.07"</f>
        <v>9.07</v>
      </c>
      <c r="AP631" t="s">
        <v>102</v>
      </c>
      <c r="AQ631" t="str">
        <f>"9.07"</f>
        <v>9.07</v>
      </c>
      <c r="AR631">
        <v>75</v>
      </c>
      <c r="AS631">
        <v>-9</v>
      </c>
      <c r="AT631">
        <v>66</v>
      </c>
      <c r="AU631">
        <v>680.52</v>
      </c>
      <c r="AV631">
        <v>39.75</v>
      </c>
      <c r="AW631">
        <v>640.77</v>
      </c>
      <c r="AX631">
        <v>-75.94</v>
      </c>
      <c r="AY631">
        <v>564.83000000000004</v>
      </c>
      <c r="AZ631">
        <v>0</v>
      </c>
    </row>
    <row r="632" spans="1:52">
      <c r="A632" t="s">
        <v>833</v>
      </c>
      <c r="B632" t="s">
        <v>834</v>
      </c>
      <c r="C632" t="s">
        <v>835</v>
      </c>
      <c r="D632" t="s">
        <v>836</v>
      </c>
      <c r="E632" t="s">
        <v>69</v>
      </c>
      <c r="F632" t="s">
        <v>70</v>
      </c>
      <c r="G632" t="s">
        <v>837</v>
      </c>
      <c r="H632" t="s">
        <v>838</v>
      </c>
      <c r="I632" t="str">
        <f t="shared" si="153"/>
        <v>1010</v>
      </c>
      <c r="J632" t="s">
        <v>67</v>
      </c>
      <c r="K632" t="s">
        <v>855</v>
      </c>
      <c r="L632" t="s">
        <v>856</v>
      </c>
      <c r="M632" t="s">
        <v>855</v>
      </c>
      <c r="N632" t="s">
        <v>1033</v>
      </c>
      <c r="O632" t="s">
        <v>1034</v>
      </c>
      <c r="P632" t="str">
        <f>"3020669572"</f>
        <v>3020669572</v>
      </c>
      <c r="R632" t="str">
        <f>"00030206695724"</f>
        <v>00030206695724</v>
      </c>
      <c r="S632" s="1">
        <v>40078</v>
      </c>
      <c r="T632" s="1">
        <v>39931</v>
      </c>
      <c r="U632" t="str">
        <f>"3020669572"</f>
        <v>3020669572</v>
      </c>
      <c r="V632" t="str">
        <f t="shared" si="152"/>
        <v>1510</v>
      </c>
      <c r="W632" t="str">
        <f t="shared" si="155"/>
        <v>11</v>
      </c>
      <c r="X632" t="s">
        <v>75</v>
      </c>
      <c r="Y632" t="s">
        <v>76</v>
      </c>
      <c r="Z632" t="s">
        <v>180</v>
      </c>
      <c r="AA632" t="s">
        <v>181</v>
      </c>
      <c r="AB632" t="s">
        <v>79</v>
      </c>
      <c r="AD632" t="s">
        <v>80</v>
      </c>
      <c r="AE632" t="s">
        <v>81</v>
      </c>
      <c r="AF632" t="s">
        <v>82</v>
      </c>
      <c r="AG632" t="s">
        <v>83</v>
      </c>
      <c r="AH632" t="s">
        <v>84</v>
      </c>
      <c r="AI632" t="str">
        <f t="shared" si="156"/>
        <v>01</v>
      </c>
      <c r="AJ632" t="str">
        <f t="shared" si="157"/>
        <v>1</v>
      </c>
      <c r="AK632" t="s">
        <v>118</v>
      </c>
      <c r="AL632" t="s">
        <v>94</v>
      </c>
      <c r="AM632" t="s">
        <v>95</v>
      </c>
      <c r="AN632" t="str">
        <f t="shared" si="146"/>
        <v>.9700</v>
      </c>
      <c r="AO632" t="str">
        <f>"10.32"</f>
        <v>10.32</v>
      </c>
      <c r="AP632" t="s">
        <v>119</v>
      </c>
      <c r="AQ632" t="str">
        <f>"10.32"</f>
        <v>10.32</v>
      </c>
      <c r="AR632">
        <v>9</v>
      </c>
      <c r="AS632">
        <v>0</v>
      </c>
      <c r="AT632">
        <v>9</v>
      </c>
      <c r="AU632">
        <v>91.05</v>
      </c>
      <c r="AV632">
        <v>9.91</v>
      </c>
      <c r="AW632">
        <v>81.14</v>
      </c>
      <c r="AX632">
        <v>0</v>
      </c>
      <c r="AY632">
        <v>81.14</v>
      </c>
      <c r="AZ632">
        <v>0</v>
      </c>
    </row>
    <row r="633" spans="1:52">
      <c r="A633" t="s">
        <v>833</v>
      </c>
      <c r="B633" t="s">
        <v>834</v>
      </c>
      <c r="C633" t="s">
        <v>835</v>
      </c>
      <c r="D633" t="s">
        <v>836</v>
      </c>
      <c r="E633" t="s">
        <v>69</v>
      </c>
      <c r="F633" t="s">
        <v>70</v>
      </c>
      <c r="G633" t="s">
        <v>837</v>
      </c>
      <c r="H633" t="s">
        <v>838</v>
      </c>
      <c r="I633" t="str">
        <f t="shared" si="153"/>
        <v>1010</v>
      </c>
      <c r="J633" t="s">
        <v>67</v>
      </c>
      <c r="K633" t="s">
        <v>855</v>
      </c>
      <c r="L633" t="s">
        <v>856</v>
      </c>
      <c r="M633" t="s">
        <v>855</v>
      </c>
      <c r="N633" t="s">
        <v>1035</v>
      </c>
      <c r="O633" t="s">
        <v>1036</v>
      </c>
      <c r="P633" t="str">
        <f>"3020663112"</f>
        <v>3020663112</v>
      </c>
      <c r="Q633" t="str">
        <f>"050266311"</f>
        <v>050266311</v>
      </c>
      <c r="R633" t="str">
        <f>"00030206631128"</f>
        <v>00030206631128</v>
      </c>
      <c r="S633" s="1">
        <v>37341</v>
      </c>
      <c r="T633" s="1">
        <v>37341</v>
      </c>
      <c r="U633" t="str">
        <f>"3020663112"</f>
        <v>3020663112</v>
      </c>
      <c r="V633" t="str">
        <f t="shared" si="152"/>
        <v>1510</v>
      </c>
      <c r="W633" t="str">
        <f t="shared" si="155"/>
        <v>11</v>
      </c>
      <c r="X633" t="s">
        <v>75</v>
      </c>
      <c r="Y633" t="s">
        <v>76</v>
      </c>
      <c r="Z633" t="s">
        <v>105</v>
      </c>
      <c r="AA633" t="s">
        <v>106</v>
      </c>
      <c r="AB633" t="s">
        <v>79</v>
      </c>
      <c r="AD633" t="s">
        <v>80</v>
      </c>
      <c r="AE633" t="s">
        <v>81</v>
      </c>
      <c r="AF633" t="s">
        <v>82</v>
      </c>
      <c r="AG633" t="s">
        <v>83</v>
      </c>
      <c r="AH633" t="s">
        <v>84</v>
      </c>
      <c r="AI633" t="str">
        <f t="shared" si="156"/>
        <v>01</v>
      </c>
      <c r="AJ633" t="str">
        <f t="shared" si="157"/>
        <v>1</v>
      </c>
      <c r="AK633" t="s">
        <v>101</v>
      </c>
      <c r="AL633" t="s">
        <v>94</v>
      </c>
      <c r="AM633" t="s">
        <v>95</v>
      </c>
      <c r="AN633" t="str">
        <f t="shared" si="146"/>
        <v>.9700</v>
      </c>
      <c r="AO633" t="str">
        <f>"9.07"</f>
        <v>9.07</v>
      </c>
      <c r="AP633" t="s">
        <v>102</v>
      </c>
      <c r="AQ633" t="str">
        <f>"9.07"</f>
        <v>9.07</v>
      </c>
      <c r="AR633">
        <v>66</v>
      </c>
      <c r="AS633">
        <v>0</v>
      </c>
      <c r="AT633">
        <v>66</v>
      </c>
      <c r="AU633">
        <v>598.5</v>
      </c>
      <c r="AV633">
        <v>71.819999999999993</v>
      </c>
      <c r="AW633">
        <v>526.67999999999995</v>
      </c>
      <c r="AX633">
        <v>0</v>
      </c>
      <c r="AY633">
        <v>526.67999999999995</v>
      </c>
      <c r="AZ633">
        <v>0</v>
      </c>
    </row>
    <row r="634" spans="1:52">
      <c r="A634" t="s">
        <v>833</v>
      </c>
      <c r="B634" t="s">
        <v>834</v>
      </c>
      <c r="C634" t="s">
        <v>835</v>
      </c>
      <c r="D634" t="s">
        <v>836</v>
      </c>
      <c r="E634" t="s">
        <v>69</v>
      </c>
      <c r="F634" t="s">
        <v>70</v>
      </c>
      <c r="G634" t="s">
        <v>837</v>
      </c>
      <c r="H634" t="s">
        <v>838</v>
      </c>
      <c r="I634" t="str">
        <f t="shared" si="153"/>
        <v>1010</v>
      </c>
      <c r="J634" t="s">
        <v>67</v>
      </c>
      <c r="K634" t="s">
        <v>855</v>
      </c>
      <c r="L634" t="s">
        <v>856</v>
      </c>
      <c r="M634" t="s">
        <v>855</v>
      </c>
      <c r="N634" t="s">
        <v>1037</v>
      </c>
      <c r="O634" t="s">
        <v>300</v>
      </c>
      <c r="P634" t="str">
        <f>"3020670872"</f>
        <v>3020670872</v>
      </c>
      <c r="R634" t="str">
        <f>"00030206708721"</f>
        <v>00030206708721</v>
      </c>
      <c r="S634" s="1">
        <v>40708</v>
      </c>
      <c r="T634" s="1">
        <v>40694</v>
      </c>
      <c r="U634" t="str">
        <f>"3020670872"</f>
        <v>3020670872</v>
      </c>
      <c r="V634" t="str">
        <f t="shared" si="152"/>
        <v>1510</v>
      </c>
      <c r="W634" t="str">
        <f t="shared" si="155"/>
        <v>11</v>
      </c>
      <c r="X634" t="s">
        <v>75</v>
      </c>
      <c r="Y634" t="s">
        <v>76</v>
      </c>
      <c r="Z634" t="s">
        <v>126</v>
      </c>
      <c r="AA634" t="s">
        <v>127</v>
      </c>
      <c r="AB634" t="s">
        <v>79</v>
      </c>
      <c r="AD634" t="s">
        <v>80</v>
      </c>
      <c r="AE634" t="s">
        <v>81</v>
      </c>
      <c r="AF634" t="s">
        <v>82</v>
      </c>
      <c r="AG634" t="s">
        <v>83</v>
      </c>
      <c r="AH634" t="s">
        <v>84</v>
      </c>
      <c r="AI634" t="str">
        <f t="shared" si="156"/>
        <v>01</v>
      </c>
      <c r="AJ634" t="str">
        <f t="shared" si="157"/>
        <v>1</v>
      </c>
      <c r="AK634" t="s">
        <v>85</v>
      </c>
      <c r="AL634" t="s">
        <v>94</v>
      </c>
      <c r="AM634" t="s">
        <v>87</v>
      </c>
      <c r="AN634" t="str">
        <f t="shared" ref="AN634:AN697" si="158">".9700"</f>
        <v>.9700</v>
      </c>
      <c r="AO634" t="str">
        <f>"7.50"</f>
        <v>7.50</v>
      </c>
      <c r="AP634" t="s">
        <v>88</v>
      </c>
      <c r="AQ634" t="str">
        <f>"7.50"</f>
        <v>7.50</v>
      </c>
      <c r="AR634">
        <v>164</v>
      </c>
      <c r="AS634">
        <v>0</v>
      </c>
      <c r="AT634">
        <v>164</v>
      </c>
      <c r="AU634">
        <v>1230.0999999999999</v>
      </c>
      <c r="AV634">
        <v>142.78</v>
      </c>
      <c r="AW634">
        <v>1087.32</v>
      </c>
      <c r="AX634">
        <v>0</v>
      </c>
      <c r="AY634">
        <v>1087.32</v>
      </c>
      <c r="AZ634">
        <v>0</v>
      </c>
    </row>
    <row r="635" spans="1:52">
      <c r="A635" t="s">
        <v>833</v>
      </c>
      <c r="B635" t="s">
        <v>834</v>
      </c>
      <c r="C635" t="s">
        <v>835</v>
      </c>
      <c r="D635" t="s">
        <v>836</v>
      </c>
      <c r="E635" t="s">
        <v>69</v>
      </c>
      <c r="F635" t="s">
        <v>70</v>
      </c>
      <c r="G635" t="s">
        <v>837</v>
      </c>
      <c r="H635" t="s">
        <v>838</v>
      </c>
      <c r="I635" t="str">
        <f t="shared" si="153"/>
        <v>1010</v>
      </c>
      <c r="J635" t="s">
        <v>67</v>
      </c>
      <c r="K635" t="s">
        <v>855</v>
      </c>
      <c r="L635" t="s">
        <v>856</v>
      </c>
      <c r="M635" t="s">
        <v>855</v>
      </c>
      <c r="N635" t="s">
        <v>1038</v>
      </c>
      <c r="O635" t="s">
        <v>1039</v>
      </c>
      <c r="P635" t="s">
        <v>1040</v>
      </c>
      <c r="R635" t="str">
        <f>"00030206553925"</f>
        <v>00030206553925</v>
      </c>
      <c r="S635" s="1">
        <v>34604</v>
      </c>
      <c r="T635" s="1">
        <v>34604</v>
      </c>
      <c r="U635" t="s">
        <v>1040</v>
      </c>
      <c r="V635" t="str">
        <f t="shared" si="152"/>
        <v>1510</v>
      </c>
      <c r="W635" t="str">
        <f t="shared" si="155"/>
        <v>11</v>
      </c>
      <c r="X635" t="s">
        <v>75</v>
      </c>
      <c r="Y635" t="s">
        <v>76</v>
      </c>
      <c r="Z635" t="s">
        <v>105</v>
      </c>
      <c r="AA635" t="s">
        <v>106</v>
      </c>
      <c r="AB635" t="s">
        <v>79</v>
      </c>
      <c r="AD635" t="s">
        <v>80</v>
      </c>
      <c r="AE635" t="s">
        <v>81</v>
      </c>
      <c r="AF635" t="s">
        <v>82</v>
      </c>
      <c r="AG635" t="s">
        <v>83</v>
      </c>
      <c r="AH635" t="s">
        <v>84</v>
      </c>
      <c r="AI635" t="str">
        <f t="shared" si="156"/>
        <v>01</v>
      </c>
      <c r="AJ635" t="str">
        <f t="shared" si="157"/>
        <v>1</v>
      </c>
      <c r="AK635" t="s">
        <v>118</v>
      </c>
      <c r="AL635" t="s">
        <v>94</v>
      </c>
      <c r="AM635" t="s">
        <v>95</v>
      </c>
      <c r="AN635" t="str">
        <f t="shared" si="158"/>
        <v>.9700</v>
      </c>
      <c r="AO635" t="str">
        <f>"10.32"</f>
        <v>10.32</v>
      </c>
      <c r="AP635" t="s">
        <v>119</v>
      </c>
      <c r="AQ635" t="str">
        <f>"10.32"</f>
        <v>10.32</v>
      </c>
      <c r="AR635">
        <v>76</v>
      </c>
      <c r="AS635">
        <v>0</v>
      </c>
      <c r="AT635">
        <v>76</v>
      </c>
      <c r="AU635">
        <v>776.91</v>
      </c>
      <c r="AV635">
        <v>88.7</v>
      </c>
      <c r="AW635">
        <v>688.21</v>
      </c>
      <c r="AX635">
        <v>0</v>
      </c>
      <c r="AY635">
        <v>688.21</v>
      </c>
      <c r="AZ635">
        <v>0</v>
      </c>
    </row>
    <row r="636" spans="1:52">
      <c r="A636" t="s">
        <v>833</v>
      </c>
      <c r="B636" t="s">
        <v>834</v>
      </c>
      <c r="C636" t="s">
        <v>835</v>
      </c>
      <c r="D636" t="s">
        <v>836</v>
      </c>
      <c r="E636" t="s">
        <v>69</v>
      </c>
      <c r="F636" t="s">
        <v>70</v>
      </c>
      <c r="G636" t="s">
        <v>837</v>
      </c>
      <c r="H636" t="s">
        <v>838</v>
      </c>
      <c r="I636" t="str">
        <f t="shared" si="153"/>
        <v>1010</v>
      </c>
      <c r="J636" t="s">
        <v>67</v>
      </c>
      <c r="K636" t="s">
        <v>855</v>
      </c>
      <c r="L636" t="s">
        <v>856</v>
      </c>
      <c r="M636" t="s">
        <v>855</v>
      </c>
      <c r="N636" t="s">
        <v>1041</v>
      </c>
      <c r="O636" t="s">
        <v>185</v>
      </c>
      <c r="P636" t="str">
        <f>"3020662702"</f>
        <v>3020662702</v>
      </c>
      <c r="Q636" t="str">
        <f>"050266270"</f>
        <v>050266270</v>
      </c>
      <c r="R636" t="str">
        <f>"00030206627022"</f>
        <v>00030206627022</v>
      </c>
      <c r="S636" s="1">
        <v>37159</v>
      </c>
      <c r="T636" s="1">
        <v>37159</v>
      </c>
      <c r="U636" t="str">
        <f>"3020662702"</f>
        <v>3020662702</v>
      </c>
      <c r="V636" t="str">
        <f t="shared" si="152"/>
        <v>1510</v>
      </c>
      <c r="W636" t="str">
        <f t="shared" si="155"/>
        <v>11</v>
      </c>
      <c r="X636" t="s">
        <v>75</v>
      </c>
      <c r="Y636" t="s">
        <v>76</v>
      </c>
      <c r="Z636" t="s">
        <v>105</v>
      </c>
      <c r="AA636" t="s">
        <v>106</v>
      </c>
      <c r="AB636" t="s">
        <v>79</v>
      </c>
      <c r="AD636" t="s">
        <v>80</v>
      </c>
      <c r="AE636" t="s">
        <v>81</v>
      </c>
      <c r="AF636" t="s">
        <v>82</v>
      </c>
      <c r="AG636" t="s">
        <v>83</v>
      </c>
      <c r="AH636" t="s">
        <v>84</v>
      </c>
      <c r="AI636" t="str">
        <f t="shared" si="156"/>
        <v>01</v>
      </c>
      <c r="AJ636" t="str">
        <f t="shared" si="157"/>
        <v>1</v>
      </c>
      <c r="AK636" t="s">
        <v>93</v>
      </c>
      <c r="AL636" t="s">
        <v>94</v>
      </c>
      <c r="AM636" t="s">
        <v>95</v>
      </c>
      <c r="AN636" t="str">
        <f t="shared" si="158"/>
        <v>.9700</v>
      </c>
      <c r="AO636" t="str">
        <f>"11.41"</f>
        <v>11.41</v>
      </c>
      <c r="AP636" t="s">
        <v>96</v>
      </c>
      <c r="AQ636" t="str">
        <f>"11.41"</f>
        <v>11.41</v>
      </c>
      <c r="AR636">
        <v>64</v>
      </c>
      <c r="AS636">
        <v>0</v>
      </c>
      <c r="AT636">
        <v>64</v>
      </c>
      <c r="AU636">
        <v>730.19</v>
      </c>
      <c r="AV636">
        <v>87.39</v>
      </c>
      <c r="AW636">
        <v>642.79999999999995</v>
      </c>
      <c r="AX636">
        <v>0</v>
      </c>
      <c r="AY636">
        <v>642.79999999999995</v>
      </c>
      <c r="AZ636">
        <v>0</v>
      </c>
    </row>
    <row r="637" spans="1:52">
      <c r="A637" t="s">
        <v>833</v>
      </c>
      <c r="B637" t="s">
        <v>834</v>
      </c>
      <c r="C637" t="s">
        <v>835</v>
      </c>
      <c r="D637" t="s">
        <v>836</v>
      </c>
      <c r="E637" t="s">
        <v>69</v>
      </c>
      <c r="F637" t="s">
        <v>70</v>
      </c>
      <c r="G637" t="s">
        <v>837</v>
      </c>
      <c r="H637" t="s">
        <v>838</v>
      </c>
      <c r="I637" t="str">
        <f t="shared" si="153"/>
        <v>1010</v>
      </c>
      <c r="J637" t="s">
        <v>67</v>
      </c>
      <c r="K637" t="s">
        <v>855</v>
      </c>
      <c r="L637" t="s">
        <v>856</v>
      </c>
      <c r="M637" t="s">
        <v>855</v>
      </c>
      <c r="N637" t="s">
        <v>1042</v>
      </c>
      <c r="O637" t="s">
        <v>300</v>
      </c>
      <c r="P637" t="str">
        <f>"3020661312"</f>
        <v>3020661312</v>
      </c>
      <c r="Q637" t="str">
        <f>"050266131"</f>
        <v>050266131</v>
      </c>
      <c r="R637" t="str">
        <f>"00030206613124"</f>
        <v>00030206613124</v>
      </c>
      <c r="S637" s="1">
        <v>36683</v>
      </c>
      <c r="T637" s="1">
        <v>36683</v>
      </c>
      <c r="U637" t="str">
        <f>"3020661312"</f>
        <v>3020661312</v>
      </c>
      <c r="V637" t="str">
        <f t="shared" si="152"/>
        <v>1510</v>
      </c>
      <c r="W637" t="str">
        <f t="shared" si="155"/>
        <v>11</v>
      </c>
      <c r="X637" t="s">
        <v>75</v>
      </c>
      <c r="Y637" t="s">
        <v>76</v>
      </c>
      <c r="Z637" t="s">
        <v>105</v>
      </c>
      <c r="AA637" t="s">
        <v>106</v>
      </c>
      <c r="AB637" t="s">
        <v>79</v>
      </c>
      <c r="AD637" t="s">
        <v>80</v>
      </c>
      <c r="AE637" t="s">
        <v>81</v>
      </c>
      <c r="AF637" t="s">
        <v>82</v>
      </c>
      <c r="AG637" t="s">
        <v>83</v>
      </c>
      <c r="AH637" t="s">
        <v>84</v>
      </c>
      <c r="AI637" t="str">
        <f t="shared" si="156"/>
        <v>01</v>
      </c>
      <c r="AJ637" t="str">
        <f t="shared" si="157"/>
        <v>1</v>
      </c>
      <c r="AK637" t="s">
        <v>101</v>
      </c>
      <c r="AL637" t="s">
        <v>94</v>
      </c>
      <c r="AM637" t="s">
        <v>95</v>
      </c>
      <c r="AN637" t="str">
        <f t="shared" si="158"/>
        <v>.9700</v>
      </c>
      <c r="AO637" t="str">
        <f>"9.07"</f>
        <v>9.07</v>
      </c>
      <c r="AP637" t="s">
        <v>102</v>
      </c>
      <c r="AQ637" t="str">
        <f>"9.07"</f>
        <v>9.07</v>
      </c>
      <c r="AR637">
        <v>112</v>
      </c>
      <c r="AS637">
        <v>-2</v>
      </c>
      <c r="AT637">
        <v>110</v>
      </c>
      <c r="AU637">
        <v>1015.73</v>
      </c>
      <c r="AV637">
        <v>121.22</v>
      </c>
      <c r="AW637">
        <v>894.51</v>
      </c>
      <c r="AX637">
        <v>-16.34</v>
      </c>
      <c r="AY637">
        <v>878.17</v>
      </c>
      <c r="AZ637">
        <v>0</v>
      </c>
    </row>
    <row r="638" spans="1:52">
      <c r="A638" t="s">
        <v>833</v>
      </c>
      <c r="B638" t="s">
        <v>834</v>
      </c>
      <c r="C638" t="s">
        <v>835</v>
      </c>
      <c r="D638" t="s">
        <v>836</v>
      </c>
      <c r="E638" t="s">
        <v>69</v>
      </c>
      <c r="F638" t="s">
        <v>70</v>
      </c>
      <c r="G638" t="s">
        <v>837</v>
      </c>
      <c r="H638" t="s">
        <v>838</v>
      </c>
      <c r="I638" t="str">
        <f t="shared" si="153"/>
        <v>1010</v>
      </c>
      <c r="J638" t="s">
        <v>67</v>
      </c>
      <c r="K638" t="s">
        <v>855</v>
      </c>
      <c r="L638" t="s">
        <v>856</v>
      </c>
      <c r="M638" t="s">
        <v>855</v>
      </c>
      <c r="N638" t="s">
        <v>1043</v>
      </c>
      <c r="O638" t="s">
        <v>884</v>
      </c>
      <c r="P638" t="s">
        <v>1044</v>
      </c>
      <c r="Q638" t="str">
        <f>"050206029"</f>
        <v>050206029</v>
      </c>
      <c r="R638" t="str">
        <f>"00030206602920"</f>
        <v>00030206602920</v>
      </c>
      <c r="S638" s="1">
        <v>36368</v>
      </c>
      <c r="T638" s="1">
        <v>36368</v>
      </c>
      <c r="U638" t="s">
        <v>1044</v>
      </c>
      <c r="V638" t="str">
        <f t="shared" si="152"/>
        <v>1510</v>
      </c>
      <c r="W638" t="str">
        <f t="shared" si="155"/>
        <v>11</v>
      </c>
      <c r="X638" t="s">
        <v>75</v>
      </c>
      <c r="Y638" t="s">
        <v>76</v>
      </c>
      <c r="Z638" t="s">
        <v>105</v>
      </c>
      <c r="AA638" t="s">
        <v>106</v>
      </c>
      <c r="AB638" t="s">
        <v>79</v>
      </c>
      <c r="AD638" t="s">
        <v>80</v>
      </c>
      <c r="AE638" t="s">
        <v>81</v>
      </c>
      <c r="AF638" t="s">
        <v>82</v>
      </c>
      <c r="AG638" t="s">
        <v>83</v>
      </c>
      <c r="AH638" t="s">
        <v>84</v>
      </c>
      <c r="AI638" t="str">
        <f t="shared" si="156"/>
        <v>01</v>
      </c>
      <c r="AJ638" t="str">
        <f t="shared" si="157"/>
        <v>1</v>
      </c>
      <c r="AK638" t="s">
        <v>93</v>
      </c>
      <c r="AL638" t="s">
        <v>94</v>
      </c>
      <c r="AM638" t="s">
        <v>95</v>
      </c>
      <c r="AN638" t="str">
        <f t="shared" si="158"/>
        <v>.9700</v>
      </c>
      <c r="AO638" t="str">
        <f>"11.41"</f>
        <v>11.41</v>
      </c>
      <c r="AP638" t="s">
        <v>96</v>
      </c>
      <c r="AQ638" t="str">
        <f>"11.41"</f>
        <v>11.41</v>
      </c>
      <c r="AR638">
        <v>184</v>
      </c>
      <c r="AS638">
        <v>-1</v>
      </c>
      <c r="AT638">
        <v>183</v>
      </c>
      <c r="AU638">
        <v>2099.46</v>
      </c>
      <c r="AV638">
        <v>246</v>
      </c>
      <c r="AW638">
        <v>1853.46</v>
      </c>
      <c r="AX638">
        <v>-10.59</v>
      </c>
      <c r="AY638">
        <v>1842.87</v>
      </c>
      <c r="AZ638">
        <v>0</v>
      </c>
    </row>
    <row r="639" spans="1:52">
      <c r="A639" t="s">
        <v>833</v>
      </c>
      <c r="B639" t="s">
        <v>834</v>
      </c>
      <c r="C639" t="s">
        <v>835</v>
      </c>
      <c r="D639" t="s">
        <v>836</v>
      </c>
      <c r="E639" t="s">
        <v>69</v>
      </c>
      <c r="F639" t="s">
        <v>70</v>
      </c>
      <c r="G639" t="s">
        <v>837</v>
      </c>
      <c r="H639" t="s">
        <v>838</v>
      </c>
      <c r="I639" t="str">
        <f t="shared" si="153"/>
        <v>1010</v>
      </c>
      <c r="J639" t="s">
        <v>67</v>
      </c>
      <c r="K639" t="s">
        <v>855</v>
      </c>
      <c r="L639" t="s">
        <v>856</v>
      </c>
      <c r="M639" t="s">
        <v>855</v>
      </c>
      <c r="N639" t="s">
        <v>1045</v>
      </c>
      <c r="O639" t="s">
        <v>1046</v>
      </c>
      <c r="P639" t="str">
        <f>"3020660592"</f>
        <v>3020660592</v>
      </c>
      <c r="Q639" t="str">
        <f>"050266059"</f>
        <v>050266059</v>
      </c>
      <c r="R639" t="str">
        <f>"00030206605921"</f>
        <v>00030206605921</v>
      </c>
      <c r="S639" s="1">
        <v>36480</v>
      </c>
      <c r="T639" s="1">
        <v>36452</v>
      </c>
      <c r="U639" t="str">
        <f>"3020660592"</f>
        <v>3020660592</v>
      </c>
      <c r="V639" t="str">
        <f t="shared" si="152"/>
        <v>1510</v>
      </c>
      <c r="W639" t="str">
        <f t="shared" si="155"/>
        <v>11</v>
      </c>
      <c r="X639" t="s">
        <v>75</v>
      </c>
      <c r="Y639" t="s">
        <v>76</v>
      </c>
      <c r="Z639" t="s">
        <v>105</v>
      </c>
      <c r="AA639" t="s">
        <v>106</v>
      </c>
      <c r="AB639" t="s">
        <v>79</v>
      </c>
      <c r="AD639" t="s">
        <v>80</v>
      </c>
      <c r="AE639" t="s">
        <v>81</v>
      </c>
      <c r="AF639" t="s">
        <v>82</v>
      </c>
      <c r="AG639" t="s">
        <v>83</v>
      </c>
      <c r="AH639" t="s">
        <v>84</v>
      </c>
      <c r="AJ639" t="str">
        <f t="shared" si="157"/>
        <v>1</v>
      </c>
      <c r="AK639" t="s">
        <v>101</v>
      </c>
      <c r="AL639" t="s">
        <v>94</v>
      </c>
      <c r="AM639" t="s">
        <v>95</v>
      </c>
      <c r="AN639" t="str">
        <f t="shared" si="158"/>
        <v>.9700</v>
      </c>
      <c r="AO639" t="str">
        <f>"9.07"</f>
        <v>9.07</v>
      </c>
      <c r="AP639" t="s">
        <v>102</v>
      </c>
      <c r="AQ639" t="str">
        <f>"9.07"</f>
        <v>9.07</v>
      </c>
      <c r="AR639">
        <v>28</v>
      </c>
      <c r="AS639">
        <v>0</v>
      </c>
      <c r="AT639">
        <v>28</v>
      </c>
      <c r="AU639">
        <v>253.91</v>
      </c>
      <c r="AV639">
        <v>30.47</v>
      </c>
      <c r="AW639">
        <v>223.44</v>
      </c>
      <c r="AX639">
        <v>0</v>
      </c>
      <c r="AY639">
        <v>223.44</v>
      </c>
      <c r="AZ639">
        <v>0</v>
      </c>
    </row>
    <row r="640" spans="1:52">
      <c r="A640" t="s">
        <v>833</v>
      </c>
      <c r="B640" t="s">
        <v>834</v>
      </c>
      <c r="C640" t="s">
        <v>835</v>
      </c>
      <c r="D640" t="s">
        <v>836</v>
      </c>
      <c r="E640" t="s">
        <v>69</v>
      </c>
      <c r="F640" t="s">
        <v>70</v>
      </c>
      <c r="G640" t="s">
        <v>837</v>
      </c>
      <c r="H640" t="s">
        <v>838</v>
      </c>
      <c r="I640" t="str">
        <f t="shared" si="153"/>
        <v>1010</v>
      </c>
      <c r="J640" t="s">
        <v>67</v>
      </c>
      <c r="K640" t="s">
        <v>855</v>
      </c>
      <c r="L640" t="s">
        <v>856</v>
      </c>
      <c r="M640" t="s">
        <v>855</v>
      </c>
      <c r="N640" t="s">
        <v>1047</v>
      </c>
      <c r="O640" t="s">
        <v>1048</v>
      </c>
      <c r="P640" t="str">
        <f>"3020671832"</f>
        <v>3020671832</v>
      </c>
      <c r="R640" t="str">
        <f>"00030206718324"</f>
        <v>00030206718324</v>
      </c>
      <c r="S640" s="1">
        <v>41401</v>
      </c>
      <c r="T640" s="1">
        <v>41401</v>
      </c>
      <c r="U640" t="str">
        <f>"3020671832"</f>
        <v>3020671832</v>
      </c>
      <c r="V640" t="str">
        <f>"1010"</f>
        <v>1010</v>
      </c>
      <c r="W640" t="str">
        <f t="shared" si="155"/>
        <v>11</v>
      </c>
      <c r="X640" t="s">
        <v>75</v>
      </c>
      <c r="Y640" t="s">
        <v>173</v>
      </c>
      <c r="Z640" t="s">
        <v>105</v>
      </c>
      <c r="AA640" t="s">
        <v>106</v>
      </c>
      <c r="AB640" t="s">
        <v>79</v>
      </c>
      <c r="AD640" t="s">
        <v>80</v>
      </c>
      <c r="AE640" t="s">
        <v>81</v>
      </c>
      <c r="AF640" t="s">
        <v>82</v>
      </c>
      <c r="AG640" t="s">
        <v>83</v>
      </c>
      <c r="AH640" t="s">
        <v>84</v>
      </c>
      <c r="AJ640" t="str">
        <f t="shared" si="157"/>
        <v>1</v>
      </c>
      <c r="AK640" t="s">
        <v>101</v>
      </c>
      <c r="AL640" t="s">
        <v>143</v>
      </c>
      <c r="AM640" t="s">
        <v>95</v>
      </c>
      <c r="AN640" t="str">
        <f t="shared" si="158"/>
        <v>.9700</v>
      </c>
      <c r="AO640" t="str">
        <f>"9.07"</f>
        <v>9.07</v>
      </c>
      <c r="AP640" t="s">
        <v>102</v>
      </c>
      <c r="AQ640" t="str">
        <f>"9.07"</f>
        <v>9.07</v>
      </c>
      <c r="AR640">
        <v>3</v>
      </c>
      <c r="AS640">
        <v>-7</v>
      </c>
      <c r="AT640">
        <v>-4</v>
      </c>
      <c r="AU640">
        <v>27.21</v>
      </c>
      <c r="AV640">
        <v>0</v>
      </c>
      <c r="AW640">
        <v>27.21</v>
      </c>
      <c r="AX640">
        <v>-60.52</v>
      </c>
      <c r="AY640">
        <v>-33.31</v>
      </c>
      <c r="AZ640">
        <v>0</v>
      </c>
    </row>
    <row r="641" spans="1:52">
      <c r="A641" t="s">
        <v>833</v>
      </c>
      <c r="B641" t="s">
        <v>834</v>
      </c>
      <c r="C641" t="s">
        <v>835</v>
      </c>
      <c r="D641" t="s">
        <v>836</v>
      </c>
      <c r="E641" t="s">
        <v>69</v>
      </c>
      <c r="F641" t="s">
        <v>70</v>
      </c>
      <c r="G641" t="s">
        <v>837</v>
      </c>
      <c r="H641" t="s">
        <v>838</v>
      </c>
      <c r="I641" t="str">
        <f t="shared" ref="I641:I672" si="159">"1010"</f>
        <v>1010</v>
      </c>
      <c r="J641" t="s">
        <v>67</v>
      </c>
      <c r="K641" t="s">
        <v>855</v>
      </c>
      <c r="L641" t="s">
        <v>856</v>
      </c>
      <c r="M641" t="s">
        <v>855</v>
      </c>
      <c r="N641" t="s">
        <v>1049</v>
      </c>
      <c r="O641" t="s">
        <v>1050</v>
      </c>
      <c r="P641" t="str">
        <f>"3020624152"</f>
        <v>3020624152</v>
      </c>
      <c r="R641" t="str">
        <f>"00030206241525"</f>
        <v>00030206241525</v>
      </c>
      <c r="S641" s="1">
        <v>41058</v>
      </c>
      <c r="T641" s="1">
        <v>41044</v>
      </c>
      <c r="U641" t="str">
        <f>"3020624152"</f>
        <v>3020624152</v>
      </c>
      <c r="V641" t="str">
        <f t="shared" ref="V641:V672" si="160">"1510"</f>
        <v>1510</v>
      </c>
      <c r="W641" t="str">
        <f t="shared" si="155"/>
        <v>11</v>
      </c>
      <c r="X641" t="s">
        <v>75</v>
      </c>
      <c r="Y641" t="s">
        <v>76</v>
      </c>
      <c r="Z641" t="s">
        <v>169</v>
      </c>
      <c r="AA641" t="s">
        <v>170</v>
      </c>
      <c r="AB641" t="s">
        <v>79</v>
      </c>
      <c r="AD641" t="s">
        <v>80</v>
      </c>
      <c r="AE641" t="s">
        <v>81</v>
      </c>
      <c r="AF641" t="s">
        <v>82</v>
      </c>
      <c r="AG641" t="s">
        <v>133</v>
      </c>
      <c r="AH641" t="s">
        <v>134</v>
      </c>
      <c r="AI641" t="str">
        <f>"02"</f>
        <v>02</v>
      </c>
      <c r="AJ641" t="str">
        <f>"2"</f>
        <v>2</v>
      </c>
      <c r="AK641" t="s">
        <v>107</v>
      </c>
      <c r="AL641" t="s">
        <v>94</v>
      </c>
      <c r="AM641" t="s">
        <v>95</v>
      </c>
      <c r="AN641" t="str">
        <f t="shared" si="158"/>
        <v>.9700</v>
      </c>
      <c r="AO641" t="str">
        <f>"10.78"</f>
        <v>10.78</v>
      </c>
      <c r="AP641" t="s">
        <v>108</v>
      </c>
      <c r="AQ641" t="str">
        <f>"10.78"</f>
        <v>10.78</v>
      </c>
      <c r="AR641">
        <v>0</v>
      </c>
      <c r="AS641">
        <v>-18</v>
      </c>
      <c r="AT641">
        <v>-18</v>
      </c>
      <c r="AU641">
        <v>0</v>
      </c>
      <c r="AV641">
        <v>0</v>
      </c>
      <c r="AW641">
        <v>0</v>
      </c>
      <c r="AX641">
        <v>-153.24</v>
      </c>
      <c r="AY641">
        <v>-153.24</v>
      </c>
      <c r="AZ641">
        <v>0</v>
      </c>
    </row>
    <row r="642" spans="1:52">
      <c r="A642" t="s">
        <v>833</v>
      </c>
      <c r="B642" t="s">
        <v>834</v>
      </c>
      <c r="C642" t="s">
        <v>835</v>
      </c>
      <c r="D642" t="s">
        <v>836</v>
      </c>
      <c r="E642" t="s">
        <v>69</v>
      </c>
      <c r="F642" t="s">
        <v>70</v>
      </c>
      <c r="G642" t="s">
        <v>837</v>
      </c>
      <c r="H642" t="s">
        <v>838</v>
      </c>
      <c r="I642" t="str">
        <f t="shared" si="159"/>
        <v>1010</v>
      </c>
      <c r="J642" t="s">
        <v>67</v>
      </c>
      <c r="K642" t="s">
        <v>855</v>
      </c>
      <c r="L642" t="s">
        <v>856</v>
      </c>
      <c r="M642" t="s">
        <v>855</v>
      </c>
      <c r="N642" t="s">
        <v>435</v>
      </c>
      <c r="O642" t="s">
        <v>1051</v>
      </c>
      <c r="P642" t="str">
        <f>"3020671182"</f>
        <v>3020671182</v>
      </c>
      <c r="R642" t="str">
        <f>"00030206711820"</f>
        <v>00030206711820</v>
      </c>
      <c r="S642" s="1">
        <v>40862</v>
      </c>
      <c r="T642" s="1">
        <v>40862</v>
      </c>
      <c r="U642" t="str">
        <f>"3020671182"</f>
        <v>3020671182</v>
      </c>
      <c r="V642" t="str">
        <f t="shared" si="160"/>
        <v>1510</v>
      </c>
      <c r="W642" t="str">
        <f t="shared" si="155"/>
        <v>11</v>
      </c>
      <c r="X642" t="s">
        <v>75</v>
      </c>
      <c r="Y642" t="s">
        <v>76</v>
      </c>
      <c r="Z642" t="s">
        <v>126</v>
      </c>
      <c r="AA642" t="s">
        <v>127</v>
      </c>
      <c r="AB642" t="s">
        <v>79</v>
      </c>
      <c r="AD642" t="s">
        <v>80</v>
      </c>
      <c r="AE642" t="s">
        <v>81</v>
      </c>
      <c r="AF642" t="s">
        <v>82</v>
      </c>
      <c r="AG642" t="s">
        <v>83</v>
      </c>
      <c r="AH642" t="s">
        <v>84</v>
      </c>
      <c r="AI642" t="str">
        <f>"01"</f>
        <v>01</v>
      </c>
      <c r="AJ642" t="str">
        <f>"1"</f>
        <v>1</v>
      </c>
      <c r="AK642" t="s">
        <v>85</v>
      </c>
      <c r="AL642" t="s">
        <v>86</v>
      </c>
      <c r="AM642" t="s">
        <v>87</v>
      </c>
      <c r="AN642" t="str">
        <f t="shared" si="158"/>
        <v>.9700</v>
      </c>
      <c r="AO642" t="str">
        <f>"7.50"</f>
        <v>7.50</v>
      </c>
      <c r="AP642" t="s">
        <v>88</v>
      </c>
      <c r="AQ642" t="str">
        <f>"7.50"</f>
        <v>7.50</v>
      </c>
      <c r="AR642">
        <v>17</v>
      </c>
      <c r="AS642">
        <v>0</v>
      </c>
      <c r="AT642">
        <v>17</v>
      </c>
      <c r="AU642">
        <v>127.5</v>
      </c>
      <c r="AV642">
        <v>14.4</v>
      </c>
      <c r="AW642">
        <v>113.1</v>
      </c>
      <c r="AX642">
        <v>0</v>
      </c>
      <c r="AY642">
        <v>113.1</v>
      </c>
      <c r="AZ642">
        <v>0</v>
      </c>
    </row>
    <row r="643" spans="1:52">
      <c r="A643" t="s">
        <v>833</v>
      </c>
      <c r="B643" t="s">
        <v>834</v>
      </c>
      <c r="C643" t="s">
        <v>835</v>
      </c>
      <c r="D643" t="s">
        <v>836</v>
      </c>
      <c r="E643" t="s">
        <v>69</v>
      </c>
      <c r="F643" t="s">
        <v>70</v>
      </c>
      <c r="G643" t="s">
        <v>837</v>
      </c>
      <c r="H643" t="s">
        <v>838</v>
      </c>
      <c r="I643" t="str">
        <f t="shared" si="159"/>
        <v>1010</v>
      </c>
      <c r="J643" t="s">
        <v>67</v>
      </c>
      <c r="K643" t="s">
        <v>855</v>
      </c>
      <c r="L643" t="s">
        <v>856</v>
      </c>
      <c r="M643" t="s">
        <v>855</v>
      </c>
      <c r="N643" t="s">
        <v>435</v>
      </c>
      <c r="O643" t="s">
        <v>1052</v>
      </c>
      <c r="P643" t="str">
        <f>"3020664392"</f>
        <v>3020664392</v>
      </c>
      <c r="Q643" t="str">
        <f>"050366439"</f>
        <v>050366439</v>
      </c>
      <c r="R643" t="str">
        <f>"00030206643923"</f>
        <v>00030206643923</v>
      </c>
      <c r="S643" s="1">
        <v>37684</v>
      </c>
      <c r="T643" s="1">
        <v>37684</v>
      </c>
      <c r="U643" t="str">
        <f>"3020664392"</f>
        <v>3020664392</v>
      </c>
      <c r="V643" t="str">
        <f t="shared" si="160"/>
        <v>1510</v>
      </c>
      <c r="W643" t="str">
        <f t="shared" si="155"/>
        <v>11</v>
      </c>
      <c r="X643" t="s">
        <v>75</v>
      </c>
      <c r="Y643" t="s">
        <v>76</v>
      </c>
      <c r="Z643" t="s">
        <v>126</v>
      </c>
      <c r="AA643" t="s">
        <v>127</v>
      </c>
      <c r="AB643" t="s">
        <v>79</v>
      </c>
      <c r="AD643" t="s">
        <v>80</v>
      </c>
      <c r="AE643" t="s">
        <v>81</v>
      </c>
      <c r="AF643" t="s">
        <v>82</v>
      </c>
      <c r="AG643" t="s">
        <v>83</v>
      </c>
      <c r="AH643" t="s">
        <v>84</v>
      </c>
      <c r="AI643" t="str">
        <f>"02"</f>
        <v>02</v>
      </c>
      <c r="AJ643" t="str">
        <f>"2"</f>
        <v>2</v>
      </c>
      <c r="AK643" t="s">
        <v>1053</v>
      </c>
      <c r="AL643" t="s">
        <v>94</v>
      </c>
      <c r="AM643" t="s">
        <v>95</v>
      </c>
      <c r="AN643" t="str">
        <f t="shared" si="158"/>
        <v>.9700</v>
      </c>
      <c r="AO643" t="str">
        <f>"12.65"</f>
        <v>12.65</v>
      </c>
      <c r="AP643" t="s">
        <v>241</v>
      </c>
      <c r="AQ643" t="str">
        <f>"12.65"</f>
        <v>12.65</v>
      </c>
      <c r="AR643">
        <v>74</v>
      </c>
      <c r="AS643">
        <v>-1</v>
      </c>
      <c r="AT643">
        <v>73</v>
      </c>
      <c r="AU643">
        <v>935.95</v>
      </c>
      <c r="AV643">
        <v>95.61</v>
      </c>
      <c r="AW643">
        <v>840.34</v>
      </c>
      <c r="AX643">
        <v>-11.73</v>
      </c>
      <c r="AY643">
        <v>828.61</v>
      </c>
      <c r="AZ643">
        <v>0</v>
      </c>
    </row>
    <row r="644" spans="1:52">
      <c r="A644" t="s">
        <v>833</v>
      </c>
      <c r="B644" t="s">
        <v>834</v>
      </c>
      <c r="C644" t="s">
        <v>835</v>
      </c>
      <c r="D644" t="s">
        <v>836</v>
      </c>
      <c r="E644" t="s">
        <v>69</v>
      </c>
      <c r="F644" t="s">
        <v>70</v>
      </c>
      <c r="G644" t="s">
        <v>837</v>
      </c>
      <c r="H644" t="s">
        <v>838</v>
      </c>
      <c r="I644" t="str">
        <f t="shared" si="159"/>
        <v>1010</v>
      </c>
      <c r="J644" t="s">
        <v>67</v>
      </c>
      <c r="K644" t="s">
        <v>855</v>
      </c>
      <c r="L644" t="s">
        <v>856</v>
      </c>
      <c r="M644" t="s">
        <v>855</v>
      </c>
      <c r="N644" t="s">
        <v>435</v>
      </c>
      <c r="O644" t="s">
        <v>1054</v>
      </c>
      <c r="P644" t="str">
        <f>"3020667532"</f>
        <v>3020667532</v>
      </c>
      <c r="R644" t="str">
        <f>"00030206675320"</f>
        <v>00030206675320</v>
      </c>
      <c r="S644" s="1">
        <v>38993</v>
      </c>
      <c r="T644" s="1">
        <v>38993</v>
      </c>
      <c r="U644" t="str">
        <f>"3020667532"</f>
        <v>3020667532</v>
      </c>
      <c r="V644" t="str">
        <f t="shared" si="160"/>
        <v>1510</v>
      </c>
      <c r="W644" t="str">
        <f t="shared" si="155"/>
        <v>11</v>
      </c>
      <c r="X644" t="s">
        <v>75</v>
      </c>
      <c r="Y644" t="s">
        <v>76</v>
      </c>
      <c r="Z644" t="s">
        <v>126</v>
      </c>
      <c r="AA644" t="s">
        <v>127</v>
      </c>
      <c r="AB644" t="s">
        <v>79</v>
      </c>
      <c r="AD644" t="s">
        <v>80</v>
      </c>
      <c r="AE644" t="s">
        <v>81</v>
      </c>
      <c r="AF644" t="s">
        <v>82</v>
      </c>
      <c r="AG644" t="s">
        <v>83</v>
      </c>
      <c r="AH644" t="s">
        <v>84</v>
      </c>
      <c r="AI644" t="str">
        <f>"01"</f>
        <v>01</v>
      </c>
      <c r="AJ644" t="str">
        <f t="shared" ref="AJ644:AJ674" si="161">"1"</f>
        <v>1</v>
      </c>
      <c r="AK644" t="s">
        <v>101</v>
      </c>
      <c r="AL644" t="s">
        <v>94</v>
      </c>
      <c r="AM644" t="s">
        <v>95</v>
      </c>
      <c r="AN644" t="str">
        <f t="shared" si="158"/>
        <v>.9700</v>
      </c>
      <c r="AO644" t="str">
        <f>"9.07"</f>
        <v>9.07</v>
      </c>
      <c r="AP644" t="s">
        <v>102</v>
      </c>
      <c r="AQ644" t="str">
        <f>"9.07"</f>
        <v>9.07</v>
      </c>
      <c r="AR644">
        <v>15</v>
      </c>
      <c r="AS644">
        <v>0</v>
      </c>
      <c r="AT644">
        <v>15</v>
      </c>
      <c r="AU644">
        <v>136.02000000000001</v>
      </c>
      <c r="AV644">
        <v>16.32</v>
      </c>
      <c r="AW644">
        <v>119.7</v>
      </c>
      <c r="AX644">
        <v>0</v>
      </c>
      <c r="AY644">
        <v>119.7</v>
      </c>
      <c r="AZ644">
        <v>0</v>
      </c>
    </row>
    <row r="645" spans="1:52">
      <c r="A645" t="s">
        <v>833</v>
      </c>
      <c r="B645" t="s">
        <v>834</v>
      </c>
      <c r="C645" t="s">
        <v>835</v>
      </c>
      <c r="D645" t="s">
        <v>836</v>
      </c>
      <c r="E645" t="s">
        <v>69</v>
      </c>
      <c r="F645" t="s">
        <v>70</v>
      </c>
      <c r="G645" t="s">
        <v>837</v>
      </c>
      <c r="H645" t="s">
        <v>838</v>
      </c>
      <c r="I645" t="str">
        <f t="shared" si="159"/>
        <v>1010</v>
      </c>
      <c r="J645" t="s">
        <v>67</v>
      </c>
      <c r="K645" t="s">
        <v>855</v>
      </c>
      <c r="L645" t="s">
        <v>856</v>
      </c>
      <c r="M645" t="s">
        <v>855</v>
      </c>
      <c r="N645" t="s">
        <v>181</v>
      </c>
      <c r="O645" t="s">
        <v>1055</v>
      </c>
      <c r="P645" t="s">
        <v>1056</v>
      </c>
      <c r="Q645" t="str">
        <f>"050205702"</f>
        <v>050205702</v>
      </c>
      <c r="R645" t="str">
        <f>"00030206570229"</f>
        <v>00030206570229</v>
      </c>
      <c r="S645" s="1">
        <v>35206</v>
      </c>
      <c r="T645" s="1">
        <v>35206</v>
      </c>
      <c r="U645" t="s">
        <v>1056</v>
      </c>
      <c r="V645" t="str">
        <f t="shared" si="160"/>
        <v>1510</v>
      </c>
      <c r="W645" t="str">
        <f t="shared" si="155"/>
        <v>11</v>
      </c>
      <c r="X645" t="s">
        <v>75</v>
      </c>
      <c r="Y645" t="s">
        <v>76</v>
      </c>
      <c r="Z645" t="s">
        <v>180</v>
      </c>
      <c r="AA645" t="s">
        <v>181</v>
      </c>
      <c r="AB645" t="s">
        <v>79</v>
      </c>
      <c r="AD645" t="s">
        <v>80</v>
      </c>
      <c r="AE645" t="s">
        <v>81</v>
      </c>
      <c r="AF645" t="s">
        <v>82</v>
      </c>
      <c r="AG645" t="s">
        <v>83</v>
      </c>
      <c r="AH645" t="s">
        <v>84</v>
      </c>
      <c r="AI645" t="str">
        <f>"01"</f>
        <v>01</v>
      </c>
      <c r="AJ645" t="str">
        <f t="shared" si="161"/>
        <v>1</v>
      </c>
      <c r="AK645" t="s">
        <v>101</v>
      </c>
      <c r="AL645" t="s">
        <v>94</v>
      </c>
      <c r="AM645" t="s">
        <v>95</v>
      </c>
      <c r="AN645" t="str">
        <f t="shared" si="158"/>
        <v>.9700</v>
      </c>
      <c r="AO645" t="str">
        <f>"9.07"</f>
        <v>9.07</v>
      </c>
      <c r="AP645" t="s">
        <v>102</v>
      </c>
      <c r="AQ645" t="str">
        <f>"9.07"</f>
        <v>9.07</v>
      </c>
      <c r="AR645">
        <v>32</v>
      </c>
      <c r="AS645">
        <v>-2</v>
      </c>
      <c r="AT645">
        <v>30</v>
      </c>
      <c r="AU645">
        <v>290.19</v>
      </c>
      <c r="AV645">
        <v>34.729999999999997</v>
      </c>
      <c r="AW645">
        <v>255.46</v>
      </c>
      <c r="AX645">
        <v>-16.670000000000002</v>
      </c>
      <c r="AY645">
        <v>238.79</v>
      </c>
      <c r="AZ645">
        <v>0</v>
      </c>
    </row>
    <row r="646" spans="1:52">
      <c r="A646" t="s">
        <v>833</v>
      </c>
      <c r="B646" t="s">
        <v>834</v>
      </c>
      <c r="C646" t="s">
        <v>835</v>
      </c>
      <c r="D646" t="s">
        <v>836</v>
      </c>
      <c r="E646" t="s">
        <v>69</v>
      </c>
      <c r="F646" t="s">
        <v>70</v>
      </c>
      <c r="G646" t="s">
        <v>837</v>
      </c>
      <c r="H646" t="s">
        <v>838</v>
      </c>
      <c r="I646" t="str">
        <f t="shared" si="159"/>
        <v>1010</v>
      </c>
      <c r="J646" t="s">
        <v>67</v>
      </c>
      <c r="K646" t="s">
        <v>855</v>
      </c>
      <c r="L646" t="s">
        <v>856</v>
      </c>
      <c r="M646" t="s">
        <v>855</v>
      </c>
      <c r="N646" t="s">
        <v>181</v>
      </c>
      <c r="O646" t="s">
        <v>1057</v>
      </c>
      <c r="P646" t="str">
        <f>"3020660662"</f>
        <v>3020660662</v>
      </c>
      <c r="Q646" t="str">
        <f>"050266066"</f>
        <v>050266066</v>
      </c>
      <c r="R646" t="str">
        <f>"00030206606621"</f>
        <v>00030206606621</v>
      </c>
      <c r="S646" s="1">
        <v>36438</v>
      </c>
      <c r="T646" s="1">
        <v>36438</v>
      </c>
      <c r="U646" t="str">
        <f>"3020660662"</f>
        <v>3020660662</v>
      </c>
      <c r="V646" t="str">
        <f t="shared" si="160"/>
        <v>1510</v>
      </c>
      <c r="W646" t="str">
        <f t="shared" si="155"/>
        <v>11</v>
      </c>
      <c r="X646" t="s">
        <v>75</v>
      </c>
      <c r="Y646" t="s">
        <v>76</v>
      </c>
      <c r="Z646" t="s">
        <v>180</v>
      </c>
      <c r="AA646" t="s">
        <v>181</v>
      </c>
      <c r="AB646" t="s">
        <v>79</v>
      </c>
      <c r="AD646" t="s">
        <v>80</v>
      </c>
      <c r="AE646" t="s">
        <v>81</v>
      </c>
      <c r="AF646" t="s">
        <v>82</v>
      </c>
      <c r="AG646" t="s">
        <v>83</v>
      </c>
      <c r="AH646" t="s">
        <v>84</v>
      </c>
      <c r="AJ646" t="str">
        <f t="shared" si="161"/>
        <v>1</v>
      </c>
      <c r="AK646" t="s">
        <v>101</v>
      </c>
      <c r="AL646" t="s">
        <v>94</v>
      </c>
      <c r="AM646" t="s">
        <v>95</v>
      </c>
      <c r="AN646" t="str">
        <f t="shared" si="158"/>
        <v>.9700</v>
      </c>
      <c r="AO646" t="str">
        <f>"9.07"</f>
        <v>9.07</v>
      </c>
      <c r="AP646" t="s">
        <v>102</v>
      </c>
      <c r="AQ646" t="str">
        <f>"9.07"</f>
        <v>9.07</v>
      </c>
      <c r="AR646">
        <v>48</v>
      </c>
      <c r="AS646">
        <v>-2</v>
      </c>
      <c r="AT646">
        <v>46</v>
      </c>
      <c r="AU646">
        <v>435.35</v>
      </c>
      <c r="AV646">
        <v>50.57</v>
      </c>
      <c r="AW646">
        <v>384.78</v>
      </c>
      <c r="AX646">
        <v>-16.600000000000001</v>
      </c>
      <c r="AY646">
        <v>368.18</v>
      </c>
      <c r="AZ646">
        <v>0</v>
      </c>
    </row>
    <row r="647" spans="1:52">
      <c r="A647" t="s">
        <v>833</v>
      </c>
      <c r="B647" t="s">
        <v>834</v>
      </c>
      <c r="C647" t="s">
        <v>835</v>
      </c>
      <c r="D647" t="s">
        <v>836</v>
      </c>
      <c r="E647" t="s">
        <v>69</v>
      </c>
      <c r="F647" t="s">
        <v>70</v>
      </c>
      <c r="G647" t="s">
        <v>837</v>
      </c>
      <c r="H647" t="s">
        <v>838</v>
      </c>
      <c r="I647" t="str">
        <f t="shared" si="159"/>
        <v>1010</v>
      </c>
      <c r="J647" t="s">
        <v>67</v>
      </c>
      <c r="K647" t="s">
        <v>855</v>
      </c>
      <c r="L647" t="s">
        <v>856</v>
      </c>
      <c r="M647" t="s">
        <v>855</v>
      </c>
      <c r="N647" t="s">
        <v>181</v>
      </c>
      <c r="O647" t="s">
        <v>1058</v>
      </c>
      <c r="P647" t="str">
        <f>"3020669192"</f>
        <v>3020669192</v>
      </c>
      <c r="R647" t="str">
        <f>"00030206691924"</f>
        <v>00030206691924</v>
      </c>
      <c r="S647" s="1">
        <v>39756</v>
      </c>
      <c r="T647" s="1">
        <v>39756</v>
      </c>
      <c r="U647" t="str">
        <f>"3020669192"</f>
        <v>3020669192</v>
      </c>
      <c r="V647" t="str">
        <f t="shared" si="160"/>
        <v>1510</v>
      </c>
      <c r="W647" t="str">
        <f t="shared" si="155"/>
        <v>11</v>
      </c>
      <c r="X647" t="s">
        <v>75</v>
      </c>
      <c r="Y647" t="s">
        <v>76</v>
      </c>
      <c r="Z647" t="s">
        <v>180</v>
      </c>
      <c r="AA647" t="s">
        <v>181</v>
      </c>
      <c r="AB647" t="s">
        <v>79</v>
      </c>
      <c r="AD647" t="s">
        <v>80</v>
      </c>
      <c r="AE647" t="s">
        <v>81</v>
      </c>
      <c r="AF647" t="s">
        <v>82</v>
      </c>
      <c r="AG647" t="s">
        <v>83</v>
      </c>
      <c r="AH647" t="s">
        <v>84</v>
      </c>
      <c r="AI647" t="str">
        <f t="shared" ref="AI647:AI674" si="162">"01"</f>
        <v>01</v>
      </c>
      <c r="AJ647" t="str">
        <f t="shared" si="161"/>
        <v>1</v>
      </c>
      <c r="AK647" t="s">
        <v>101</v>
      </c>
      <c r="AL647" t="s">
        <v>94</v>
      </c>
      <c r="AM647" t="s">
        <v>95</v>
      </c>
      <c r="AN647" t="str">
        <f t="shared" si="158"/>
        <v>.9700</v>
      </c>
      <c r="AO647" t="str">
        <f>"9.07"</f>
        <v>9.07</v>
      </c>
      <c r="AP647" t="s">
        <v>102</v>
      </c>
      <c r="AQ647" t="str">
        <f>"9.07"</f>
        <v>9.07</v>
      </c>
      <c r="AR647">
        <v>27</v>
      </c>
      <c r="AS647">
        <v>0</v>
      </c>
      <c r="AT647">
        <v>27</v>
      </c>
      <c r="AU647">
        <v>244.85</v>
      </c>
      <c r="AV647">
        <v>29.34</v>
      </c>
      <c r="AW647">
        <v>215.51</v>
      </c>
      <c r="AX647">
        <v>0</v>
      </c>
      <c r="AY647">
        <v>215.51</v>
      </c>
      <c r="AZ647">
        <v>0</v>
      </c>
    </row>
    <row r="648" spans="1:52">
      <c r="A648" t="s">
        <v>833</v>
      </c>
      <c r="B648" t="s">
        <v>834</v>
      </c>
      <c r="C648" t="s">
        <v>835</v>
      </c>
      <c r="D648" t="s">
        <v>836</v>
      </c>
      <c r="E648" t="s">
        <v>69</v>
      </c>
      <c r="F648" t="s">
        <v>70</v>
      </c>
      <c r="G648" t="s">
        <v>837</v>
      </c>
      <c r="H648" t="s">
        <v>838</v>
      </c>
      <c r="I648" t="str">
        <f t="shared" si="159"/>
        <v>1010</v>
      </c>
      <c r="J648" t="s">
        <v>67</v>
      </c>
      <c r="K648" t="s">
        <v>855</v>
      </c>
      <c r="L648" t="s">
        <v>856</v>
      </c>
      <c r="M648" t="s">
        <v>855</v>
      </c>
      <c r="N648" t="s">
        <v>677</v>
      </c>
      <c r="O648" t="s">
        <v>1059</v>
      </c>
      <c r="P648" t="str">
        <f>"3020661592"</f>
        <v>3020661592</v>
      </c>
      <c r="Q648" t="str">
        <f>"050266159"</f>
        <v>050266159</v>
      </c>
      <c r="R648" t="str">
        <f>"00030206615920"</f>
        <v>00030206615920</v>
      </c>
      <c r="S648" s="1">
        <v>36830</v>
      </c>
      <c r="T648" s="1">
        <v>36816</v>
      </c>
      <c r="U648" t="str">
        <f>"3020661592"</f>
        <v>3020661592</v>
      </c>
      <c r="V648" t="str">
        <f t="shared" si="160"/>
        <v>1510</v>
      </c>
      <c r="W648" t="str">
        <f t="shared" si="155"/>
        <v>11</v>
      </c>
      <c r="X648" t="s">
        <v>75</v>
      </c>
      <c r="Y648" t="s">
        <v>76</v>
      </c>
      <c r="Z648" t="s">
        <v>180</v>
      </c>
      <c r="AA648" t="s">
        <v>181</v>
      </c>
      <c r="AB648" t="s">
        <v>79</v>
      </c>
      <c r="AD648" t="s">
        <v>80</v>
      </c>
      <c r="AE648" t="s">
        <v>81</v>
      </c>
      <c r="AF648" t="s">
        <v>82</v>
      </c>
      <c r="AG648" t="s">
        <v>83</v>
      </c>
      <c r="AH648" t="s">
        <v>84</v>
      </c>
      <c r="AI648" t="str">
        <f t="shared" si="162"/>
        <v>01</v>
      </c>
      <c r="AJ648" t="str">
        <f t="shared" si="161"/>
        <v>1</v>
      </c>
      <c r="AK648" t="s">
        <v>107</v>
      </c>
      <c r="AL648" t="s">
        <v>94</v>
      </c>
      <c r="AM648" t="s">
        <v>95</v>
      </c>
      <c r="AN648" t="str">
        <f t="shared" si="158"/>
        <v>.9700</v>
      </c>
      <c r="AO648" t="str">
        <f>"10.78"</f>
        <v>10.78</v>
      </c>
      <c r="AP648" t="s">
        <v>108</v>
      </c>
      <c r="AQ648" t="str">
        <f>"10.78"</f>
        <v>10.78</v>
      </c>
      <c r="AR648">
        <v>6</v>
      </c>
      <c r="AS648">
        <v>0</v>
      </c>
      <c r="AT648">
        <v>6</v>
      </c>
      <c r="AU648">
        <v>64.69</v>
      </c>
      <c r="AV648">
        <v>5.17</v>
      </c>
      <c r="AW648">
        <v>59.52</v>
      </c>
      <c r="AX648">
        <v>0</v>
      </c>
      <c r="AY648">
        <v>59.52</v>
      </c>
      <c r="AZ648">
        <v>0</v>
      </c>
    </row>
    <row r="649" spans="1:52">
      <c r="A649" t="s">
        <v>833</v>
      </c>
      <c r="B649" t="s">
        <v>834</v>
      </c>
      <c r="C649" t="s">
        <v>835</v>
      </c>
      <c r="D649" t="s">
        <v>836</v>
      </c>
      <c r="E649" t="s">
        <v>69</v>
      </c>
      <c r="F649" t="s">
        <v>70</v>
      </c>
      <c r="G649" t="s">
        <v>837</v>
      </c>
      <c r="H649" t="s">
        <v>838</v>
      </c>
      <c r="I649" t="str">
        <f t="shared" si="159"/>
        <v>1010</v>
      </c>
      <c r="J649" t="s">
        <v>67</v>
      </c>
      <c r="K649" t="s">
        <v>855</v>
      </c>
      <c r="L649" t="s">
        <v>856</v>
      </c>
      <c r="M649" t="s">
        <v>855</v>
      </c>
      <c r="N649" t="s">
        <v>1060</v>
      </c>
      <c r="O649" t="s">
        <v>164</v>
      </c>
      <c r="P649" t="str">
        <f>"3020666572"</f>
        <v>3020666572</v>
      </c>
      <c r="R649" t="str">
        <f>"00030206665727"</f>
        <v>00030206665727</v>
      </c>
      <c r="S649" s="1">
        <v>38531</v>
      </c>
      <c r="T649" s="1">
        <v>38531</v>
      </c>
      <c r="U649" t="str">
        <f>"3020666572"</f>
        <v>3020666572</v>
      </c>
      <c r="V649" t="str">
        <f t="shared" si="160"/>
        <v>1510</v>
      </c>
      <c r="W649" t="str">
        <f t="shared" si="155"/>
        <v>11</v>
      </c>
      <c r="X649" t="s">
        <v>75</v>
      </c>
      <c r="Y649" t="s">
        <v>76</v>
      </c>
      <c r="Z649" t="s">
        <v>126</v>
      </c>
      <c r="AA649" t="s">
        <v>127</v>
      </c>
      <c r="AB649" t="s">
        <v>79</v>
      </c>
      <c r="AD649" t="s">
        <v>80</v>
      </c>
      <c r="AE649" t="s">
        <v>81</v>
      </c>
      <c r="AF649" t="s">
        <v>82</v>
      </c>
      <c r="AG649" t="s">
        <v>83</v>
      </c>
      <c r="AH649" t="s">
        <v>84</v>
      </c>
      <c r="AI649" t="str">
        <f t="shared" si="162"/>
        <v>01</v>
      </c>
      <c r="AJ649" t="str">
        <f t="shared" si="161"/>
        <v>1</v>
      </c>
      <c r="AK649" t="s">
        <v>101</v>
      </c>
      <c r="AL649" t="s">
        <v>94</v>
      </c>
      <c r="AM649" t="s">
        <v>95</v>
      </c>
      <c r="AN649" t="str">
        <f t="shared" si="158"/>
        <v>.9700</v>
      </c>
      <c r="AO649" t="str">
        <f>"9.07"</f>
        <v>9.07</v>
      </c>
      <c r="AP649" t="s">
        <v>102</v>
      </c>
      <c r="AQ649" t="str">
        <f>"9.07"</f>
        <v>9.07</v>
      </c>
      <c r="AR649">
        <v>22</v>
      </c>
      <c r="AS649">
        <v>0</v>
      </c>
      <c r="AT649">
        <v>22</v>
      </c>
      <c r="AU649">
        <v>199.5</v>
      </c>
      <c r="AV649">
        <v>22.85</v>
      </c>
      <c r="AW649">
        <v>176.65</v>
      </c>
      <c r="AX649">
        <v>0</v>
      </c>
      <c r="AY649">
        <v>176.65</v>
      </c>
      <c r="AZ649">
        <v>0</v>
      </c>
    </row>
    <row r="650" spans="1:52">
      <c r="A650" t="s">
        <v>833</v>
      </c>
      <c r="B650" t="s">
        <v>834</v>
      </c>
      <c r="C650" t="s">
        <v>835</v>
      </c>
      <c r="D650" t="s">
        <v>836</v>
      </c>
      <c r="E650" t="s">
        <v>69</v>
      </c>
      <c r="F650" t="s">
        <v>70</v>
      </c>
      <c r="G650" t="s">
        <v>837</v>
      </c>
      <c r="H650" t="s">
        <v>838</v>
      </c>
      <c r="I650" t="str">
        <f t="shared" si="159"/>
        <v>1010</v>
      </c>
      <c r="J650" t="s">
        <v>67</v>
      </c>
      <c r="K650" t="s">
        <v>855</v>
      </c>
      <c r="L650" t="s">
        <v>856</v>
      </c>
      <c r="M650" t="s">
        <v>855</v>
      </c>
      <c r="N650" t="s">
        <v>1061</v>
      </c>
      <c r="O650" t="s">
        <v>1062</v>
      </c>
      <c r="P650" t="str">
        <f>"3020670932"</f>
        <v>3020670932</v>
      </c>
      <c r="R650" t="str">
        <f>"00030206709322"</f>
        <v>00030206709322</v>
      </c>
      <c r="S650" s="1">
        <v>40778</v>
      </c>
      <c r="T650" s="1">
        <v>40778</v>
      </c>
      <c r="U650" t="str">
        <f>"3020670932"</f>
        <v>3020670932</v>
      </c>
      <c r="V650" t="str">
        <f t="shared" si="160"/>
        <v>1510</v>
      </c>
      <c r="W650" t="str">
        <f t="shared" si="155"/>
        <v>11</v>
      </c>
      <c r="X650" t="s">
        <v>75</v>
      </c>
      <c r="Y650" t="s">
        <v>76</v>
      </c>
      <c r="Z650" t="s">
        <v>254</v>
      </c>
      <c r="AA650" t="s">
        <v>255</v>
      </c>
      <c r="AB650" t="s">
        <v>79</v>
      </c>
      <c r="AD650" t="s">
        <v>80</v>
      </c>
      <c r="AE650" t="s">
        <v>81</v>
      </c>
      <c r="AF650" t="s">
        <v>82</v>
      </c>
      <c r="AG650" t="s">
        <v>83</v>
      </c>
      <c r="AH650" t="s">
        <v>84</v>
      </c>
      <c r="AI650" t="str">
        <f t="shared" si="162"/>
        <v>01</v>
      </c>
      <c r="AJ650" t="str">
        <f t="shared" si="161"/>
        <v>1</v>
      </c>
      <c r="AK650" t="s">
        <v>85</v>
      </c>
      <c r="AL650" t="s">
        <v>86</v>
      </c>
      <c r="AM650" t="s">
        <v>87</v>
      </c>
      <c r="AN650" t="str">
        <f t="shared" si="158"/>
        <v>.9700</v>
      </c>
      <c r="AO650" t="str">
        <f>"7.50"</f>
        <v>7.50</v>
      </c>
      <c r="AP650" t="s">
        <v>88</v>
      </c>
      <c r="AQ650" t="str">
        <f>"7.50"</f>
        <v>7.50</v>
      </c>
      <c r="AR650">
        <v>72</v>
      </c>
      <c r="AS650">
        <v>0</v>
      </c>
      <c r="AT650">
        <v>72</v>
      </c>
      <c r="AU650">
        <v>540.04</v>
      </c>
      <c r="AV650">
        <v>64.36</v>
      </c>
      <c r="AW650">
        <v>475.68</v>
      </c>
      <c r="AX650">
        <v>0</v>
      </c>
      <c r="AY650">
        <v>475.68</v>
      </c>
      <c r="AZ650">
        <v>0</v>
      </c>
    </row>
    <row r="651" spans="1:52">
      <c r="A651" t="s">
        <v>833</v>
      </c>
      <c r="B651" t="s">
        <v>834</v>
      </c>
      <c r="C651" t="s">
        <v>835</v>
      </c>
      <c r="D651" t="s">
        <v>836</v>
      </c>
      <c r="E651" t="s">
        <v>69</v>
      </c>
      <c r="F651" t="s">
        <v>70</v>
      </c>
      <c r="G651" t="s">
        <v>837</v>
      </c>
      <c r="H651" t="s">
        <v>838</v>
      </c>
      <c r="I651" t="str">
        <f t="shared" si="159"/>
        <v>1010</v>
      </c>
      <c r="J651" t="s">
        <v>67</v>
      </c>
      <c r="K651" t="s">
        <v>855</v>
      </c>
      <c r="L651" t="s">
        <v>856</v>
      </c>
      <c r="M651" t="s">
        <v>855</v>
      </c>
      <c r="N651" t="s">
        <v>1063</v>
      </c>
      <c r="O651" t="s">
        <v>1064</v>
      </c>
      <c r="P651" t="str">
        <f>"3020666692"</f>
        <v>3020666692</v>
      </c>
      <c r="R651" t="str">
        <f>"00030206666922"</f>
        <v>00030206666922</v>
      </c>
      <c r="S651" s="1">
        <v>38566</v>
      </c>
      <c r="T651" s="1">
        <v>38566</v>
      </c>
      <c r="U651" t="str">
        <f>"3020666692"</f>
        <v>3020666692</v>
      </c>
      <c r="V651" t="str">
        <f t="shared" si="160"/>
        <v>1510</v>
      </c>
      <c r="W651" t="str">
        <f t="shared" si="155"/>
        <v>11</v>
      </c>
      <c r="X651" t="s">
        <v>75</v>
      </c>
      <c r="Y651" t="s">
        <v>76</v>
      </c>
      <c r="Z651" t="s">
        <v>126</v>
      </c>
      <c r="AA651" t="s">
        <v>127</v>
      </c>
      <c r="AB651" t="s">
        <v>79</v>
      </c>
      <c r="AD651" t="s">
        <v>80</v>
      </c>
      <c r="AE651" t="s">
        <v>81</v>
      </c>
      <c r="AF651" t="s">
        <v>82</v>
      </c>
      <c r="AG651" t="s">
        <v>83</v>
      </c>
      <c r="AH651" t="s">
        <v>84</v>
      </c>
      <c r="AI651" t="str">
        <f t="shared" si="162"/>
        <v>01</v>
      </c>
      <c r="AJ651" t="str">
        <f t="shared" si="161"/>
        <v>1</v>
      </c>
      <c r="AK651" t="s">
        <v>101</v>
      </c>
      <c r="AL651" t="s">
        <v>94</v>
      </c>
      <c r="AM651" t="s">
        <v>95</v>
      </c>
      <c r="AN651" t="str">
        <f t="shared" si="158"/>
        <v>.9700</v>
      </c>
      <c r="AO651" t="str">
        <f>"9.07"</f>
        <v>9.07</v>
      </c>
      <c r="AP651" t="s">
        <v>102</v>
      </c>
      <c r="AQ651" t="str">
        <f>"9.07"</f>
        <v>9.07</v>
      </c>
      <c r="AR651">
        <v>9</v>
      </c>
      <c r="AS651">
        <v>-1</v>
      </c>
      <c r="AT651">
        <v>8</v>
      </c>
      <c r="AU651">
        <v>81.62</v>
      </c>
      <c r="AV651">
        <v>7.62</v>
      </c>
      <c r="AW651">
        <v>74</v>
      </c>
      <c r="AX651">
        <v>-8.19</v>
      </c>
      <c r="AY651">
        <v>65.81</v>
      </c>
      <c r="AZ651">
        <v>0</v>
      </c>
    </row>
    <row r="652" spans="1:52">
      <c r="A652" t="s">
        <v>833</v>
      </c>
      <c r="B652" t="s">
        <v>834</v>
      </c>
      <c r="C652" t="s">
        <v>835</v>
      </c>
      <c r="D652" t="s">
        <v>836</v>
      </c>
      <c r="E652" t="s">
        <v>69</v>
      </c>
      <c r="F652" t="s">
        <v>70</v>
      </c>
      <c r="G652" t="s">
        <v>837</v>
      </c>
      <c r="H652" t="s">
        <v>838</v>
      </c>
      <c r="I652" t="str">
        <f t="shared" si="159"/>
        <v>1010</v>
      </c>
      <c r="J652" t="s">
        <v>67</v>
      </c>
      <c r="K652" t="s">
        <v>855</v>
      </c>
      <c r="L652" t="s">
        <v>856</v>
      </c>
      <c r="M652" t="s">
        <v>855</v>
      </c>
      <c r="N652" t="s">
        <v>1063</v>
      </c>
      <c r="O652" t="s">
        <v>1065</v>
      </c>
      <c r="P652" t="str">
        <f>"3020666092"</f>
        <v>3020666092</v>
      </c>
      <c r="Q652" t="s">
        <v>1066</v>
      </c>
      <c r="R652" t="str">
        <f>"00030206660920"</f>
        <v>00030206660920</v>
      </c>
      <c r="S652" s="1">
        <v>38272</v>
      </c>
      <c r="T652" s="1">
        <v>38272</v>
      </c>
      <c r="U652" t="str">
        <f>"3020666092"</f>
        <v>3020666092</v>
      </c>
      <c r="V652" t="str">
        <f t="shared" si="160"/>
        <v>1510</v>
      </c>
      <c r="W652" t="str">
        <f t="shared" si="155"/>
        <v>11</v>
      </c>
      <c r="X652" t="s">
        <v>75</v>
      </c>
      <c r="Y652" t="s">
        <v>76</v>
      </c>
      <c r="Z652" t="s">
        <v>126</v>
      </c>
      <c r="AA652" t="s">
        <v>127</v>
      </c>
      <c r="AB652" t="s">
        <v>79</v>
      </c>
      <c r="AD652" t="s">
        <v>80</v>
      </c>
      <c r="AE652" t="s">
        <v>81</v>
      </c>
      <c r="AF652" t="s">
        <v>82</v>
      </c>
      <c r="AG652" t="s">
        <v>83</v>
      </c>
      <c r="AH652" t="s">
        <v>84</v>
      </c>
      <c r="AI652" t="str">
        <f t="shared" si="162"/>
        <v>01</v>
      </c>
      <c r="AJ652" t="str">
        <f t="shared" si="161"/>
        <v>1</v>
      </c>
      <c r="AK652" t="s">
        <v>101</v>
      </c>
      <c r="AL652" t="s">
        <v>94</v>
      </c>
      <c r="AM652" t="s">
        <v>95</v>
      </c>
      <c r="AN652" t="str">
        <f t="shared" si="158"/>
        <v>.9700</v>
      </c>
      <c r="AO652" t="str">
        <f>"9.07"</f>
        <v>9.07</v>
      </c>
      <c r="AP652" t="s">
        <v>102</v>
      </c>
      <c r="AQ652" t="str">
        <f>"9.07"</f>
        <v>9.07</v>
      </c>
      <c r="AR652">
        <v>10</v>
      </c>
      <c r="AS652">
        <v>0</v>
      </c>
      <c r="AT652">
        <v>10</v>
      </c>
      <c r="AU652">
        <v>89.55</v>
      </c>
      <c r="AV652">
        <v>5.44</v>
      </c>
      <c r="AW652">
        <v>84.11</v>
      </c>
      <c r="AX652">
        <v>0</v>
      </c>
      <c r="AY652">
        <v>84.11</v>
      </c>
      <c r="AZ652">
        <v>0</v>
      </c>
    </row>
    <row r="653" spans="1:52">
      <c r="A653" t="s">
        <v>833</v>
      </c>
      <c r="B653" t="s">
        <v>834</v>
      </c>
      <c r="C653" t="s">
        <v>835</v>
      </c>
      <c r="D653" t="s">
        <v>836</v>
      </c>
      <c r="E653" t="s">
        <v>69</v>
      </c>
      <c r="F653" t="s">
        <v>70</v>
      </c>
      <c r="G653" t="s">
        <v>837</v>
      </c>
      <c r="H653" t="s">
        <v>838</v>
      </c>
      <c r="I653" t="str">
        <f t="shared" si="159"/>
        <v>1010</v>
      </c>
      <c r="J653" t="s">
        <v>67</v>
      </c>
      <c r="K653" t="s">
        <v>855</v>
      </c>
      <c r="L653" t="s">
        <v>856</v>
      </c>
      <c r="M653" t="s">
        <v>855</v>
      </c>
      <c r="N653" t="s">
        <v>1067</v>
      </c>
      <c r="O653" t="s">
        <v>1065</v>
      </c>
      <c r="P653" t="str">
        <f>"3020668432"</f>
        <v>3020668432</v>
      </c>
      <c r="R653" t="str">
        <f>"00030206684322"</f>
        <v>00030206684322</v>
      </c>
      <c r="S653" s="1">
        <v>39322</v>
      </c>
      <c r="T653" s="1">
        <v>39322</v>
      </c>
      <c r="U653" t="str">
        <f>"3020668432"</f>
        <v>3020668432</v>
      </c>
      <c r="V653" t="str">
        <f t="shared" si="160"/>
        <v>1510</v>
      </c>
      <c r="W653" t="str">
        <f t="shared" si="155"/>
        <v>11</v>
      </c>
      <c r="X653" t="s">
        <v>75</v>
      </c>
      <c r="Y653" t="s">
        <v>76</v>
      </c>
      <c r="Z653" t="s">
        <v>126</v>
      </c>
      <c r="AA653" t="s">
        <v>127</v>
      </c>
      <c r="AB653" t="s">
        <v>79</v>
      </c>
      <c r="AD653" t="s">
        <v>80</v>
      </c>
      <c r="AE653" t="s">
        <v>81</v>
      </c>
      <c r="AF653" t="s">
        <v>82</v>
      </c>
      <c r="AG653" t="s">
        <v>83</v>
      </c>
      <c r="AH653" t="s">
        <v>84</v>
      </c>
      <c r="AI653" t="str">
        <f t="shared" si="162"/>
        <v>01</v>
      </c>
      <c r="AJ653" t="str">
        <f t="shared" si="161"/>
        <v>1</v>
      </c>
      <c r="AK653" t="s">
        <v>101</v>
      </c>
      <c r="AL653" t="s">
        <v>94</v>
      </c>
      <c r="AM653" t="s">
        <v>95</v>
      </c>
      <c r="AN653" t="str">
        <f t="shared" si="158"/>
        <v>.9700</v>
      </c>
      <c r="AO653" t="str">
        <f>"9.07"</f>
        <v>9.07</v>
      </c>
      <c r="AP653" t="s">
        <v>102</v>
      </c>
      <c r="AQ653" t="str">
        <f>"9.07"</f>
        <v>9.07</v>
      </c>
      <c r="AR653">
        <v>10</v>
      </c>
      <c r="AS653">
        <v>0</v>
      </c>
      <c r="AT653">
        <v>10</v>
      </c>
      <c r="AU653">
        <v>90.68</v>
      </c>
      <c r="AV653">
        <v>10.88</v>
      </c>
      <c r="AW653">
        <v>79.8</v>
      </c>
      <c r="AX653">
        <v>0</v>
      </c>
      <c r="AY653">
        <v>79.8</v>
      </c>
      <c r="AZ653">
        <v>0</v>
      </c>
    </row>
    <row r="654" spans="1:52">
      <c r="A654" t="s">
        <v>833</v>
      </c>
      <c r="B654" t="s">
        <v>834</v>
      </c>
      <c r="C654" t="s">
        <v>835</v>
      </c>
      <c r="D654" t="s">
        <v>836</v>
      </c>
      <c r="E654" t="s">
        <v>69</v>
      </c>
      <c r="F654" t="s">
        <v>70</v>
      </c>
      <c r="G654" t="s">
        <v>837</v>
      </c>
      <c r="H654" t="s">
        <v>838</v>
      </c>
      <c r="I654" t="str">
        <f t="shared" si="159"/>
        <v>1010</v>
      </c>
      <c r="J654" t="s">
        <v>67</v>
      </c>
      <c r="K654" t="s">
        <v>855</v>
      </c>
      <c r="L654" t="s">
        <v>856</v>
      </c>
      <c r="M654" t="s">
        <v>855</v>
      </c>
      <c r="N654" t="s">
        <v>1068</v>
      </c>
      <c r="O654" t="s">
        <v>921</v>
      </c>
      <c r="P654" t="str">
        <f>"3020662112"</f>
        <v>3020662112</v>
      </c>
      <c r="Q654" t="str">
        <f>"050266211"</f>
        <v>050266211</v>
      </c>
      <c r="R654" t="str">
        <f>"00030206621129"</f>
        <v>00030206621129</v>
      </c>
      <c r="S654" s="1">
        <v>36984</v>
      </c>
      <c r="T654" s="1">
        <v>36984</v>
      </c>
      <c r="U654" t="str">
        <f>"3020662112"</f>
        <v>3020662112</v>
      </c>
      <c r="V654" t="str">
        <f t="shared" si="160"/>
        <v>1510</v>
      </c>
      <c r="W654" t="str">
        <f t="shared" si="155"/>
        <v>11</v>
      </c>
      <c r="X654" t="s">
        <v>75</v>
      </c>
      <c r="Y654" t="s">
        <v>76</v>
      </c>
      <c r="Z654" t="s">
        <v>1069</v>
      </c>
      <c r="AA654" t="s">
        <v>1070</v>
      </c>
      <c r="AB654" t="s">
        <v>79</v>
      </c>
      <c r="AD654" t="s">
        <v>80</v>
      </c>
      <c r="AE654" t="s">
        <v>81</v>
      </c>
      <c r="AF654" t="s">
        <v>82</v>
      </c>
      <c r="AG654" t="s">
        <v>83</v>
      </c>
      <c r="AH654" t="s">
        <v>84</v>
      </c>
      <c r="AI654" t="str">
        <f t="shared" si="162"/>
        <v>01</v>
      </c>
      <c r="AJ654" t="str">
        <f t="shared" si="161"/>
        <v>1</v>
      </c>
      <c r="AK654" t="s">
        <v>107</v>
      </c>
      <c r="AL654" t="s">
        <v>94</v>
      </c>
      <c r="AM654" t="s">
        <v>95</v>
      </c>
      <c r="AN654" t="str">
        <f t="shared" si="158"/>
        <v>.9700</v>
      </c>
      <c r="AO654" t="str">
        <f>"10.78"</f>
        <v>10.78</v>
      </c>
      <c r="AP654" t="s">
        <v>108</v>
      </c>
      <c r="AQ654" t="str">
        <f>"10.78"</f>
        <v>10.78</v>
      </c>
      <c r="AR654">
        <v>0</v>
      </c>
      <c r="AS654">
        <v>-1</v>
      </c>
      <c r="AT654">
        <v>-1</v>
      </c>
      <c r="AU654">
        <v>0</v>
      </c>
      <c r="AV654">
        <v>0</v>
      </c>
      <c r="AW654">
        <v>0</v>
      </c>
      <c r="AX654">
        <v>-9.8000000000000007</v>
      </c>
      <c r="AY654">
        <v>-9.8000000000000007</v>
      </c>
      <c r="AZ654">
        <v>0</v>
      </c>
    </row>
    <row r="655" spans="1:52">
      <c r="A655" t="s">
        <v>833</v>
      </c>
      <c r="B655" t="s">
        <v>834</v>
      </c>
      <c r="C655" t="s">
        <v>835</v>
      </c>
      <c r="D655" t="s">
        <v>836</v>
      </c>
      <c r="E655" t="s">
        <v>69</v>
      </c>
      <c r="F655" t="s">
        <v>70</v>
      </c>
      <c r="G655" t="s">
        <v>837</v>
      </c>
      <c r="H655" t="s">
        <v>838</v>
      </c>
      <c r="I655" t="str">
        <f t="shared" si="159"/>
        <v>1010</v>
      </c>
      <c r="J655" t="s">
        <v>67</v>
      </c>
      <c r="K655" t="s">
        <v>855</v>
      </c>
      <c r="L655" t="s">
        <v>856</v>
      </c>
      <c r="M655" t="s">
        <v>855</v>
      </c>
      <c r="N655" t="s">
        <v>1071</v>
      </c>
      <c r="O655" t="s">
        <v>1072</v>
      </c>
      <c r="P655" t="str">
        <f>"3020662312"</f>
        <v>3020662312</v>
      </c>
      <c r="Q655" t="str">
        <f>"050266231"</f>
        <v>050266231</v>
      </c>
      <c r="R655" t="str">
        <f>"00030206623123"</f>
        <v>00030206623123</v>
      </c>
      <c r="S655" s="1">
        <v>37047</v>
      </c>
      <c r="T655" s="1">
        <v>37047</v>
      </c>
      <c r="U655" t="str">
        <f>"3020662312"</f>
        <v>3020662312</v>
      </c>
      <c r="V655" t="str">
        <f t="shared" si="160"/>
        <v>1510</v>
      </c>
      <c r="W655" t="str">
        <f t="shared" si="155"/>
        <v>11</v>
      </c>
      <c r="X655" t="s">
        <v>75</v>
      </c>
      <c r="Y655" t="s">
        <v>76</v>
      </c>
      <c r="Z655" t="s">
        <v>126</v>
      </c>
      <c r="AA655" t="s">
        <v>127</v>
      </c>
      <c r="AB655" t="s">
        <v>79</v>
      </c>
      <c r="AD655" t="s">
        <v>80</v>
      </c>
      <c r="AE655" t="s">
        <v>81</v>
      </c>
      <c r="AF655" t="s">
        <v>82</v>
      </c>
      <c r="AG655" t="s">
        <v>83</v>
      </c>
      <c r="AH655" t="s">
        <v>84</v>
      </c>
      <c r="AI655" t="str">
        <f t="shared" si="162"/>
        <v>01</v>
      </c>
      <c r="AJ655" t="str">
        <f t="shared" si="161"/>
        <v>1</v>
      </c>
      <c r="AK655" t="s">
        <v>101</v>
      </c>
      <c r="AL655" t="s">
        <v>94</v>
      </c>
      <c r="AM655" t="s">
        <v>95</v>
      </c>
      <c r="AN655" t="str">
        <f t="shared" si="158"/>
        <v>.9700</v>
      </c>
      <c r="AO655" t="str">
        <f>"9.07"</f>
        <v>9.07</v>
      </c>
      <c r="AP655" t="s">
        <v>102</v>
      </c>
      <c r="AQ655" t="str">
        <f>"9.07"</f>
        <v>9.07</v>
      </c>
      <c r="AR655">
        <v>49</v>
      </c>
      <c r="AS655">
        <v>-6</v>
      </c>
      <c r="AT655">
        <v>43</v>
      </c>
      <c r="AU655">
        <v>444.38</v>
      </c>
      <c r="AV655">
        <v>37.01</v>
      </c>
      <c r="AW655">
        <v>407.37</v>
      </c>
      <c r="AX655">
        <v>-49.93</v>
      </c>
      <c r="AY655">
        <v>357.44</v>
      </c>
      <c r="AZ655">
        <v>0</v>
      </c>
    </row>
    <row r="656" spans="1:52">
      <c r="A656" t="s">
        <v>833</v>
      </c>
      <c r="B656" t="s">
        <v>834</v>
      </c>
      <c r="C656" t="s">
        <v>835</v>
      </c>
      <c r="D656" t="s">
        <v>836</v>
      </c>
      <c r="E656" t="s">
        <v>69</v>
      </c>
      <c r="F656" t="s">
        <v>70</v>
      </c>
      <c r="G656" t="s">
        <v>837</v>
      </c>
      <c r="H656" t="s">
        <v>838</v>
      </c>
      <c r="I656" t="str">
        <f t="shared" si="159"/>
        <v>1010</v>
      </c>
      <c r="J656" t="s">
        <v>67</v>
      </c>
      <c r="K656" t="s">
        <v>855</v>
      </c>
      <c r="L656" t="s">
        <v>856</v>
      </c>
      <c r="M656" t="s">
        <v>855</v>
      </c>
      <c r="N656" t="s">
        <v>1073</v>
      </c>
      <c r="O656" t="s">
        <v>1074</v>
      </c>
      <c r="P656" t="str">
        <f>"3020624122"</f>
        <v>3020624122</v>
      </c>
      <c r="R656" t="str">
        <f>"00030206241228"</f>
        <v>00030206241228</v>
      </c>
      <c r="S656" s="1">
        <v>40994</v>
      </c>
      <c r="T656" s="1">
        <v>40994</v>
      </c>
      <c r="U656" t="str">
        <f>"3020624122"</f>
        <v>3020624122</v>
      </c>
      <c r="V656" t="str">
        <f t="shared" si="160"/>
        <v>1510</v>
      </c>
      <c r="W656" t="str">
        <f t="shared" si="155"/>
        <v>11</v>
      </c>
      <c r="X656" t="s">
        <v>75</v>
      </c>
      <c r="Y656" t="s">
        <v>76</v>
      </c>
      <c r="Z656" t="s">
        <v>105</v>
      </c>
      <c r="AA656" t="s">
        <v>106</v>
      </c>
      <c r="AB656" t="s">
        <v>79</v>
      </c>
      <c r="AD656" t="s">
        <v>80</v>
      </c>
      <c r="AE656" t="s">
        <v>81</v>
      </c>
      <c r="AF656" t="s">
        <v>82</v>
      </c>
      <c r="AG656" t="s">
        <v>83</v>
      </c>
      <c r="AH656" t="s">
        <v>84</v>
      </c>
      <c r="AI656" t="str">
        <f t="shared" si="162"/>
        <v>01</v>
      </c>
      <c r="AJ656" t="str">
        <f t="shared" si="161"/>
        <v>1</v>
      </c>
      <c r="AK656" t="s">
        <v>85</v>
      </c>
      <c r="AL656" t="s">
        <v>94</v>
      </c>
      <c r="AM656" t="s">
        <v>87</v>
      </c>
      <c r="AN656" t="str">
        <f t="shared" si="158"/>
        <v>.9700</v>
      </c>
      <c r="AO656" t="str">
        <f>"7.50"</f>
        <v>7.50</v>
      </c>
      <c r="AP656" t="s">
        <v>88</v>
      </c>
      <c r="AQ656" t="str">
        <f>"7.50"</f>
        <v>7.50</v>
      </c>
      <c r="AR656">
        <v>7</v>
      </c>
      <c r="AS656">
        <v>0</v>
      </c>
      <c r="AT656">
        <v>7</v>
      </c>
      <c r="AU656">
        <v>52.54</v>
      </c>
      <c r="AV656">
        <v>2.63</v>
      </c>
      <c r="AW656">
        <v>49.91</v>
      </c>
      <c r="AX656">
        <v>0</v>
      </c>
      <c r="AY656">
        <v>49.91</v>
      </c>
      <c r="AZ656">
        <v>0</v>
      </c>
    </row>
    <row r="657" spans="1:52">
      <c r="A657" t="s">
        <v>833</v>
      </c>
      <c r="B657" t="s">
        <v>834</v>
      </c>
      <c r="C657" t="s">
        <v>835</v>
      </c>
      <c r="D657" t="s">
        <v>836</v>
      </c>
      <c r="E657" t="s">
        <v>69</v>
      </c>
      <c r="F657" t="s">
        <v>70</v>
      </c>
      <c r="G657" t="s">
        <v>837</v>
      </c>
      <c r="H657" t="s">
        <v>838</v>
      </c>
      <c r="I657" t="str">
        <f t="shared" si="159"/>
        <v>1010</v>
      </c>
      <c r="J657" t="s">
        <v>67</v>
      </c>
      <c r="K657" t="s">
        <v>855</v>
      </c>
      <c r="L657" t="s">
        <v>856</v>
      </c>
      <c r="M657" t="s">
        <v>855</v>
      </c>
      <c r="N657" t="s">
        <v>829</v>
      </c>
      <c r="O657" t="s">
        <v>1075</v>
      </c>
      <c r="P657" t="str">
        <f>"3020624082"</f>
        <v>3020624082</v>
      </c>
      <c r="R657" t="str">
        <f>"00030206240825"</f>
        <v>00030206240825</v>
      </c>
      <c r="S657" s="1">
        <v>40792</v>
      </c>
      <c r="T657" s="1">
        <v>40792</v>
      </c>
      <c r="U657" t="str">
        <f>"3020624082"</f>
        <v>3020624082</v>
      </c>
      <c r="V657" t="str">
        <f t="shared" si="160"/>
        <v>1510</v>
      </c>
      <c r="W657" t="str">
        <f t="shared" si="155"/>
        <v>11</v>
      </c>
      <c r="X657" t="s">
        <v>75</v>
      </c>
      <c r="Y657" t="s">
        <v>76</v>
      </c>
      <c r="Z657" t="s">
        <v>169</v>
      </c>
      <c r="AA657" t="s">
        <v>170</v>
      </c>
      <c r="AB657" t="s">
        <v>79</v>
      </c>
      <c r="AD657" t="s">
        <v>80</v>
      </c>
      <c r="AE657" t="s">
        <v>81</v>
      </c>
      <c r="AF657" t="s">
        <v>82</v>
      </c>
      <c r="AG657" t="s">
        <v>83</v>
      </c>
      <c r="AH657" t="s">
        <v>84</v>
      </c>
      <c r="AI657" t="str">
        <f t="shared" si="162"/>
        <v>01</v>
      </c>
      <c r="AJ657" t="str">
        <f t="shared" si="161"/>
        <v>1</v>
      </c>
      <c r="AK657" t="s">
        <v>85</v>
      </c>
      <c r="AL657" t="s">
        <v>94</v>
      </c>
      <c r="AM657" t="s">
        <v>87</v>
      </c>
      <c r="AN657" t="str">
        <f t="shared" si="158"/>
        <v>.9700</v>
      </c>
      <c r="AO657" t="str">
        <f>"7.50"</f>
        <v>7.50</v>
      </c>
      <c r="AP657" t="s">
        <v>88</v>
      </c>
      <c r="AQ657" t="str">
        <f>"7.50"</f>
        <v>7.50</v>
      </c>
      <c r="AR657">
        <v>44</v>
      </c>
      <c r="AS657">
        <v>-1</v>
      </c>
      <c r="AT657">
        <v>43</v>
      </c>
      <c r="AU657">
        <v>330.04</v>
      </c>
      <c r="AV657">
        <v>39.08</v>
      </c>
      <c r="AW657">
        <v>290.95999999999998</v>
      </c>
      <c r="AX657">
        <v>-7.1</v>
      </c>
      <c r="AY657">
        <v>283.86</v>
      </c>
      <c r="AZ657">
        <v>0</v>
      </c>
    </row>
    <row r="658" spans="1:52">
      <c r="A658" t="s">
        <v>833</v>
      </c>
      <c r="B658" t="s">
        <v>834</v>
      </c>
      <c r="C658" t="s">
        <v>835</v>
      </c>
      <c r="D658" t="s">
        <v>836</v>
      </c>
      <c r="E658" t="s">
        <v>69</v>
      </c>
      <c r="F658" t="s">
        <v>70</v>
      </c>
      <c r="G658" t="s">
        <v>837</v>
      </c>
      <c r="H658" t="s">
        <v>838</v>
      </c>
      <c r="I658" t="str">
        <f t="shared" si="159"/>
        <v>1010</v>
      </c>
      <c r="J658" t="s">
        <v>67</v>
      </c>
      <c r="K658" t="s">
        <v>855</v>
      </c>
      <c r="L658" t="s">
        <v>856</v>
      </c>
      <c r="M658" t="s">
        <v>855</v>
      </c>
      <c r="N658" t="s">
        <v>1076</v>
      </c>
      <c r="O658" t="s">
        <v>185</v>
      </c>
      <c r="P658" t="str">
        <f>"3020661012"</f>
        <v>3020661012</v>
      </c>
      <c r="Q658" t="str">
        <f>"050266101"</f>
        <v>050266101</v>
      </c>
      <c r="R658" t="str">
        <f>"00030206610123"</f>
        <v>00030206610123</v>
      </c>
      <c r="S658" s="1">
        <v>36606</v>
      </c>
      <c r="T658" s="1">
        <v>36606</v>
      </c>
      <c r="U658" t="str">
        <f>"3020661012"</f>
        <v>3020661012</v>
      </c>
      <c r="V658" t="str">
        <f t="shared" si="160"/>
        <v>1510</v>
      </c>
      <c r="W658" t="str">
        <f t="shared" si="155"/>
        <v>11</v>
      </c>
      <c r="X658" t="s">
        <v>75</v>
      </c>
      <c r="Y658" t="s">
        <v>76</v>
      </c>
      <c r="Z658" t="s">
        <v>291</v>
      </c>
      <c r="AA658" t="s">
        <v>292</v>
      </c>
      <c r="AB658" t="s">
        <v>79</v>
      </c>
      <c r="AD658" t="s">
        <v>80</v>
      </c>
      <c r="AE658" t="s">
        <v>81</v>
      </c>
      <c r="AF658" t="s">
        <v>82</v>
      </c>
      <c r="AG658" t="s">
        <v>83</v>
      </c>
      <c r="AH658" t="s">
        <v>84</v>
      </c>
      <c r="AI658" t="str">
        <f t="shared" si="162"/>
        <v>01</v>
      </c>
      <c r="AJ658" t="str">
        <f t="shared" si="161"/>
        <v>1</v>
      </c>
      <c r="AK658" t="s">
        <v>93</v>
      </c>
      <c r="AL658" t="s">
        <v>94</v>
      </c>
      <c r="AM658" t="s">
        <v>95</v>
      </c>
      <c r="AN658" t="str">
        <f t="shared" si="158"/>
        <v>.9700</v>
      </c>
      <c r="AO658" t="str">
        <f>"11.41"</f>
        <v>11.41</v>
      </c>
      <c r="AP658" t="s">
        <v>96</v>
      </c>
      <c r="AQ658" t="str">
        <f>"11.41"</f>
        <v>11.41</v>
      </c>
      <c r="AR658">
        <v>91</v>
      </c>
      <c r="AS658">
        <v>-2</v>
      </c>
      <c r="AT658">
        <v>89</v>
      </c>
      <c r="AU658">
        <v>1038.26</v>
      </c>
      <c r="AV658">
        <v>122.83</v>
      </c>
      <c r="AW658">
        <v>915.43</v>
      </c>
      <c r="AX658">
        <v>-20.440000000000001</v>
      </c>
      <c r="AY658">
        <v>894.99</v>
      </c>
      <c r="AZ658">
        <v>0</v>
      </c>
    </row>
    <row r="659" spans="1:52">
      <c r="A659" t="s">
        <v>833</v>
      </c>
      <c r="B659" t="s">
        <v>834</v>
      </c>
      <c r="C659" t="s">
        <v>835</v>
      </c>
      <c r="D659" t="s">
        <v>836</v>
      </c>
      <c r="E659" t="s">
        <v>69</v>
      </c>
      <c r="F659" t="s">
        <v>70</v>
      </c>
      <c r="G659" t="s">
        <v>837</v>
      </c>
      <c r="H659" t="s">
        <v>838</v>
      </c>
      <c r="I659" t="str">
        <f t="shared" si="159"/>
        <v>1010</v>
      </c>
      <c r="J659" t="s">
        <v>67</v>
      </c>
      <c r="K659" t="s">
        <v>855</v>
      </c>
      <c r="L659" t="s">
        <v>856</v>
      </c>
      <c r="M659" t="s">
        <v>855</v>
      </c>
      <c r="N659" t="s">
        <v>1077</v>
      </c>
      <c r="O659" t="s">
        <v>300</v>
      </c>
      <c r="P659" t="str">
        <f>"3020664832"</f>
        <v>3020664832</v>
      </c>
      <c r="Q659" t="str">
        <f>"050264832"</f>
        <v>050264832</v>
      </c>
      <c r="R659" t="str">
        <f>"00030206648324"</f>
        <v>00030206648324</v>
      </c>
      <c r="S659" s="1">
        <v>37845</v>
      </c>
      <c r="T659" s="1">
        <v>37845</v>
      </c>
      <c r="U659" t="str">
        <f>"3020664832"</f>
        <v>3020664832</v>
      </c>
      <c r="V659" t="str">
        <f t="shared" si="160"/>
        <v>1510</v>
      </c>
      <c r="W659" t="str">
        <f t="shared" si="155"/>
        <v>11</v>
      </c>
      <c r="X659" t="s">
        <v>75</v>
      </c>
      <c r="Y659" t="s">
        <v>76</v>
      </c>
      <c r="Z659" t="s">
        <v>105</v>
      </c>
      <c r="AA659" t="s">
        <v>106</v>
      </c>
      <c r="AB659" t="s">
        <v>79</v>
      </c>
      <c r="AD659" t="s">
        <v>80</v>
      </c>
      <c r="AE659" t="s">
        <v>81</v>
      </c>
      <c r="AF659" t="s">
        <v>82</v>
      </c>
      <c r="AG659" t="s">
        <v>83</v>
      </c>
      <c r="AH659" t="s">
        <v>84</v>
      </c>
      <c r="AI659" t="str">
        <f t="shared" si="162"/>
        <v>01</v>
      </c>
      <c r="AJ659" t="str">
        <f t="shared" si="161"/>
        <v>1</v>
      </c>
      <c r="AK659" t="s">
        <v>101</v>
      </c>
      <c r="AL659" t="s">
        <v>94</v>
      </c>
      <c r="AM659" t="s">
        <v>95</v>
      </c>
      <c r="AN659" t="str">
        <f t="shared" si="158"/>
        <v>.9700</v>
      </c>
      <c r="AO659" t="str">
        <f>"9.07"</f>
        <v>9.07</v>
      </c>
      <c r="AP659" t="s">
        <v>102</v>
      </c>
      <c r="AQ659" t="str">
        <f>"9.07"</f>
        <v>9.07</v>
      </c>
      <c r="AR659">
        <v>36</v>
      </c>
      <c r="AS659">
        <v>0</v>
      </c>
      <c r="AT659">
        <v>36</v>
      </c>
      <c r="AU659">
        <v>326.47000000000003</v>
      </c>
      <c r="AV659">
        <v>32.65</v>
      </c>
      <c r="AW659">
        <v>293.82</v>
      </c>
      <c r="AX659">
        <v>0</v>
      </c>
      <c r="AY659">
        <v>293.82</v>
      </c>
      <c r="AZ659">
        <v>0</v>
      </c>
    </row>
    <row r="660" spans="1:52">
      <c r="A660" t="s">
        <v>833</v>
      </c>
      <c r="B660" t="s">
        <v>834</v>
      </c>
      <c r="C660" t="s">
        <v>835</v>
      </c>
      <c r="D660" t="s">
        <v>836</v>
      </c>
      <c r="E660" t="s">
        <v>69</v>
      </c>
      <c r="F660" t="s">
        <v>70</v>
      </c>
      <c r="G660" t="s">
        <v>837</v>
      </c>
      <c r="H660" t="s">
        <v>838</v>
      </c>
      <c r="I660" t="str">
        <f t="shared" si="159"/>
        <v>1010</v>
      </c>
      <c r="J660" t="s">
        <v>67</v>
      </c>
      <c r="K660" t="s">
        <v>855</v>
      </c>
      <c r="L660" t="s">
        <v>856</v>
      </c>
      <c r="M660" t="s">
        <v>855</v>
      </c>
      <c r="N660" t="s">
        <v>1078</v>
      </c>
      <c r="O660" t="s">
        <v>1079</v>
      </c>
      <c r="P660" t="str">
        <f>"3020668322"</f>
        <v>3020668322</v>
      </c>
      <c r="R660" t="str">
        <f>"00030206683226"</f>
        <v>00030206683226</v>
      </c>
      <c r="S660" s="1">
        <v>39294</v>
      </c>
      <c r="T660" s="1">
        <v>39294</v>
      </c>
      <c r="U660" t="str">
        <f>"3020668322"</f>
        <v>3020668322</v>
      </c>
      <c r="V660" t="str">
        <f t="shared" si="160"/>
        <v>1510</v>
      </c>
      <c r="W660" t="str">
        <f t="shared" si="155"/>
        <v>11</v>
      </c>
      <c r="X660" t="s">
        <v>75</v>
      </c>
      <c r="Y660" t="s">
        <v>76</v>
      </c>
      <c r="Z660" t="s">
        <v>291</v>
      </c>
      <c r="AA660" t="s">
        <v>292</v>
      </c>
      <c r="AB660" t="s">
        <v>79</v>
      </c>
      <c r="AD660" t="s">
        <v>80</v>
      </c>
      <c r="AE660" t="s">
        <v>81</v>
      </c>
      <c r="AF660" t="s">
        <v>82</v>
      </c>
      <c r="AG660" t="s">
        <v>83</v>
      </c>
      <c r="AH660" t="s">
        <v>84</v>
      </c>
      <c r="AI660" t="str">
        <f t="shared" si="162"/>
        <v>01</v>
      </c>
      <c r="AJ660" t="str">
        <f t="shared" si="161"/>
        <v>1</v>
      </c>
      <c r="AK660" t="s">
        <v>101</v>
      </c>
      <c r="AL660" t="s">
        <v>94</v>
      </c>
      <c r="AM660" t="s">
        <v>95</v>
      </c>
      <c r="AN660" t="str">
        <f t="shared" si="158"/>
        <v>.9700</v>
      </c>
      <c r="AO660" t="str">
        <f>"9.07"</f>
        <v>9.07</v>
      </c>
      <c r="AP660" t="s">
        <v>102</v>
      </c>
      <c r="AQ660" t="str">
        <f>"9.07"</f>
        <v>9.07</v>
      </c>
      <c r="AR660">
        <v>75</v>
      </c>
      <c r="AS660">
        <v>0</v>
      </c>
      <c r="AT660">
        <v>75</v>
      </c>
      <c r="AU660">
        <v>680.12</v>
      </c>
      <c r="AV660">
        <v>80.53</v>
      </c>
      <c r="AW660">
        <v>599.59</v>
      </c>
      <c r="AX660">
        <v>0</v>
      </c>
      <c r="AY660">
        <v>599.59</v>
      </c>
      <c r="AZ660">
        <v>0</v>
      </c>
    </row>
    <row r="661" spans="1:52">
      <c r="A661" t="s">
        <v>833</v>
      </c>
      <c r="B661" t="s">
        <v>834</v>
      </c>
      <c r="C661" t="s">
        <v>835</v>
      </c>
      <c r="D661" t="s">
        <v>836</v>
      </c>
      <c r="E661" t="s">
        <v>69</v>
      </c>
      <c r="F661" t="s">
        <v>70</v>
      </c>
      <c r="G661" t="s">
        <v>837</v>
      </c>
      <c r="H661" t="s">
        <v>838</v>
      </c>
      <c r="I661" t="str">
        <f t="shared" si="159"/>
        <v>1010</v>
      </c>
      <c r="J661" t="s">
        <v>67</v>
      </c>
      <c r="K661" t="s">
        <v>855</v>
      </c>
      <c r="L661" t="s">
        <v>856</v>
      </c>
      <c r="M661" t="s">
        <v>855</v>
      </c>
      <c r="N661" t="s">
        <v>1080</v>
      </c>
      <c r="O661" t="s">
        <v>1081</v>
      </c>
      <c r="P661" t="str">
        <f>"3020671442"</f>
        <v>3020671442</v>
      </c>
      <c r="R661" t="str">
        <f>"00030206714425"</f>
        <v>00030206714425</v>
      </c>
      <c r="S661" s="1">
        <v>41030</v>
      </c>
      <c r="T661" s="1">
        <v>41030</v>
      </c>
      <c r="U661" t="str">
        <f>"3020671442"</f>
        <v>3020671442</v>
      </c>
      <c r="V661" t="str">
        <f t="shared" si="160"/>
        <v>1510</v>
      </c>
      <c r="W661" t="str">
        <f t="shared" si="155"/>
        <v>11</v>
      </c>
      <c r="X661" t="s">
        <v>75</v>
      </c>
      <c r="Y661" t="s">
        <v>76</v>
      </c>
      <c r="Z661" t="s">
        <v>91</v>
      </c>
      <c r="AA661" t="s">
        <v>92</v>
      </c>
      <c r="AB661" t="s">
        <v>79</v>
      </c>
      <c r="AD661" t="s">
        <v>80</v>
      </c>
      <c r="AE661" t="s">
        <v>81</v>
      </c>
      <c r="AF661" t="s">
        <v>82</v>
      </c>
      <c r="AG661" t="s">
        <v>83</v>
      </c>
      <c r="AH661" t="s">
        <v>84</v>
      </c>
      <c r="AI661" t="str">
        <f t="shared" si="162"/>
        <v>01</v>
      </c>
      <c r="AJ661" t="str">
        <f t="shared" si="161"/>
        <v>1</v>
      </c>
      <c r="AK661" t="s">
        <v>98</v>
      </c>
      <c r="AL661" t="s">
        <v>94</v>
      </c>
      <c r="AM661" t="s">
        <v>95</v>
      </c>
      <c r="AN661" t="str">
        <f t="shared" si="158"/>
        <v>.9700</v>
      </c>
      <c r="AO661" t="str">
        <f>"8.00"</f>
        <v>8.00</v>
      </c>
      <c r="AP661" t="s">
        <v>99</v>
      </c>
      <c r="AQ661" t="str">
        <f>"8.00"</f>
        <v>8.00</v>
      </c>
      <c r="AR661">
        <v>0</v>
      </c>
      <c r="AS661">
        <v>-2</v>
      </c>
      <c r="AT661">
        <v>-2</v>
      </c>
      <c r="AU661">
        <v>0</v>
      </c>
      <c r="AV661">
        <v>0</v>
      </c>
      <c r="AW661">
        <v>0</v>
      </c>
      <c r="AX661">
        <v>-14.87</v>
      </c>
      <c r="AY661">
        <v>-14.87</v>
      </c>
      <c r="AZ661">
        <v>0</v>
      </c>
    </row>
    <row r="662" spans="1:52">
      <c r="A662" t="s">
        <v>833</v>
      </c>
      <c r="B662" t="s">
        <v>834</v>
      </c>
      <c r="C662" t="s">
        <v>835</v>
      </c>
      <c r="D662" t="s">
        <v>836</v>
      </c>
      <c r="E662" t="s">
        <v>69</v>
      </c>
      <c r="F662" t="s">
        <v>70</v>
      </c>
      <c r="G662" t="s">
        <v>837</v>
      </c>
      <c r="H662" t="s">
        <v>838</v>
      </c>
      <c r="I662" t="str">
        <f t="shared" si="159"/>
        <v>1010</v>
      </c>
      <c r="J662" t="s">
        <v>67</v>
      </c>
      <c r="K662" t="s">
        <v>855</v>
      </c>
      <c r="L662" t="s">
        <v>856</v>
      </c>
      <c r="M662" t="s">
        <v>855</v>
      </c>
      <c r="N662" t="s">
        <v>1080</v>
      </c>
      <c r="O662" t="s">
        <v>181</v>
      </c>
      <c r="P662" t="str">
        <f>"3020671122"</f>
        <v>3020671122</v>
      </c>
      <c r="R662" t="str">
        <f>"00030206711226"</f>
        <v>00030206711226</v>
      </c>
      <c r="S662" s="1">
        <v>40820</v>
      </c>
      <c r="T662" s="1">
        <v>40820</v>
      </c>
      <c r="U662" t="str">
        <f>"3020671122"</f>
        <v>3020671122</v>
      </c>
      <c r="V662" t="str">
        <f t="shared" si="160"/>
        <v>1510</v>
      </c>
      <c r="W662" t="str">
        <f t="shared" si="155"/>
        <v>11</v>
      </c>
      <c r="X662" t="s">
        <v>75</v>
      </c>
      <c r="Y662" t="s">
        <v>76</v>
      </c>
      <c r="Z662" t="s">
        <v>91</v>
      </c>
      <c r="AA662" t="s">
        <v>92</v>
      </c>
      <c r="AB662" t="s">
        <v>79</v>
      </c>
      <c r="AD662" t="s">
        <v>80</v>
      </c>
      <c r="AE662" t="s">
        <v>81</v>
      </c>
      <c r="AF662" t="s">
        <v>82</v>
      </c>
      <c r="AG662" t="s">
        <v>83</v>
      </c>
      <c r="AH662" t="s">
        <v>84</v>
      </c>
      <c r="AI662" t="str">
        <f t="shared" si="162"/>
        <v>01</v>
      </c>
      <c r="AJ662" t="str">
        <f t="shared" si="161"/>
        <v>1</v>
      </c>
      <c r="AK662" t="s">
        <v>101</v>
      </c>
      <c r="AL662" t="s">
        <v>94</v>
      </c>
      <c r="AM662" t="s">
        <v>95</v>
      </c>
      <c r="AN662" t="str">
        <f t="shared" si="158"/>
        <v>.9700</v>
      </c>
      <c r="AO662" t="str">
        <f>"9.07"</f>
        <v>9.07</v>
      </c>
      <c r="AP662" t="s">
        <v>102</v>
      </c>
      <c r="AQ662" t="str">
        <f>"9.07"</f>
        <v>9.07</v>
      </c>
      <c r="AR662">
        <v>7</v>
      </c>
      <c r="AS662">
        <v>0</v>
      </c>
      <c r="AT662">
        <v>7</v>
      </c>
      <c r="AU662">
        <v>63.48</v>
      </c>
      <c r="AV662">
        <v>7.52</v>
      </c>
      <c r="AW662">
        <v>55.96</v>
      </c>
      <c r="AX662">
        <v>0</v>
      </c>
      <c r="AY662">
        <v>55.96</v>
      </c>
      <c r="AZ662">
        <v>0</v>
      </c>
    </row>
    <row r="663" spans="1:52">
      <c r="A663" t="s">
        <v>833</v>
      </c>
      <c r="B663" t="s">
        <v>834</v>
      </c>
      <c r="C663" t="s">
        <v>835</v>
      </c>
      <c r="D663" t="s">
        <v>836</v>
      </c>
      <c r="E663" t="s">
        <v>69</v>
      </c>
      <c r="F663" t="s">
        <v>70</v>
      </c>
      <c r="G663" t="s">
        <v>837</v>
      </c>
      <c r="H663" t="s">
        <v>838</v>
      </c>
      <c r="I663" t="str">
        <f t="shared" si="159"/>
        <v>1010</v>
      </c>
      <c r="J663" t="s">
        <v>67</v>
      </c>
      <c r="K663" t="s">
        <v>855</v>
      </c>
      <c r="L663" t="s">
        <v>856</v>
      </c>
      <c r="M663" t="s">
        <v>855</v>
      </c>
      <c r="N663" t="s">
        <v>1082</v>
      </c>
      <c r="O663" t="s">
        <v>1083</v>
      </c>
      <c r="P663" t="str">
        <f>"3020670462"</f>
        <v>3020670462</v>
      </c>
      <c r="R663" t="str">
        <f>"00030206704624"</f>
        <v>00030206704624</v>
      </c>
      <c r="S663" s="1">
        <v>40442</v>
      </c>
      <c r="T663" s="1">
        <v>40442</v>
      </c>
      <c r="U663" t="str">
        <f>"3020670462"</f>
        <v>3020670462</v>
      </c>
      <c r="V663" t="str">
        <f t="shared" si="160"/>
        <v>1510</v>
      </c>
      <c r="W663" t="str">
        <f t="shared" ref="W663:W694" si="163">"11"</f>
        <v>11</v>
      </c>
      <c r="X663" t="s">
        <v>75</v>
      </c>
      <c r="Y663" t="s">
        <v>76</v>
      </c>
      <c r="Z663" t="s">
        <v>105</v>
      </c>
      <c r="AA663" t="s">
        <v>106</v>
      </c>
      <c r="AB663" t="s">
        <v>79</v>
      </c>
      <c r="AD663" t="s">
        <v>80</v>
      </c>
      <c r="AE663" t="s">
        <v>81</v>
      </c>
      <c r="AF663" t="s">
        <v>82</v>
      </c>
      <c r="AG663" t="s">
        <v>83</v>
      </c>
      <c r="AH663" t="s">
        <v>84</v>
      </c>
      <c r="AI663" t="str">
        <f t="shared" si="162"/>
        <v>01</v>
      </c>
      <c r="AJ663" t="str">
        <f t="shared" si="161"/>
        <v>1</v>
      </c>
      <c r="AK663" t="s">
        <v>101</v>
      </c>
      <c r="AL663" t="s">
        <v>94</v>
      </c>
      <c r="AM663" t="s">
        <v>95</v>
      </c>
      <c r="AN663" t="str">
        <f t="shared" si="158"/>
        <v>.9700</v>
      </c>
      <c r="AO663" t="str">
        <f>"9.07"</f>
        <v>9.07</v>
      </c>
      <c r="AP663" t="s">
        <v>102</v>
      </c>
      <c r="AQ663" t="str">
        <f>"9.07"</f>
        <v>9.07</v>
      </c>
      <c r="AR663">
        <v>19</v>
      </c>
      <c r="AS663">
        <v>-1</v>
      </c>
      <c r="AT663">
        <v>18</v>
      </c>
      <c r="AU663">
        <v>172.31</v>
      </c>
      <c r="AV663">
        <v>20.54</v>
      </c>
      <c r="AW663">
        <v>151.77000000000001</v>
      </c>
      <c r="AX663">
        <v>-8.4700000000000006</v>
      </c>
      <c r="AY663">
        <v>143.30000000000001</v>
      </c>
      <c r="AZ663">
        <v>0</v>
      </c>
    </row>
    <row r="664" spans="1:52">
      <c r="A664" t="s">
        <v>833</v>
      </c>
      <c r="B664" t="s">
        <v>834</v>
      </c>
      <c r="C664" t="s">
        <v>835</v>
      </c>
      <c r="D664" t="s">
        <v>836</v>
      </c>
      <c r="E664" t="s">
        <v>69</v>
      </c>
      <c r="F664" t="s">
        <v>70</v>
      </c>
      <c r="G664" t="s">
        <v>837</v>
      </c>
      <c r="H664" t="s">
        <v>838</v>
      </c>
      <c r="I664" t="str">
        <f t="shared" si="159"/>
        <v>1010</v>
      </c>
      <c r="J664" t="s">
        <v>67</v>
      </c>
      <c r="K664" t="s">
        <v>855</v>
      </c>
      <c r="L664" t="s">
        <v>856</v>
      </c>
      <c r="M664" t="s">
        <v>855</v>
      </c>
      <c r="N664" t="s">
        <v>702</v>
      </c>
      <c r="O664" t="s">
        <v>1084</v>
      </c>
      <c r="P664" t="str">
        <f>"3020664652"</f>
        <v>3020664652</v>
      </c>
      <c r="Q664" t="str">
        <f>"050266465"</f>
        <v>050266465</v>
      </c>
      <c r="R664" t="str">
        <f>"00030206646528"</f>
        <v>00030206646528</v>
      </c>
      <c r="S664" s="1">
        <v>37796</v>
      </c>
      <c r="T664" s="1">
        <v>37796</v>
      </c>
      <c r="U664" t="str">
        <f>"3020664652"</f>
        <v>3020664652</v>
      </c>
      <c r="V664" t="str">
        <f t="shared" si="160"/>
        <v>1510</v>
      </c>
      <c r="W664" t="str">
        <f t="shared" si="163"/>
        <v>11</v>
      </c>
      <c r="X664" t="s">
        <v>75</v>
      </c>
      <c r="Y664" t="s">
        <v>76</v>
      </c>
      <c r="Z664" t="s">
        <v>105</v>
      </c>
      <c r="AA664" t="s">
        <v>106</v>
      </c>
      <c r="AB664" t="s">
        <v>79</v>
      </c>
      <c r="AD664" t="s">
        <v>80</v>
      </c>
      <c r="AE664" t="s">
        <v>81</v>
      </c>
      <c r="AF664" t="s">
        <v>82</v>
      </c>
      <c r="AG664" t="s">
        <v>83</v>
      </c>
      <c r="AH664" t="s">
        <v>84</v>
      </c>
      <c r="AI664" t="str">
        <f t="shared" si="162"/>
        <v>01</v>
      </c>
      <c r="AJ664" t="str">
        <f t="shared" si="161"/>
        <v>1</v>
      </c>
      <c r="AK664" t="s">
        <v>93</v>
      </c>
      <c r="AL664" t="s">
        <v>94</v>
      </c>
      <c r="AM664" t="s">
        <v>95</v>
      </c>
      <c r="AN664" t="str">
        <f t="shared" si="158"/>
        <v>.9700</v>
      </c>
      <c r="AO664" t="str">
        <f t="shared" ref="AO664:AO670" si="164">"11.41"</f>
        <v>11.41</v>
      </c>
      <c r="AP664" t="s">
        <v>96</v>
      </c>
      <c r="AQ664" t="str">
        <f t="shared" ref="AQ664:AQ670" si="165">"11.41"</f>
        <v>11.41</v>
      </c>
      <c r="AR664">
        <v>20</v>
      </c>
      <c r="AS664">
        <v>0</v>
      </c>
      <c r="AT664">
        <v>20</v>
      </c>
      <c r="AU664">
        <v>228.18</v>
      </c>
      <c r="AV664">
        <v>27.38</v>
      </c>
      <c r="AW664">
        <v>200.8</v>
      </c>
      <c r="AX664">
        <v>0</v>
      </c>
      <c r="AY664">
        <v>200.8</v>
      </c>
      <c r="AZ664">
        <v>0</v>
      </c>
    </row>
    <row r="665" spans="1:52">
      <c r="A665" t="s">
        <v>833</v>
      </c>
      <c r="B665" t="s">
        <v>834</v>
      </c>
      <c r="C665" t="s">
        <v>835</v>
      </c>
      <c r="D665" t="s">
        <v>836</v>
      </c>
      <c r="E665" t="s">
        <v>69</v>
      </c>
      <c r="F665" t="s">
        <v>70</v>
      </c>
      <c r="G665" t="s">
        <v>837</v>
      </c>
      <c r="H665" t="s">
        <v>838</v>
      </c>
      <c r="I665" t="str">
        <f t="shared" si="159"/>
        <v>1010</v>
      </c>
      <c r="J665" t="s">
        <v>67</v>
      </c>
      <c r="K665" t="s">
        <v>855</v>
      </c>
      <c r="L665" t="s">
        <v>856</v>
      </c>
      <c r="M665" t="s">
        <v>855</v>
      </c>
      <c r="N665" t="s">
        <v>702</v>
      </c>
      <c r="O665" t="s">
        <v>1085</v>
      </c>
      <c r="P665" t="str">
        <f>"3020663292"</f>
        <v>3020663292</v>
      </c>
      <c r="Q665" t="str">
        <f>"050266329"</f>
        <v>050266329</v>
      </c>
      <c r="R665" t="str">
        <f>"00030206632927"</f>
        <v>00030206632927</v>
      </c>
      <c r="S665" s="1">
        <v>37369</v>
      </c>
      <c r="T665" s="1">
        <v>37362</v>
      </c>
      <c r="U665" t="str">
        <f>"3020663292"</f>
        <v>3020663292</v>
      </c>
      <c r="V665" t="str">
        <f t="shared" si="160"/>
        <v>1510</v>
      </c>
      <c r="W665" t="str">
        <f t="shared" si="163"/>
        <v>11</v>
      </c>
      <c r="X665" t="s">
        <v>75</v>
      </c>
      <c r="Y665" t="s">
        <v>76</v>
      </c>
      <c r="Z665" t="s">
        <v>105</v>
      </c>
      <c r="AA665" t="s">
        <v>106</v>
      </c>
      <c r="AB665" t="s">
        <v>79</v>
      </c>
      <c r="AD665" t="s">
        <v>80</v>
      </c>
      <c r="AE665" t="s">
        <v>81</v>
      </c>
      <c r="AF665" t="s">
        <v>82</v>
      </c>
      <c r="AG665" t="s">
        <v>83</v>
      </c>
      <c r="AH665" t="s">
        <v>84</v>
      </c>
      <c r="AI665" t="str">
        <f t="shared" si="162"/>
        <v>01</v>
      </c>
      <c r="AJ665" t="str">
        <f t="shared" si="161"/>
        <v>1</v>
      </c>
      <c r="AK665" t="s">
        <v>93</v>
      </c>
      <c r="AL665" t="s">
        <v>94</v>
      </c>
      <c r="AM665" t="s">
        <v>95</v>
      </c>
      <c r="AN665" t="str">
        <f t="shared" si="158"/>
        <v>.9700</v>
      </c>
      <c r="AO665" t="str">
        <f t="shared" si="164"/>
        <v>11.41</v>
      </c>
      <c r="AP665" t="s">
        <v>96</v>
      </c>
      <c r="AQ665" t="str">
        <f t="shared" si="165"/>
        <v>11.41</v>
      </c>
      <c r="AR665">
        <v>124</v>
      </c>
      <c r="AS665">
        <v>0</v>
      </c>
      <c r="AT665">
        <v>124</v>
      </c>
      <c r="AU665">
        <v>1414.91</v>
      </c>
      <c r="AV665">
        <v>151.82</v>
      </c>
      <c r="AW665">
        <v>1263.0899999999999</v>
      </c>
      <c r="AX665">
        <v>0</v>
      </c>
      <c r="AY665">
        <v>1263.0899999999999</v>
      </c>
      <c r="AZ665">
        <v>0</v>
      </c>
    </row>
    <row r="666" spans="1:52">
      <c r="A666" t="s">
        <v>833</v>
      </c>
      <c r="B666" t="s">
        <v>834</v>
      </c>
      <c r="C666" t="s">
        <v>835</v>
      </c>
      <c r="D666" t="s">
        <v>836</v>
      </c>
      <c r="E666" t="s">
        <v>69</v>
      </c>
      <c r="F666" t="s">
        <v>70</v>
      </c>
      <c r="G666" t="s">
        <v>837</v>
      </c>
      <c r="H666" t="s">
        <v>838</v>
      </c>
      <c r="I666" t="str">
        <f t="shared" si="159"/>
        <v>1010</v>
      </c>
      <c r="J666" t="s">
        <v>67</v>
      </c>
      <c r="K666" t="s">
        <v>855</v>
      </c>
      <c r="L666" t="s">
        <v>856</v>
      </c>
      <c r="M666" t="s">
        <v>855</v>
      </c>
      <c r="N666" t="s">
        <v>702</v>
      </c>
      <c r="O666" t="s">
        <v>1086</v>
      </c>
      <c r="P666" t="str">
        <f>"3020663392"</f>
        <v>3020663392</v>
      </c>
      <c r="Q666" t="str">
        <f>"050266339"</f>
        <v>050266339</v>
      </c>
      <c r="R666" t="str">
        <f>"00030206633924"</f>
        <v>00030206633924</v>
      </c>
      <c r="S666" s="1">
        <v>37383</v>
      </c>
      <c r="T666" s="1">
        <v>37383</v>
      </c>
      <c r="U666" t="str">
        <f>"3020663392"</f>
        <v>3020663392</v>
      </c>
      <c r="V666" t="str">
        <f t="shared" si="160"/>
        <v>1510</v>
      </c>
      <c r="W666" t="str">
        <f t="shared" si="163"/>
        <v>11</v>
      </c>
      <c r="X666" t="s">
        <v>75</v>
      </c>
      <c r="Y666" t="s">
        <v>76</v>
      </c>
      <c r="Z666" t="s">
        <v>105</v>
      </c>
      <c r="AA666" t="s">
        <v>106</v>
      </c>
      <c r="AB666" t="s">
        <v>79</v>
      </c>
      <c r="AD666" t="s">
        <v>80</v>
      </c>
      <c r="AE666" t="s">
        <v>81</v>
      </c>
      <c r="AF666" t="s">
        <v>82</v>
      </c>
      <c r="AG666" t="s">
        <v>83</v>
      </c>
      <c r="AH666" t="s">
        <v>84</v>
      </c>
      <c r="AI666" t="str">
        <f t="shared" si="162"/>
        <v>01</v>
      </c>
      <c r="AJ666" t="str">
        <f t="shared" si="161"/>
        <v>1</v>
      </c>
      <c r="AK666" t="s">
        <v>93</v>
      </c>
      <c r="AL666" t="s">
        <v>94</v>
      </c>
      <c r="AM666" t="s">
        <v>95</v>
      </c>
      <c r="AN666" t="str">
        <f t="shared" si="158"/>
        <v>.9700</v>
      </c>
      <c r="AO666" t="str">
        <f t="shared" si="164"/>
        <v>11.41</v>
      </c>
      <c r="AP666" t="s">
        <v>96</v>
      </c>
      <c r="AQ666" t="str">
        <f t="shared" si="165"/>
        <v>11.41</v>
      </c>
      <c r="AR666">
        <v>78</v>
      </c>
      <c r="AS666">
        <v>0</v>
      </c>
      <c r="AT666">
        <v>78</v>
      </c>
      <c r="AU666">
        <v>887.02</v>
      </c>
      <c r="AV666">
        <v>84.89</v>
      </c>
      <c r="AW666">
        <v>802.13</v>
      </c>
      <c r="AX666">
        <v>0</v>
      </c>
      <c r="AY666">
        <v>802.13</v>
      </c>
      <c r="AZ666">
        <v>0</v>
      </c>
    </row>
    <row r="667" spans="1:52">
      <c r="A667" t="s">
        <v>833</v>
      </c>
      <c r="B667" t="s">
        <v>834</v>
      </c>
      <c r="C667" t="s">
        <v>835</v>
      </c>
      <c r="D667" t="s">
        <v>836</v>
      </c>
      <c r="E667" t="s">
        <v>69</v>
      </c>
      <c r="F667" t="s">
        <v>70</v>
      </c>
      <c r="G667" t="s">
        <v>837</v>
      </c>
      <c r="H667" t="s">
        <v>838</v>
      </c>
      <c r="I667" t="str">
        <f t="shared" si="159"/>
        <v>1010</v>
      </c>
      <c r="J667" t="s">
        <v>67</v>
      </c>
      <c r="K667" t="s">
        <v>855</v>
      </c>
      <c r="L667" t="s">
        <v>856</v>
      </c>
      <c r="M667" t="s">
        <v>855</v>
      </c>
      <c r="N667" t="s">
        <v>702</v>
      </c>
      <c r="O667" t="s">
        <v>1087</v>
      </c>
      <c r="P667" t="str">
        <f>"3020665552"</f>
        <v>3020665552</v>
      </c>
      <c r="Q667" t="str">
        <f>"050265552"</f>
        <v>050265552</v>
      </c>
      <c r="R667" t="str">
        <f>"00030206655520"</f>
        <v>00030206655520</v>
      </c>
      <c r="S667" s="1">
        <v>38097</v>
      </c>
      <c r="T667" s="1">
        <v>38097</v>
      </c>
      <c r="U667" t="str">
        <f>"3020665552"</f>
        <v>3020665552</v>
      </c>
      <c r="V667" t="str">
        <f t="shared" si="160"/>
        <v>1510</v>
      </c>
      <c r="W667" t="str">
        <f t="shared" si="163"/>
        <v>11</v>
      </c>
      <c r="X667" t="s">
        <v>75</v>
      </c>
      <c r="Y667" t="s">
        <v>76</v>
      </c>
      <c r="Z667" t="s">
        <v>105</v>
      </c>
      <c r="AA667" t="s">
        <v>106</v>
      </c>
      <c r="AB667" t="s">
        <v>79</v>
      </c>
      <c r="AD667" t="s">
        <v>80</v>
      </c>
      <c r="AE667" t="s">
        <v>81</v>
      </c>
      <c r="AF667" t="s">
        <v>82</v>
      </c>
      <c r="AG667" t="s">
        <v>83</v>
      </c>
      <c r="AH667" t="s">
        <v>84</v>
      </c>
      <c r="AI667" t="str">
        <f t="shared" si="162"/>
        <v>01</v>
      </c>
      <c r="AJ667" t="str">
        <f t="shared" si="161"/>
        <v>1</v>
      </c>
      <c r="AK667" t="s">
        <v>93</v>
      </c>
      <c r="AL667" t="s">
        <v>94</v>
      </c>
      <c r="AM667" t="s">
        <v>95</v>
      </c>
      <c r="AN667" t="str">
        <f t="shared" si="158"/>
        <v>.9700</v>
      </c>
      <c r="AO667" t="str">
        <f t="shared" si="164"/>
        <v>11.41</v>
      </c>
      <c r="AP667" t="s">
        <v>96</v>
      </c>
      <c r="AQ667" t="str">
        <f t="shared" si="165"/>
        <v>11.41</v>
      </c>
      <c r="AR667">
        <v>34</v>
      </c>
      <c r="AS667">
        <v>-1</v>
      </c>
      <c r="AT667">
        <v>33</v>
      </c>
      <c r="AU667">
        <v>385</v>
      </c>
      <c r="AV667">
        <v>42.44</v>
      </c>
      <c r="AW667">
        <v>342.56</v>
      </c>
      <c r="AX667">
        <v>-10.69</v>
      </c>
      <c r="AY667">
        <v>331.87</v>
      </c>
      <c r="AZ667">
        <v>0</v>
      </c>
    </row>
    <row r="668" spans="1:52">
      <c r="A668" t="s">
        <v>833</v>
      </c>
      <c r="B668" t="s">
        <v>834</v>
      </c>
      <c r="C668" t="s">
        <v>835</v>
      </c>
      <c r="D668" t="s">
        <v>836</v>
      </c>
      <c r="E668" t="s">
        <v>69</v>
      </c>
      <c r="F668" t="s">
        <v>70</v>
      </c>
      <c r="G668" t="s">
        <v>837</v>
      </c>
      <c r="H668" t="s">
        <v>838</v>
      </c>
      <c r="I668" t="str">
        <f t="shared" si="159"/>
        <v>1010</v>
      </c>
      <c r="J668" t="s">
        <v>67</v>
      </c>
      <c r="K668" t="s">
        <v>855</v>
      </c>
      <c r="L668" t="s">
        <v>856</v>
      </c>
      <c r="M668" t="s">
        <v>855</v>
      </c>
      <c r="N668" t="s">
        <v>702</v>
      </c>
      <c r="O668" t="s">
        <v>1088</v>
      </c>
      <c r="P668" t="str">
        <f>"3020663332"</f>
        <v>3020663332</v>
      </c>
      <c r="Q668" t="str">
        <f>"050266333"</f>
        <v>050266333</v>
      </c>
      <c r="R668" t="str">
        <f>"00030206633320"</f>
        <v>00030206633320</v>
      </c>
      <c r="S668" s="1">
        <v>37453</v>
      </c>
      <c r="T668" s="1">
        <v>37453</v>
      </c>
      <c r="U668" t="str">
        <f>"3020663332"</f>
        <v>3020663332</v>
      </c>
      <c r="V668" t="str">
        <f t="shared" si="160"/>
        <v>1510</v>
      </c>
      <c r="W668" t="str">
        <f t="shared" si="163"/>
        <v>11</v>
      </c>
      <c r="X668" t="s">
        <v>75</v>
      </c>
      <c r="Y668" t="s">
        <v>76</v>
      </c>
      <c r="Z668" t="s">
        <v>105</v>
      </c>
      <c r="AA668" t="s">
        <v>106</v>
      </c>
      <c r="AB668" t="s">
        <v>79</v>
      </c>
      <c r="AD668" t="s">
        <v>80</v>
      </c>
      <c r="AE668" t="s">
        <v>81</v>
      </c>
      <c r="AF668" t="s">
        <v>82</v>
      </c>
      <c r="AG668" t="s">
        <v>83</v>
      </c>
      <c r="AH668" t="s">
        <v>84</v>
      </c>
      <c r="AI668" t="str">
        <f t="shared" si="162"/>
        <v>01</v>
      </c>
      <c r="AJ668" t="str">
        <f t="shared" si="161"/>
        <v>1</v>
      </c>
      <c r="AK668" t="s">
        <v>93</v>
      </c>
      <c r="AL668" t="s">
        <v>94</v>
      </c>
      <c r="AM668" t="s">
        <v>95</v>
      </c>
      <c r="AN668" t="str">
        <f t="shared" si="158"/>
        <v>.9700</v>
      </c>
      <c r="AO668" t="str">
        <f t="shared" si="164"/>
        <v>11.41</v>
      </c>
      <c r="AP668" t="s">
        <v>96</v>
      </c>
      <c r="AQ668" t="str">
        <f t="shared" si="165"/>
        <v>11.41</v>
      </c>
      <c r="AR668">
        <v>27</v>
      </c>
      <c r="AS668">
        <v>0</v>
      </c>
      <c r="AT668">
        <v>27</v>
      </c>
      <c r="AU668">
        <v>308.06</v>
      </c>
      <c r="AV668">
        <v>36.74</v>
      </c>
      <c r="AW668">
        <v>271.32</v>
      </c>
      <c r="AX668">
        <v>0</v>
      </c>
      <c r="AY668">
        <v>271.32</v>
      </c>
      <c r="AZ668">
        <v>0</v>
      </c>
    </row>
    <row r="669" spans="1:52">
      <c r="A669" t="s">
        <v>833</v>
      </c>
      <c r="B669" t="s">
        <v>834</v>
      </c>
      <c r="C669" t="s">
        <v>835</v>
      </c>
      <c r="D669" t="s">
        <v>836</v>
      </c>
      <c r="E669" t="s">
        <v>69</v>
      </c>
      <c r="F669" t="s">
        <v>70</v>
      </c>
      <c r="G669" t="s">
        <v>837</v>
      </c>
      <c r="H669" t="s">
        <v>838</v>
      </c>
      <c r="I669" t="str">
        <f t="shared" si="159"/>
        <v>1010</v>
      </c>
      <c r="J669" t="s">
        <v>67</v>
      </c>
      <c r="K669" t="s">
        <v>855</v>
      </c>
      <c r="L669" t="s">
        <v>856</v>
      </c>
      <c r="M669" t="s">
        <v>855</v>
      </c>
      <c r="N669" t="s">
        <v>702</v>
      </c>
      <c r="O669" t="s">
        <v>1089</v>
      </c>
      <c r="P669" t="str">
        <f>"3020664842"</f>
        <v>3020664842</v>
      </c>
      <c r="Q669" t="str">
        <f>"050264842"</f>
        <v>050264842</v>
      </c>
      <c r="R669" t="str">
        <f>"00030206648423"</f>
        <v>00030206648423</v>
      </c>
      <c r="S669" s="1">
        <v>37852</v>
      </c>
      <c r="T669" s="1">
        <v>37852</v>
      </c>
      <c r="U669" t="str">
        <f>"3020664842"</f>
        <v>3020664842</v>
      </c>
      <c r="V669" t="str">
        <f t="shared" si="160"/>
        <v>1510</v>
      </c>
      <c r="W669" t="str">
        <f t="shared" si="163"/>
        <v>11</v>
      </c>
      <c r="X669" t="s">
        <v>75</v>
      </c>
      <c r="Y669" t="s">
        <v>76</v>
      </c>
      <c r="Z669" t="s">
        <v>91</v>
      </c>
      <c r="AA669" t="s">
        <v>92</v>
      </c>
      <c r="AB669" t="s">
        <v>79</v>
      </c>
      <c r="AD669" t="s">
        <v>80</v>
      </c>
      <c r="AE669" t="s">
        <v>81</v>
      </c>
      <c r="AF669" t="s">
        <v>82</v>
      </c>
      <c r="AG669" t="s">
        <v>83</v>
      </c>
      <c r="AH669" t="s">
        <v>84</v>
      </c>
      <c r="AI669" t="str">
        <f t="shared" si="162"/>
        <v>01</v>
      </c>
      <c r="AJ669" t="str">
        <f t="shared" si="161"/>
        <v>1</v>
      </c>
      <c r="AK669" t="s">
        <v>93</v>
      </c>
      <c r="AL669" t="s">
        <v>94</v>
      </c>
      <c r="AM669" t="s">
        <v>95</v>
      </c>
      <c r="AN669" t="str">
        <f t="shared" si="158"/>
        <v>.9700</v>
      </c>
      <c r="AO669" t="str">
        <f t="shared" si="164"/>
        <v>11.41</v>
      </c>
      <c r="AP669" t="s">
        <v>96</v>
      </c>
      <c r="AQ669" t="str">
        <f t="shared" si="165"/>
        <v>11.41</v>
      </c>
      <c r="AR669">
        <v>7</v>
      </c>
      <c r="AS669">
        <v>0</v>
      </c>
      <c r="AT669">
        <v>7</v>
      </c>
      <c r="AU669">
        <v>79.88</v>
      </c>
      <c r="AV669">
        <v>5.25</v>
      </c>
      <c r="AW669">
        <v>74.63</v>
      </c>
      <c r="AX669">
        <v>0</v>
      </c>
      <c r="AY669">
        <v>74.63</v>
      </c>
      <c r="AZ669">
        <v>0</v>
      </c>
    </row>
    <row r="670" spans="1:52">
      <c r="A670" t="s">
        <v>833</v>
      </c>
      <c r="B670" t="s">
        <v>834</v>
      </c>
      <c r="C670" t="s">
        <v>835</v>
      </c>
      <c r="D670" t="s">
        <v>836</v>
      </c>
      <c r="E670" t="s">
        <v>69</v>
      </c>
      <c r="F670" t="s">
        <v>70</v>
      </c>
      <c r="G670" t="s">
        <v>837</v>
      </c>
      <c r="H670" t="s">
        <v>838</v>
      </c>
      <c r="I670" t="str">
        <f t="shared" si="159"/>
        <v>1010</v>
      </c>
      <c r="J670" t="s">
        <v>67</v>
      </c>
      <c r="K670" t="s">
        <v>855</v>
      </c>
      <c r="L670" t="s">
        <v>856</v>
      </c>
      <c r="M670" t="s">
        <v>855</v>
      </c>
      <c r="N670" t="s">
        <v>702</v>
      </c>
      <c r="O670" t="s">
        <v>1090</v>
      </c>
      <c r="P670" t="str">
        <f>"3020664772"</f>
        <v>3020664772</v>
      </c>
      <c r="Q670" t="str">
        <f>"050264772"</f>
        <v>050264772</v>
      </c>
      <c r="R670" t="str">
        <f>"00030206647723"</f>
        <v>00030206647723</v>
      </c>
      <c r="S670" s="1">
        <v>37817</v>
      </c>
      <c r="T670" s="1">
        <v>37817</v>
      </c>
      <c r="U670" t="str">
        <f>"3020664772"</f>
        <v>3020664772</v>
      </c>
      <c r="V670" t="str">
        <f t="shared" si="160"/>
        <v>1510</v>
      </c>
      <c r="W670" t="str">
        <f t="shared" si="163"/>
        <v>11</v>
      </c>
      <c r="X670" t="s">
        <v>75</v>
      </c>
      <c r="Y670" t="s">
        <v>76</v>
      </c>
      <c r="Z670" t="s">
        <v>105</v>
      </c>
      <c r="AA670" t="s">
        <v>106</v>
      </c>
      <c r="AB670" t="s">
        <v>79</v>
      </c>
      <c r="AD670" t="s">
        <v>80</v>
      </c>
      <c r="AE670" t="s">
        <v>81</v>
      </c>
      <c r="AF670" t="s">
        <v>82</v>
      </c>
      <c r="AG670" t="s">
        <v>83</v>
      </c>
      <c r="AH670" t="s">
        <v>84</v>
      </c>
      <c r="AI670" t="str">
        <f t="shared" si="162"/>
        <v>01</v>
      </c>
      <c r="AJ670" t="str">
        <f t="shared" si="161"/>
        <v>1</v>
      </c>
      <c r="AK670" t="s">
        <v>93</v>
      </c>
      <c r="AL670" t="s">
        <v>94</v>
      </c>
      <c r="AM670" t="s">
        <v>95</v>
      </c>
      <c r="AN670" t="str">
        <f t="shared" si="158"/>
        <v>.9700</v>
      </c>
      <c r="AO670" t="str">
        <f t="shared" si="164"/>
        <v>11.41</v>
      </c>
      <c r="AP670" t="s">
        <v>96</v>
      </c>
      <c r="AQ670" t="str">
        <f t="shared" si="165"/>
        <v>11.41</v>
      </c>
      <c r="AR670">
        <v>26</v>
      </c>
      <c r="AS670">
        <v>0</v>
      </c>
      <c r="AT670">
        <v>26</v>
      </c>
      <c r="AU670">
        <v>296.64999999999998</v>
      </c>
      <c r="AV670">
        <v>35.31</v>
      </c>
      <c r="AW670">
        <v>261.33999999999997</v>
      </c>
      <c r="AX670">
        <v>0</v>
      </c>
      <c r="AY670">
        <v>261.33999999999997</v>
      </c>
      <c r="AZ670">
        <v>0</v>
      </c>
    </row>
    <row r="671" spans="1:52">
      <c r="A671" t="s">
        <v>833</v>
      </c>
      <c r="B671" t="s">
        <v>834</v>
      </c>
      <c r="C671" t="s">
        <v>835</v>
      </c>
      <c r="D671" t="s">
        <v>836</v>
      </c>
      <c r="E671" t="s">
        <v>69</v>
      </c>
      <c r="F671" t="s">
        <v>70</v>
      </c>
      <c r="G671" t="s">
        <v>837</v>
      </c>
      <c r="H671" t="s">
        <v>838</v>
      </c>
      <c r="I671" t="str">
        <f t="shared" si="159"/>
        <v>1010</v>
      </c>
      <c r="J671" t="s">
        <v>67</v>
      </c>
      <c r="K671" t="s">
        <v>855</v>
      </c>
      <c r="L671" t="s">
        <v>856</v>
      </c>
      <c r="M671" t="s">
        <v>855</v>
      </c>
      <c r="N671" t="s">
        <v>702</v>
      </c>
      <c r="O671" t="s">
        <v>1091</v>
      </c>
      <c r="P671" t="str">
        <f>"3020667422"</f>
        <v>3020667422</v>
      </c>
      <c r="R671" t="str">
        <f>"00030206674224"</f>
        <v>00030206674224</v>
      </c>
      <c r="S671" s="1">
        <v>38902</v>
      </c>
      <c r="T671" s="1">
        <v>38902</v>
      </c>
      <c r="U671" t="str">
        <f>"3020667422"</f>
        <v>3020667422</v>
      </c>
      <c r="V671" t="str">
        <f t="shared" si="160"/>
        <v>1510</v>
      </c>
      <c r="W671" t="str">
        <f t="shared" si="163"/>
        <v>11</v>
      </c>
      <c r="X671" t="s">
        <v>75</v>
      </c>
      <c r="Y671" t="s">
        <v>76</v>
      </c>
      <c r="Z671" t="s">
        <v>105</v>
      </c>
      <c r="AA671" t="s">
        <v>106</v>
      </c>
      <c r="AB671" t="s">
        <v>79</v>
      </c>
      <c r="AD671" t="s">
        <v>80</v>
      </c>
      <c r="AE671" t="s">
        <v>81</v>
      </c>
      <c r="AF671" t="s">
        <v>82</v>
      </c>
      <c r="AG671" t="s">
        <v>83</v>
      </c>
      <c r="AH671" t="s">
        <v>84</v>
      </c>
      <c r="AI671" t="str">
        <f t="shared" si="162"/>
        <v>01</v>
      </c>
      <c r="AJ671" t="str">
        <f t="shared" si="161"/>
        <v>1</v>
      </c>
      <c r="AK671" t="s">
        <v>101</v>
      </c>
      <c r="AL671" t="s">
        <v>94</v>
      </c>
      <c r="AM671" t="s">
        <v>95</v>
      </c>
      <c r="AN671" t="str">
        <f t="shared" si="158"/>
        <v>.9700</v>
      </c>
      <c r="AO671" t="str">
        <f>"9.07"</f>
        <v>9.07</v>
      </c>
      <c r="AP671" t="s">
        <v>102</v>
      </c>
      <c r="AQ671" t="str">
        <f>"9.07"</f>
        <v>9.07</v>
      </c>
      <c r="AR671">
        <v>44</v>
      </c>
      <c r="AS671">
        <v>0</v>
      </c>
      <c r="AT671">
        <v>44</v>
      </c>
      <c r="AU671">
        <v>399.1</v>
      </c>
      <c r="AV671">
        <v>46.8</v>
      </c>
      <c r="AW671">
        <v>352.3</v>
      </c>
      <c r="AX671">
        <v>0</v>
      </c>
      <c r="AY671">
        <v>352.3</v>
      </c>
      <c r="AZ671">
        <v>0</v>
      </c>
    </row>
    <row r="672" spans="1:52">
      <c r="A672" t="s">
        <v>833</v>
      </c>
      <c r="B672" t="s">
        <v>834</v>
      </c>
      <c r="C672" t="s">
        <v>835</v>
      </c>
      <c r="D672" t="s">
        <v>836</v>
      </c>
      <c r="E672" t="s">
        <v>69</v>
      </c>
      <c r="F672" t="s">
        <v>70</v>
      </c>
      <c r="G672" t="s">
        <v>837</v>
      </c>
      <c r="H672" t="s">
        <v>838</v>
      </c>
      <c r="I672" t="str">
        <f t="shared" si="159"/>
        <v>1010</v>
      </c>
      <c r="J672" t="s">
        <v>67</v>
      </c>
      <c r="K672" t="s">
        <v>855</v>
      </c>
      <c r="L672" t="s">
        <v>856</v>
      </c>
      <c r="M672" t="s">
        <v>855</v>
      </c>
      <c r="N672" t="s">
        <v>702</v>
      </c>
      <c r="O672" t="s">
        <v>1092</v>
      </c>
      <c r="P672" t="str">
        <f>"3020665462"</f>
        <v>3020665462</v>
      </c>
      <c r="Q672" t="str">
        <f>"050265462"</f>
        <v>050265462</v>
      </c>
      <c r="R672" t="str">
        <f>"00030206654622"</f>
        <v>00030206654622</v>
      </c>
      <c r="S672" s="1">
        <v>38118</v>
      </c>
      <c r="T672" s="1">
        <v>38118</v>
      </c>
      <c r="U672" t="str">
        <f>"3020665462"</f>
        <v>3020665462</v>
      </c>
      <c r="V672" t="str">
        <f t="shared" si="160"/>
        <v>1510</v>
      </c>
      <c r="W672" t="str">
        <f t="shared" si="163"/>
        <v>11</v>
      </c>
      <c r="X672" t="s">
        <v>75</v>
      </c>
      <c r="Y672" t="s">
        <v>76</v>
      </c>
      <c r="Z672" t="s">
        <v>105</v>
      </c>
      <c r="AA672" t="s">
        <v>106</v>
      </c>
      <c r="AB672" t="s">
        <v>79</v>
      </c>
      <c r="AD672" t="s">
        <v>80</v>
      </c>
      <c r="AE672" t="s">
        <v>81</v>
      </c>
      <c r="AF672" t="s">
        <v>82</v>
      </c>
      <c r="AG672" t="s">
        <v>83</v>
      </c>
      <c r="AH672" t="s">
        <v>84</v>
      </c>
      <c r="AI672" t="str">
        <f t="shared" si="162"/>
        <v>01</v>
      </c>
      <c r="AJ672" t="str">
        <f t="shared" si="161"/>
        <v>1</v>
      </c>
      <c r="AK672" t="s">
        <v>93</v>
      </c>
      <c r="AL672" t="s">
        <v>94</v>
      </c>
      <c r="AM672" t="s">
        <v>95</v>
      </c>
      <c r="AN672" t="str">
        <f t="shared" si="158"/>
        <v>.9700</v>
      </c>
      <c r="AO672" t="str">
        <f>"11.41"</f>
        <v>11.41</v>
      </c>
      <c r="AP672" t="s">
        <v>96</v>
      </c>
      <c r="AQ672" t="str">
        <f>"11.41"</f>
        <v>11.41</v>
      </c>
      <c r="AR672">
        <v>8</v>
      </c>
      <c r="AS672">
        <v>0</v>
      </c>
      <c r="AT672">
        <v>8</v>
      </c>
      <c r="AU672">
        <v>91.27</v>
      </c>
      <c r="AV672">
        <v>10.72</v>
      </c>
      <c r="AW672">
        <v>80.55</v>
      </c>
      <c r="AX672">
        <v>0</v>
      </c>
      <c r="AY672">
        <v>80.55</v>
      </c>
      <c r="AZ672">
        <v>0</v>
      </c>
    </row>
    <row r="673" spans="1:52">
      <c r="A673" t="s">
        <v>833</v>
      </c>
      <c r="B673" t="s">
        <v>834</v>
      </c>
      <c r="C673" t="s">
        <v>835</v>
      </c>
      <c r="D673" t="s">
        <v>836</v>
      </c>
      <c r="E673" t="s">
        <v>69</v>
      </c>
      <c r="F673" t="s">
        <v>70</v>
      </c>
      <c r="G673" t="s">
        <v>837</v>
      </c>
      <c r="H673" t="s">
        <v>838</v>
      </c>
      <c r="I673" t="str">
        <f t="shared" ref="I673:I701" si="166">"1010"</f>
        <v>1010</v>
      </c>
      <c r="J673" t="s">
        <v>67</v>
      </c>
      <c r="K673" t="s">
        <v>855</v>
      </c>
      <c r="L673" t="s">
        <v>856</v>
      </c>
      <c r="M673" t="s">
        <v>855</v>
      </c>
      <c r="N673" t="s">
        <v>702</v>
      </c>
      <c r="O673" t="s">
        <v>1093</v>
      </c>
      <c r="P673" t="str">
        <f>"3020663242"</f>
        <v>3020663242</v>
      </c>
      <c r="Q673" t="str">
        <f>"050266324"</f>
        <v>050266324</v>
      </c>
      <c r="R673" t="str">
        <f>"00030206632422"</f>
        <v>00030206632422</v>
      </c>
      <c r="S673" s="1">
        <v>37362</v>
      </c>
      <c r="T673" s="1">
        <v>37362</v>
      </c>
      <c r="U673" t="str">
        <f>"3020663242"</f>
        <v>3020663242</v>
      </c>
      <c r="V673" t="str">
        <f t="shared" ref="V673:V701" si="167">"1510"</f>
        <v>1510</v>
      </c>
      <c r="W673" t="str">
        <f t="shared" si="163"/>
        <v>11</v>
      </c>
      <c r="X673" t="s">
        <v>75</v>
      </c>
      <c r="Y673" t="s">
        <v>76</v>
      </c>
      <c r="Z673" t="s">
        <v>105</v>
      </c>
      <c r="AA673" t="s">
        <v>106</v>
      </c>
      <c r="AB673" t="s">
        <v>79</v>
      </c>
      <c r="AD673" t="s">
        <v>80</v>
      </c>
      <c r="AE673" t="s">
        <v>81</v>
      </c>
      <c r="AF673" t="s">
        <v>82</v>
      </c>
      <c r="AG673" t="s">
        <v>83</v>
      </c>
      <c r="AH673" t="s">
        <v>84</v>
      </c>
      <c r="AI673" t="str">
        <f t="shared" si="162"/>
        <v>01</v>
      </c>
      <c r="AJ673" t="str">
        <f t="shared" si="161"/>
        <v>1</v>
      </c>
      <c r="AK673" t="s">
        <v>101</v>
      </c>
      <c r="AL673" t="s">
        <v>94</v>
      </c>
      <c r="AM673" t="s">
        <v>95</v>
      </c>
      <c r="AN673" t="str">
        <f t="shared" si="158"/>
        <v>.9700</v>
      </c>
      <c r="AO673" t="str">
        <f>"9.07"</f>
        <v>9.07</v>
      </c>
      <c r="AP673" t="s">
        <v>102</v>
      </c>
      <c r="AQ673" t="str">
        <f>"9.07"</f>
        <v>9.07</v>
      </c>
      <c r="AR673">
        <v>5</v>
      </c>
      <c r="AS673">
        <v>-1</v>
      </c>
      <c r="AT673">
        <v>4</v>
      </c>
      <c r="AU673">
        <v>45.34</v>
      </c>
      <c r="AV673">
        <v>4.3</v>
      </c>
      <c r="AW673">
        <v>41.04</v>
      </c>
      <c r="AX673">
        <v>-8.23</v>
      </c>
      <c r="AY673">
        <v>32.81</v>
      </c>
      <c r="AZ673">
        <v>0</v>
      </c>
    </row>
    <row r="674" spans="1:52">
      <c r="A674" t="s">
        <v>833</v>
      </c>
      <c r="B674" t="s">
        <v>834</v>
      </c>
      <c r="C674" t="s">
        <v>835</v>
      </c>
      <c r="D674" t="s">
        <v>836</v>
      </c>
      <c r="E674" t="s">
        <v>69</v>
      </c>
      <c r="F674" t="s">
        <v>70</v>
      </c>
      <c r="G674" t="s">
        <v>837</v>
      </c>
      <c r="H674" t="s">
        <v>838</v>
      </c>
      <c r="I674" t="str">
        <f t="shared" si="166"/>
        <v>1010</v>
      </c>
      <c r="J674" t="s">
        <v>67</v>
      </c>
      <c r="K674" t="s">
        <v>855</v>
      </c>
      <c r="L674" t="s">
        <v>856</v>
      </c>
      <c r="M674" t="s">
        <v>855</v>
      </c>
      <c r="N674" t="s">
        <v>702</v>
      </c>
      <c r="O674" t="s">
        <v>1094</v>
      </c>
      <c r="P674" t="str">
        <f>"3020664442"</f>
        <v>3020664442</v>
      </c>
      <c r="Q674" t="str">
        <f>"050266444"</f>
        <v>050266444</v>
      </c>
      <c r="R674" t="str">
        <f>"00030206644425"</f>
        <v>00030206644425</v>
      </c>
      <c r="S674" s="1">
        <v>37712</v>
      </c>
      <c r="T674" s="1">
        <v>37712</v>
      </c>
      <c r="U674" t="str">
        <f>"3020664442"</f>
        <v>3020664442</v>
      </c>
      <c r="V674" t="str">
        <f t="shared" si="167"/>
        <v>1510</v>
      </c>
      <c r="W674" t="str">
        <f t="shared" si="163"/>
        <v>11</v>
      </c>
      <c r="X674" t="s">
        <v>376</v>
      </c>
      <c r="Y674" t="s">
        <v>76</v>
      </c>
      <c r="Z674" t="s">
        <v>105</v>
      </c>
      <c r="AA674" t="s">
        <v>106</v>
      </c>
      <c r="AB674" t="s">
        <v>79</v>
      </c>
      <c r="AD674" t="s">
        <v>80</v>
      </c>
      <c r="AE674" t="s">
        <v>81</v>
      </c>
      <c r="AF674" t="s">
        <v>82</v>
      </c>
      <c r="AG674" t="s">
        <v>83</v>
      </c>
      <c r="AH674" t="s">
        <v>84</v>
      </c>
      <c r="AI674" t="str">
        <f t="shared" si="162"/>
        <v>01</v>
      </c>
      <c r="AJ674" t="str">
        <f t="shared" si="161"/>
        <v>1</v>
      </c>
      <c r="AK674" t="s">
        <v>93</v>
      </c>
      <c r="AL674" t="s">
        <v>94</v>
      </c>
      <c r="AM674" t="s">
        <v>95</v>
      </c>
      <c r="AN674" t="str">
        <f t="shared" si="158"/>
        <v>.9700</v>
      </c>
      <c r="AO674" t="str">
        <f>"11.41"</f>
        <v>11.41</v>
      </c>
      <c r="AP674" t="s">
        <v>96</v>
      </c>
      <c r="AQ674" t="str">
        <f>"11.41"</f>
        <v>11.41</v>
      </c>
      <c r="AR674">
        <v>0</v>
      </c>
      <c r="AS674">
        <v>-1</v>
      </c>
      <c r="AT674">
        <v>-1</v>
      </c>
      <c r="AU674">
        <v>0</v>
      </c>
      <c r="AV674">
        <v>0</v>
      </c>
      <c r="AW674">
        <v>0</v>
      </c>
      <c r="AX674">
        <v>-10.58</v>
      </c>
      <c r="AY674">
        <v>-10.58</v>
      </c>
      <c r="AZ674">
        <v>0</v>
      </c>
    </row>
    <row r="675" spans="1:52">
      <c r="A675" t="s">
        <v>833</v>
      </c>
      <c r="B675" t="s">
        <v>834</v>
      </c>
      <c r="C675" t="s">
        <v>835</v>
      </c>
      <c r="D675" t="s">
        <v>836</v>
      </c>
      <c r="E675" t="s">
        <v>69</v>
      </c>
      <c r="F675" t="s">
        <v>70</v>
      </c>
      <c r="G675" t="s">
        <v>837</v>
      </c>
      <c r="H675" t="s">
        <v>838</v>
      </c>
      <c r="I675" t="str">
        <f t="shared" si="166"/>
        <v>1010</v>
      </c>
      <c r="J675" t="s">
        <v>67</v>
      </c>
      <c r="K675" t="s">
        <v>855</v>
      </c>
      <c r="L675" t="s">
        <v>856</v>
      </c>
      <c r="M675" t="s">
        <v>855</v>
      </c>
      <c r="N675" t="s">
        <v>702</v>
      </c>
      <c r="O675" t="s">
        <v>1095</v>
      </c>
      <c r="P675" t="str">
        <f>"3020664782"</f>
        <v>3020664782</v>
      </c>
      <c r="Q675" t="str">
        <f>"050264782"</f>
        <v>050264782</v>
      </c>
      <c r="R675" t="str">
        <f>"00030206647822"</f>
        <v>00030206647822</v>
      </c>
      <c r="S675" s="1">
        <v>37852</v>
      </c>
      <c r="T675" s="1">
        <v>37852</v>
      </c>
      <c r="U675" t="str">
        <f>"3020664782"</f>
        <v>3020664782</v>
      </c>
      <c r="V675" t="str">
        <f t="shared" si="167"/>
        <v>1510</v>
      </c>
      <c r="W675" t="str">
        <f t="shared" si="163"/>
        <v>11</v>
      </c>
      <c r="X675" t="s">
        <v>75</v>
      </c>
      <c r="Y675" t="s">
        <v>76</v>
      </c>
      <c r="Z675" t="s">
        <v>77</v>
      </c>
      <c r="AA675" t="s">
        <v>78</v>
      </c>
      <c r="AB675" t="s">
        <v>79</v>
      </c>
      <c r="AD675" t="s">
        <v>80</v>
      </c>
      <c r="AE675" t="s">
        <v>81</v>
      </c>
      <c r="AF675" t="s">
        <v>82</v>
      </c>
      <c r="AG675" t="s">
        <v>83</v>
      </c>
      <c r="AH675" t="s">
        <v>84</v>
      </c>
      <c r="AI675" t="str">
        <f>"03"</f>
        <v>03</v>
      </c>
      <c r="AJ675" t="str">
        <f>"3"</f>
        <v>3</v>
      </c>
      <c r="AK675" t="s">
        <v>1096</v>
      </c>
      <c r="AL675" t="s">
        <v>94</v>
      </c>
      <c r="AM675" t="s">
        <v>95</v>
      </c>
      <c r="AN675" t="str">
        <f t="shared" si="158"/>
        <v>.9700</v>
      </c>
      <c r="AO675" t="str">
        <f>"17.57"</f>
        <v>17.57</v>
      </c>
      <c r="AP675" t="s">
        <v>1097</v>
      </c>
      <c r="AQ675" t="str">
        <f>"17.57"</f>
        <v>17.57</v>
      </c>
      <c r="AR675">
        <v>81</v>
      </c>
      <c r="AS675">
        <v>0</v>
      </c>
      <c r="AT675">
        <v>81</v>
      </c>
      <c r="AU675">
        <v>1423.14</v>
      </c>
      <c r="AV675">
        <v>103.67</v>
      </c>
      <c r="AW675">
        <v>1319.47</v>
      </c>
      <c r="AX675">
        <v>0</v>
      </c>
      <c r="AY675">
        <v>1319.47</v>
      </c>
      <c r="AZ675">
        <v>0</v>
      </c>
    </row>
    <row r="676" spans="1:52">
      <c r="A676" t="s">
        <v>833</v>
      </c>
      <c r="B676" t="s">
        <v>834</v>
      </c>
      <c r="C676" t="s">
        <v>835</v>
      </c>
      <c r="D676" t="s">
        <v>836</v>
      </c>
      <c r="E676" t="s">
        <v>69</v>
      </c>
      <c r="F676" t="s">
        <v>70</v>
      </c>
      <c r="G676" t="s">
        <v>837</v>
      </c>
      <c r="H676" t="s">
        <v>838</v>
      </c>
      <c r="I676" t="str">
        <f t="shared" si="166"/>
        <v>1010</v>
      </c>
      <c r="J676" t="s">
        <v>67</v>
      </c>
      <c r="K676" t="s">
        <v>855</v>
      </c>
      <c r="L676" t="s">
        <v>856</v>
      </c>
      <c r="M676" t="s">
        <v>855</v>
      </c>
      <c r="N676" t="s">
        <v>1098</v>
      </c>
      <c r="O676" t="s">
        <v>1099</v>
      </c>
      <c r="P676" t="str">
        <f>"3020665572"</f>
        <v>3020665572</v>
      </c>
      <c r="Q676" t="str">
        <f>"050265572"</f>
        <v>050265572</v>
      </c>
      <c r="R676" t="str">
        <f>"00030206655728"</f>
        <v>00030206655728</v>
      </c>
      <c r="S676" s="1">
        <v>38181</v>
      </c>
      <c r="T676" s="1">
        <v>38151</v>
      </c>
      <c r="U676" t="str">
        <f>"3020665572"</f>
        <v>3020665572</v>
      </c>
      <c r="V676" t="str">
        <f t="shared" si="167"/>
        <v>1510</v>
      </c>
      <c r="W676" t="str">
        <f t="shared" si="163"/>
        <v>11</v>
      </c>
      <c r="X676" t="s">
        <v>75</v>
      </c>
      <c r="Y676" t="s">
        <v>76</v>
      </c>
      <c r="Z676" t="s">
        <v>91</v>
      </c>
      <c r="AA676" t="s">
        <v>92</v>
      </c>
      <c r="AB676" t="s">
        <v>79</v>
      </c>
      <c r="AD676" t="s">
        <v>80</v>
      </c>
      <c r="AE676" t="s">
        <v>81</v>
      </c>
      <c r="AF676" t="s">
        <v>82</v>
      </c>
      <c r="AG676" t="s">
        <v>83</v>
      </c>
      <c r="AH676" t="s">
        <v>84</v>
      </c>
      <c r="AI676" t="str">
        <f t="shared" ref="AI676:AI682" si="168">"01"</f>
        <v>01</v>
      </c>
      <c r="AJ676" t="str">
        <f t="shared" ref="AJ676:AJ682" si="169">"1"</f>
        <v>1</v>
      </c>
      <c r="AK676" t="s">
        <v>93</v>
      </c>
      <c r="AL676" t="s">
        <v>94</v>
      </c>
      <c r="AM676" t="s">
        <v>95</v>
      </c>
      <c r="AN676" t="str">
        <f t="shared" si="158"/>
        <v>.9700</v>
      </c>
      <c r="AO676" t="str">
        <f>"11.41"</f>
        <v>11.41</v>
      </c>
      <c r="AP676" t="s">
        <v>96</v>
      </c>
      <c r="AQ676" t="str">
        <f>"11.41"</f>
        <v>11.41</v>
      </c>
      <c r="AR676">
        <v>29</v>
      </c>
      <c r="AS676">
        <v>0</v>
      </c>
      <c r="AT676">
        <v>29</v>
      </c>
      <c r="AU676">
        <v>330.89</v>
      </c>
      <c r="AV676">
        <v>37.76</v>
      </c>
      <c r="AW676">
        <v>293.13</v>
      </c>
      <c r="AX676">
        <v>0</v>
      </c>
      <c r="AY676">
        <v>293.13</v>
      </c>
      <c r="AZ676">
        <v>0</v>
      </c>
    </row>
    <row r="677" spans="1:52">
      <c r="A677" t="s">
        <v>833</v>
      </c>
      <c r="B677" t="s">
        <v>834</v>
      </c>
      <c r="C677" t="s">
        <v>835</v>
      </c>
      <c r="D677" t="s">
        <v>836</v>
      </c>
      <c r="E677" t="s">
        <v>69</v>
      </c>
      <c r="F677" t="s">
        <v>70</v>
      </c>
      <c r="G677" t="s">
        <v>837</v>
      </c>
      <c r="H677" t="s">
        <v>838</v>
      </c>
      <c r="I677" t="str">
        <f t="shared" si="166"/>
        <v>1010</v>
      </c>
      <c r="J677" t="s">
        <v>67</v>
      </c>
      <c r="K677" t="s">
        <v>855</v>
      </c>
      <c r="L677" t="s">
        <v>856</v>
      </c>
      <c r="M677" t="s">
        <v>855</v>
      </c>
      <c r="N677" t="s">
        <v>1100</v>
      </c>
      <c r="O677" t="s">
        <v>1099</v>
      </c>
      <c r="P677" t="str">
        <f>"3020666372"</f>
        <v>3020666372</v>
      </c>
      <c r="R677" t="str">
        <f>"00030206663723"</f>
        <v>00030206663723</v>
      </c>
      <c r="S677" s="1">
        <v>38412</v>
      </c>
      <c r="T677" s="1">
        <v>38412</v>
      </c>
      <c r="U677" t="str">
        <f>"3020666372"</f>
        <v>3020666372</v>
      </c>
      <c r="V677" t="str">
        <f t="shared" si="167"/>
        <v>1510</v>
      </c>
      <c r="W677" t="str">
        <f t="shared" si="163"/>
        <v>11</v>
      </c>
      <c r="X677" t="s">
        <v>75</v>
      </c>
      <c r="Y677" t="s">
        <v>76</v>
      </c>
      <c r="Z677" t="s">
        <v>105</v>
      </c>
      <c r="AA677" t="s">
        <v>106</v>
      </c>
      <c r="AB677" t="s">
        <v>79</v>
      </c>
      <c r="AD677" t="s">
        <v>80</v>
      </c>
      <c r="AE677" t="s">
        <v>81</v>
      </c>
      <c r="AF677" t="s">
        <v>82</v>
      </c>
      <c r="AG677" t="s">
        <v>83</v>
      </c>
      <c r="AH677" t="s">
        <v>84</v>
      </c>
      <c r="AI677" t="str">
        <f t="shared" si="168"/>
        <v>01</v>
      </c>
      <c r="AJ677" t="str">
        <f t="shared" si="169"/>
        <v>1</v>
      </c>
      <c r="AK677" t="s">
        <v>93</v>
      </c>
      <c r="AL677" t="s">
        <v>94</v>
      </c>
      <c r="AM677" t="s">
        <v>95</v>
      </c>
      <c r="AN677" t="str">
        <f t="shared" si="158"/>
        <v>.9700</v>
      </c>
      <c r="AO677" t="str">
        <f>"11.41"</f>
        <v>11.41</v>
      </c>
      <c r="AP677" t="s">
        <v>96</v>
      </c>
      <c r="AQ677" t="str">
        <f>"11.41"</f>
        <v>11.41</v>
      </c>
      <c r="AR677">
        <v>17</v>
      </c>
      <c r="AS677">
        <v>-1</v>
      </c>
      <c r="AT677">
        <v>16</v>
      </c>
      <c r="AU677">
        <v>193.96</v>
      </c>
      <c r="AV677">
        <v>20.54</v>
      </c>
      <c r="AW677">
        <v>173.42</v>
      </c>
      <c r="AX677">
        <v>-10.49</v>
      </c>
      <c r="AY677">
        <v>162.93</v>
      </c>
      <c r="AZ677">
        <v>0</v>
      </c>
    </row>
    <row r="678" spans="1:52">
      <c r="A678" t="s">
        <v>833</v>
      </c>
      <c r="B678" t="s">
        <v>834</v>
      </c>
      <c r="C678" t="s">
        <v>835</v>
      </c>
      <c r="D678" t="s">
        <v>836</v>
      </c>
      <c r="E678" t="s">
        <v>69</v>
      </c>
      <c r="F678" t="s">
        <v>70</v>
      </c>
      <c r="G678" t="s">
        <v>837</v>
      </c>
      <c r="H678" t="s">
        <v>838</v>
      </c>
      <c r="I678" t="str">
        <f t="shared" si="166"/>
        <v>1010</v>
      </c>
      <c r="J678" t="s">
        <v>67</v>
      </c>
      <c r="K678" t="s">
        <v>855</v>
      </c>
      <c r="L678" t="s">
        <v>856</v>
      </c>
      <c r="M678" t="s">
        <v>855</v>
      </c>
      <c r="N678" t="s">
        <v>1101</v>
      </c>
      <c r="O678" t="s">
        <v>1099</v>
      </c>
      <c r="P678" t="str">
        <f>"3020666142"</f>
        <v>3020666142</v>
      </c>
      <c r="Q678" t="s">
        <v>1102</v>
      </c>
      <c r="R678" t="str">
        <f>"00030206661422"</f>
        <v>00030206661422</v>
      </c>
      <c r="S678" s="1">
        <v>38258</v>
      </c>
      <c r="T678" s="1">
        <v>38258</v>
      </c>
      <c r="U678" t="str">
        <f>"3020666142"</f>
        <v>3020666142</v>
      </c>
      <c r="V678" t="str">
        <f t="shared" si="167"/>
        <v>1510</v>
      </c>
      <c r="W678" t="str">
        <f t="shared" si="163"/>
        <v>11</v>
      </c>
      <c r="X678" t="s">
        <v>376</v>
      </c>
      <c r="Y678" t="s">
        <v>76</v>
      </c>
      <c r="Z678" t="s">
        <v>105</v>
      </c>
      <c r="AA678" t="s">
        <v>106</v>
      </c>
      <c r="AB678" t="s">
        <v>79</v>
      </c>
      <c r="AD678" t="s">
        <v>80</v>
      </c>
      <c r="AE678" t="s">
        <v>81</v>
      </c>
      <c r="AF678" t="s">
        <v>82</v>
      </c>
      <c r="AG678" t="s">
        <v>83</v>
      </c>
      <c r="AH678" t="s">
        <v>84</v>
      </c>
      <c r="AI678" t="str">
        <f t="shared" si="168"/>
        <v>01</v>
      </c>
      <c r="AJ678" t="str">
        <f t="shared" si="169"/>
        <v>1</v>
      </c>
      <c r="AK678" t="s">
        <v>93</v>
      </c>
      <c r="AL678" t="s">
        <v>94</v>
      </c>
      <c r="AM678" t="s">
        <v>95</v>
      </c>
      <c r="AN678" t="str">
        <f t="shared" si="158"/>
        <v>.9700</v>
      </c>
      <c r="AO678" t="str">
        <f>"11.41"</f>
        <v>11.41</v>
      </c>
      <c r="AP678" t="s">
        <v>96</v>
      </c>
      <c r="AQ678" t="str">
        <f>"11.41"</f>
        <v>11.41</v>
      </c>
      <c r="AR678">
        <v>0</v>
      </c>
      <c r="AS678">
        <v>-1</v>
      </c>
      <c r="AT678">
        <v>-1</v>
      </c>
      <c r="AU678">
        <v>0</v>
      </c>
      <c r="AV678">
        <v>0</v>
      </c>
      <c r="AW678">
        <v>0</v>
      </c>
      <c r="AX678">
        <v>-10.46</v>
      </c>
      <c r="AY678">
        <v>-10.46</v>
      </c>
      <c r="AZ678">
        <v>0</v>
      </c>
    </row>
    <row r="679" spans="1:52">
      <c r="A679" t="s">
        <v>833</v>
      </c>
      <c r="B679" t="s">
        <v>834</v>
      </c>
      <c r="C679" t="s">
        <v>835</v>
      </c>
      <c r="D679" t="s">
        <v>836</v>
      </c>
      <c r="E679" t="s">
        <v>69</v>
      </c>
      <c r="F679" t="s">
        <v>70</v>
      </c>
      <c r="G679" t="s">
        <v>837</v>
      </c>
      <c r="H679" t="s">
        <v>838</v>
      </c>
      <c r="I679" t="str">
        <f t="shared" si="166"/>
        <v>1010</v>
      </c>
      <c r="J679" t="s">
        <v>67</v>
      </c>
      <c r="K679" t="s">
        <v>855</v>
      </c>
      <c r="L679" t="s">
        <v>856</v>
      </c>
      <c r="M679" t="s">
        <v>855</v>
      </c>
      <c r="N679" t="s">
        <v>1103</v>
      </c>
      <c r="O679" t="s">
        <v>1099</v>
      </c>
      <c r="P679" t="str">
        <f>"3020665542"</f>
        <v>3020665542</v>
      </c>
      <c r="Q679" t="str">
        <f>"050265542"</f>
        <v>050265542</v>
      </c>
      <c r="R679" t="str">
        <f>"00030206655421"</f>
        <v>00030206655421</v>
      </c>
      <c r="S679" s="1">
        <v>38104</v>
      </c>
      <c r="T679" s="1">
        <v>38097</v>
      </c>
      <c r="U679" t="str">
        <f>"3020665542"</f>
        <v>3020665542</v>
      </c>
      <c r="V679" t="str">
        <f t="shared" si="167"/>
        <v>1510</v>
      </c>
      <c r="W679" t="str">
        <f t="shared" si="163"/>
        <v>11</v>
      </c>
      <c r="X679" t="s">
        <v>75</v>
      </c>
      <c r="Y679" t="s">
        <v>76</v>
      </c>
      <c r="Z679" t="s">
        <v>105</v>
      </c>
      <c r="AA679" t="s">
        <v>106</v>
      </c>
      <c r="AB679" t="s">
        <v>79</v>
      </c>
      <c r="AD679" t="s">
        <v>80</v>
      </c>
      <c r="AE679" t="s">
        <v>81</v>
      </c>
      <c r="AF679" t="s">
        <v>82</v>
      </c>
      <c r="AG679" t="s">
        <v>83</v>
      </c>
      <c r="AH679" t="s">
        <v>84</v>
      </c>
      <c r="AI679" t="str">
        <f t="shared" si="168"/>
        <v>01</v>
      </c>
      <c r="AJ679" t="str">
        <f t="shared" si="169"/>
        <v>1</v>
      </c>
      <c r="AK679" t="s">
        <v>93</v>
      </c>
      <c r="AL679" t="s">
        <v>94</v>
      </c>
      <c r="AM679" t="s">
        <v>95</v>
      </c>
      <c r="AN679" t="str">
        <f t="shared" si="158"/>
        <v>.9700</v>
      </c>
      <c r="AO679" t="str">
        <f>"11.41"</f>
        <v>11.41</v>
      </c>
      <c r="AP679" t="s">
        <v>96</v>
      </c>
      <c r="AQ679" t="str">
        <f>"11.41"</f>
        <v>11.41</v>
      </c>
      <c r="AR679">
        <v>22</v>
      </c>
      <c r="AS679">
        <v>-1</v>
      </c>
      <c r="AT679">
        <v>21</v>
      </c>
      <c r="AU679">
        <v>251.01</v>
      </c>
      <c r="AV679">
        <v>24.65</v>
      </c>
      <c r="AW679">
        <v>226.36</v>
      </c>
      <c r="AX679">
        <v>-10.31</v>
      </c>
      <c r="AY679">
        <v>216.05</v>
      </c>
      <c r="AZ679">
        <v>0</v>
      </c>
    </row>
    <row r="680" spans="1:52">
      <c r="A680" t="s">
        <v>833</v>
      </c>
      <c r="B680" t="s">
        <v>834</v>
      </c>
      <c r="C680" t="s">
        <v>835</v>
      </c>
      <c r="D680" t="s">
        <v>836</v>
      </c>
      <c r="E680" t="s">
        <v>69</v>
      </c>
      <c r="F680" t="s">
        <v>70</v>
      </c>
      <c r="G680" t="s">
        <v>837</v>
      </c>
      <c r="H680" t="s">
        <v>838</v>
      </c>
      <c r="I680" t="str">
        <f t="shared" si="166"/>
        <v>1010</v>
      </c>
      <c r="J680" t="s">
        <v>67</v>
      </c>
      <c r="K680" t="s">
        <v>855</v>
      </c>
      <c r="L680" t="s">
        <v>856</v>
      </c>
      <c r="M680" t="s">
        <v>855</v>
      </c>
      <c r="N680" t="s">
        <v>1104</v>
      </c>
      <c r="O680" t="s">
        <v>1105</v>
      </c>
      <c r="P680" t="str">
        <f>"3020668212"</f>
        <v>3020668212</v>
      </c>
      <c r="R680" t="str">
        <f>"00030206682120"</f>
        <v>00030206682120</v>
      </c>
      <c r="S680" s="1">
        <v>39238</v>
      </c>
      <c r="T680" s="1">
        <v>39238</v>
      </c>
      <c r="U680" t="str">
        <f>"3020668212"</f>
        <v>3020668212</v>
      </c>
      <c r="V680" t="str">
        <f t="shared" si="167"/>
        <v>1510</v>
      </c>
      <c r="W680" t="str">
        <f t="shared" si="163"/>
        <v>11</v>
      </c>
      <c r="X680" t="s">
        <v>75</v>
      </c>
      <c r="Y680" t="s">
        <v>76</v>
      </c>
      <c r="Z680" t="s">
        <v>126</v>
      </c>
      <c r="AA680" t="s">
        <v>127</v>
      </c>
      <c r="AB680" t="s">
        <v>79</v>
      </c>
      <c r="AD680" t="s">
        <v>80</v>
      </c>
      <c r="AE680" t="s">
        <v>81</v>
      </c>
      <c r="AF680" t="s">
        <v>82</v>
      </c>
      <c r="AG680" t="s">
        <v>83</v>
      </c>
      <c r="AH680" t="s">
        <v>84</v>
      </c>
      <c r="AI680" t="str">
        <f t="shared" si="168"/>
        <v>01</v>
      </c>
      <c r="AJ680" t="str">
        <f t="shared" si="169"/>
        <v>1</v>
      </c>
      <c r="AK680" t="s">
        <v>101</v>
      </c>
      <c r="AL680" t="s">
        <v>94</v>
      </c>
      <c r="AM680" t="s">
        <v>95</v>
      </c>
      <c r="AN680" t="str">
        <f t="shared" si="158"/>
        <v>.9700</v>
      </c>
      <c r="AO680" t="str">
        <f>"9.07"</f>
        <v>9.07</v>
      </c>
      <c r="AP680" t="s">
        <v>102</v>
      </c>
      <c r="AQ680" t="str">
        <f>"9.07"</f>
        <v>9.07</v>
      </c>
      <c r="AR680">
        <v>2</v>
      </c>
      <c r="AS680">
        <v>0</v>
      </c>
      <c r="AT680">
        <v>2</v>
      </c>
      <c r="AU680">
        <v>18.14</v>
      </c>
      <c r="AV680">
        <v>2.1800000000000002</v>
      </c>
      <c r="AW680">
        <v>15.96</v>
      </c>
      <c r="AX680">
        <v>0</v>
      </c>
      <c r="AY680">
        <v>15.96</v>
      </c>
      <c r="AZ680">
        <v>0</v>
      </c>
    </row>
    <row r="681" spans="1:52">
      <c r="A681" t="s">
        <v>833</v>
      </c>
      <c r="B681" t="s">
        <v>834</v>
      </c>
      <c r="C681" t="s">
        <v>835</v>
      </c>
      <c r="D681" t="s">
        <v>836</v>
      </c>
      <c r="E681" t="s">
        <v>69</v>
      </c>
      <c r="F681" t="s">
        <v>70</v>
      </c>
      <c r="G681" t="s">
        <v>837</v>
      </c>
      <c r="H681" t="s">
        <v>838</v>
      </c>
      <c r="I681" t="str">
        <f t="shared" si="166"/>
        <v>1010</v>
      </c>
      <c r="J681" t="s">
        <v>67</v>
      </c>
      <c r="K681" t="s">
        <v>855</v>
      </c>
      <c r="L681" t="s">
        <v>856</v>
      </c>
      <c r="M681" t="s">
        <v>855</v>
      </c>
      <c r="N681" t="s">
        <v>746</v>
      </c>
      <c r="O681" t="s">
        <v>1106</v>
      </c>
      <c r="P681" t="str">
        <f>"3020661322"</f>
        <v>3020661322</v>
      </c>
      <c r="Q681" t="str">
        <f>"050266132"</f>
        <v>050266132</v>
      </c>
      <c r="R681" t="str">
        <f>"00030206613223"</f>
        <v>00030206613223</v>
      </c>
      <c r="S681" s="1">
        <v>36704</v>
      </c>
      <c r="T681" s="1">
        <v>36690</v>
      </c>
      <c r="U681" t="str">
        <f>"3020661322"</f>
        <v>3020661322</v>
      </c>
      <c r="V681" t="str">
        <f t="shared" si="167"/>
        <v>1510</v>
      </c>
      <c r="W681" t="str">
        <f t="shared" si="163"/>
        <v>11</v>
      </c>
      <c r="X681" t="s">
        <v>75</v>
      </c>
      <c r="Y681" t="s">
        <v>76</v>
      </c>
      <c r="Z681" t="s">
        <v>105</v>
      </c>
      <c r="AA681" t="s">
        <v>106</v>
      </c>
      <c r="AB681" t="s">
        <v>79</v>
      </c>
      <c r="AD681" t="s">
        <v>80</v>
      </c>
      <c r="AE681" t="s">
        <v>81</v>
      </c>
      <c r="AF681" t="s">
        <v>82</v>
      </c>
      <c r="AG681" t="s">
        <v>83</v>
      </c>
      <c r="AH681" t="s">
        <v>84</v>
      </c>
      <c r="AI681" t="str">
        <f t="shared" si="168"/>
        <v>01</v>
      </c>
      <c r="AJ681" t="str">
        <f t="shared" si="169"/>
        <v>1</v>
      </c>
      <c r="AK681" t="s">
        <v>93</v>
      </c>
      <c r="AL681" t="s">
        <v>94</v>
      </c>
      <c r="AM681" t="s">
        <v>95</v>
      </c>
      <c r="AN681" t="str">
        <f t="shared" si="158"/>
        <v>.9700</v>
      </c>
      <c r="AO681" t="str">
        <f>"11.41"</f>
        <v>11.41</v>
      </c>
      <c r="AP681" t="s">
        <v>96</v>
      </c>
      <c r="AQ681" t="str">
        <f>"11.41"</f>
        <v>11.41</v>
      </c>
      <c r="AR681">
        <v>90</v>
      </c>
      <c r="AS681">
        <v>-1</v>
      </c>
      <c r="AT681">
        <v>89</v>
      </c>
      <c r="AU681">
        <v>1003.57</v>
      </c>
      <c r="AV681">
        <v>89</v>
      </c>
      <c r="AW681">
        <v>914.57</v>
      </c>
      <c r="AX681">
        <v>-10.31</v>
      </c>
      <c r="AY681">
        <v>904.26</v>
      </c>
      <c r="AZ681">
        <v>0</v>
      </c>
    </row>
    <row r="682" spans="1:52">
      <c r="A682" t="s">
        <v>833</v>
      </c>
      <c r="B682" t="s">
        <v>834</v>
      </c>
      <c r="C682" t="s">
        <v>835</v>
      </c>
      <c r="D682" t="s">
        <v>836</v>
      </c>
      <c r="E682" t="s">
        <v>69</v>
      </c>
      <c r="F682" t="s">
        <v>70</v>
      </c>
      <c r="G682" t="s">
        <v>837</v>
      </c>
      <c r="H682" t="s">
        <v>838</v>
      </c>
      <c r="I682" t="str">
        <f t="shared" si="166"/>
        <v>1010</v>
      </c>
      <c r="J682" t="s">
        <v>67</v>
      </c>
      <c r="K682" t="s">
        <v>855</v>
      </c>
      <c r="L682" t="s">
        <v>856</v>
      </c>
      <c r="M682" t="s">
        <v>855</v>
      </c>
      <c r="N682" t="s">
        <v>746</v>
      </c>
      <c r="O682" t="s">
        <v>1107</v>
      </c>
      <c r="P682" t="str">
        <f>"3020661482"</f>
        <v>3020661482</v>
      </c>
      <c r="Q682" t="str">
        <f>"050266148"</f>
        <v>050266148</v>
      </c>
      <c r="R682" t="str">
        <f>"00030206614824"</f>
        <v>00030206614824</v>
      </c>
      <c r="S682" s="1">
        <v>36732</v>
      </c>
      <c r="T682" s="1">
        <v>36732</v>
      </c>
      <c r="U682" t="str">
        <f>"3020661482"</f>
        <v>3020661482</v>
      </c>
      <c r="V682" t="str">
        <f t="shared" si="167"/>
        <v>1510</v>
      </c>
      <c r="W682" t="str">
        <f t="shared" si="163"/>
        <v>11</v>
      </c>
      <c r="X682" t="s">
        <v>75</v>
      </c>
      <c r="Y682" t="s">
        <v>76</v>
      </c>
      <c r="Z682" t="s">
        <v>105</v>
      </c>
      <c r="AA682" t="s">
        <v>106</v>
      </c>
      <c r="AB682" t="s">
        <v>79</v>
      </c>
      <c r="AD682" t="s">
        <v>80</v>
      </c>
      <c r="AE682" t="s">
        <v>81</v>
      </c>
      <c r="AF682" t="s">
        <v>82</v>
      </c>
      <c r="AG682" t="s">
        <v>83</v>
      </c>
      <c r="AH682" t="s">
        <v>84</v>
      </c>
      <c r="AI682" t="str">
        <f t="shared" si="168"/>
        <v>01</v>
      </c>
      <c r="AJ682" t="str">
        <f t="shared" si="169"/>
        <v>1</v>
      </c>
      <c r="AK682" t="s">
        <v>93</v>
      </c>
      <c r="AL682" t="s">
        <v>94</v>
      </c>
      <c r="AM682" t="s">
        <v>95</v>
      </c>
      <c r="AN682" t="str">
        <f t="shared" si="158"/>
        <v>.9700</v>
      </c>
      <c r="AO682" t="str">
        <f>"11.41"</f>
        <v>11.41</v>
      </c>
      <c r="AP682" t="s">
        <v>96</v>
      </c>
      <c r="AQ682" t="str">
        <f>"11.41"</f>
        <v>11.41</v>
      </c>
      <c r="AR682">
        <v>56</v>
      </c>
      <c r="AS682">
        <v>0</v>
      </c>
      <c r="AT682">
        <v>56</v>
      </c>
      <c r="AU682">
        <v>630.21</v>
      </c>
      <c r="AV682">
        <v>30.12</v>
      </c>
      <c r="AW682">
        <v>600.09</v>
      </c>
      <c r="AX682">
        <v>0</v>
      </c>
      <c r="AY682">
        <v>600.09</v>
      </c>
      <c r="AZ682">
        <v>0</v>
      </c>
    </row>
    <row r="683" spans="1:52">
      <c r="A683" t="s">
        <v>833</v>
      </c>
      <c r="B683" t="s">
        <v>834</v>
      </c>
      <c r="C683" t="s">
        <v>835</v>
      </c>
      <c r="D683" t="s">
        <v>836</v>
      </c>
      <c r="E683" t="s">
        <v>69</v>
      </c>
      <c r="F683" t="s">
        <v>70</v>
      </c>
      <c r="G683" t="s">
        <v>837</v>
      </c>
      <c r="H683" t="s">
        <v>838</v>
      </c>
      <c r="I683" t="str">
        <f t="shared" si="166"/>
        <v>1010</v>
      </c>
      <c r="J683" t="s">
        <v>67</v>
      </c>
      <c r="K683" t="s">
        <v>855</v>
      </c>
      <c r="L683" t="s">
        <v>856</v>
      </c>
      <c r="M683" t="s">
        <v>855</v>
      </c>
      <c r="N683" t="s">
        <v>751</v>
      </c>
      <c r="O683" t="s">
        <v>1108</v>
      </c>
      <c r="P683" t="str">
        <f>"3020666642"</f>
        <v>3020666642</v>
      </c>
      <c r="R683" t="str">
        <f>"00030206666427"</f>
        <v>00030206666427</v>
      </c>
      <c r="S683" s="1">
        <v>38524</v>
      </c>
      <c r="T683" s="1">
        <v>38524</v>
      </c>
      <c r="U683" t="str">
        <f>"3020666642"</f>
        <v>3020666642</v>
      </c>
      <c r="V683" t="str">
        <f t="shared" si="167"/>
        <v>1510</v>
      </c>
      <c r="W683" t="str">
        <f t="shared" si="163"/>
        <v>11</v>
      </c>
      <c r="X683" t="s">
        <v>75</v>
      </c>
      <c r="Y683" t="s">
        <v>76</v>
      </c>
      <c r="Z683" t="s">
        <v>91</v>
      </c>
      <c r="AA683" t="s">
        <v>92</v>
      </c>
      <c r="AB683" t="s">
        <v>79</v>
      </c>
      <c r="AD683" t="s">
        <v>80</v>
      </c>
      <c r="AE683" t="s">
        <v>81</v>
      </c>
      <c r="AF683" t="s">
        <v>82</v>
      </c>
      <c r="AG683" t="s">
        <v>83</v>
      </c>
      <c r="AH683" t="s">
        <v>84</v>
      </c>
      <c r="AI683" t="str">
        <f>"02"</f>
        <v>02</v>
      </c>
      <c r="AJ683" t="str">
        <f>"2"</f>
        <v>2</v>
      </c>
      <c r="AK683" t="s">
        <v>240</v>
      </c>
      <c r="AL683" t="s">
        <v>94</v>
      </c>
      <c r="AM683" t="s">
        <v>95</v>
      </c>
      <c r="AN683" t="str">
        <f t="shared" si="158"/>
        <v>.9700</v>
      </c>
      <c r="AO683" t="str">
        <f>"12.65"</f>
        <v>12.65</v>
      </c>
      <c r="AP683" t="s">
        <v>241</v>
      </c>
      <c r="AQ683" t="str">
        <f>"12.65"</f>
        <v>12.65</v>
      </c>
      <c r="AR683">
        <v>20</v>
      </c>
      <c r="AS683">
        <v>0</v>
      </c>
      <c r="AT683">
        <v>20</v>
      </c>
      <c r="AU683">
        <v>252.95</v>
      </c>
      <c r="AV683">
        <v>30.35</v>
      </c>
      <c r="AW683">
        <v>222.6</v>
      </c>
      <c r="AX683">
        <v>0</v>
      </c>
      <c r="AY683">
        <v>222.6</v>
      </c>
      <c r="AZ683">
        <v>0</v>
      </c>
    </row>
    <row r="684" spans="1:52">
      <c r="A684" t="s">
        <v>833</v>
      </c>
      <c r="B684" t="s">
        <v>834</v>
      </c>
      <c r="C684" t="s">
        <v>835</v>
      </c>
      <c r="D684" t="s">
        <v>836</v>
      </c>
      <c r="E684" t="s">
        <v>69</v>
      </c>
      <c r="F684" t="s">
        <v>70</v>
      </c>
      <c r="G684" t="s">
        <v>837</v>
      </c>
      <c r="H684" t="s">
        <v>838</v>
      </c>
      <c r="I684" t="str">
        <f t="shared" si="166"/>
        <v>1010</v>
      </c>
      <c r="J684" t="s">
        <v>67</v>
      </c>
      <c r="K684" t="s">
        <v>855</v>
      </c>
      <c r="L684" t="s">
        <v>856</v>
      </c>
      <c r="M684" t="s">
        <v>855</v>
      </c>
      <c r="N684" t="s">
        <v>751</v>
      </c>
      <c r="O684" t="s">
        <v>1109</v>
      </c>
      <c r="P684" t="str">
        <f>"3020664432"</f>
        <v>3020664432</v>
      </c>
      <c r="Q684" t="str">
        <f>"050264432"</f>
        <v>050264432</v>
      </c>
      <c r="R684" t="str">
        <f>"00030206644326"</f>
        <v>00030206644326</v>
      </c>
      <c r="S684" s="1">
        <v>37817</v>
      </c>
      <c r="T684" s="1">
        <v>37817</v>
      </c>
      <c r="U684" t="str">
        <f>"3020664432"</f>
        <v>3020664432</v>
      </c>
      <c r="V684" t="str">
        <f t="shared" si="167"/>
        <v>1510</v>
      </c>
      <c r="W684" t="str">
        <f t="shared" si="163"/>
        <v>11</v>
      </c>
      <c r="X684" t="s">
        <v>75</v>
      </c>
      <c r="Y684" t="s">
        <v>76</v>
      </c>
      <c r="Z684" t="s">
        <v>105</v>
      </c>
      <c r="AA684" t="s">
        <v>106</v>
      </c>
      <c r="AB684" t="s">
        <v>79</v>
      </c>
      <c r="AD684" t="s">
        <v>80</v>
      </c>
      <c r="AE684" t="s">
        <v>81</v>
      </c>
      <c r="AF684" t="s">
        <v>82</v>
      </c>
      <c r="AG684" t="s">
        <v>83</v>
      </c>
      <c r="AH684" t="s">
        <v>84</v>
      </c>
      <c r="AI684" t="str">
        <f t="shared" ref="AI684:AI701" si="170">"01"</f>
        <v>01</v>
      </c>
      <c r="AJ684" t="str">
        <f t="shared" ref="AJ684:AJ702" si="171">"1"</f>
        <v>1</v>
      </c>
      <c r="AK684" t="s">
        <v>101</v>
      </c>
      <c r="AL684" t="s">
        <v>94</v>
      </c>
      <c r="AM684" t="s">
        <v>95</v>
      </c>
      <c r="AN684" t="str">
        <f t="shared" si="158"/>
        <v>.9700</v>
      </c>
      <c r="AO684" t="str">
        <f>"9.07"</f>
        <v>9.07</v>
      </c>
      <c r="AP684" t="s">
        <v>102</v>
      </c>
      <c r="AQ684" t="str">
        <f>"9.07"</f>
        <v>9.07</v>
      </c>
      <c r="AR684">
        <v>1</v>
      </c>
      <c r="AS684">
        <v>0</v>
      </c>
      <c r="AT684">
        <v>1</v>
      </c>
      <c r="AU684">
        <v>9.07</v>
      </c>
      <c r="AV684">
        <v>1.04</v>
      </c>
      <c r="AW684">
        <v>8.0299999999999994</v>
      </c>
      <c r="AX684">
        <v>0</v>
      </c>
      <c r="AY684">
        <v>8.0299999999999994</v>
      </c>
      <c r="AZ684">
        <v>0</v>
      </c>
    </row>
    <row r="685" spans="1:52">
      <c r="A685" t="s">
        <v>833</v>
      </c>
      <c r="B685" t="s">
        <v>834</v>
      </c>
      <c r="C685" t="s">
        <v>835</v>
      </c>
      <c r="D685" t="s">
        <v>836</v>
      </c>
      <c r="E685" t="s">
        <v>69</v>
      </c>
      <c r="F685" t="s">
        <v>70</v>
      </c>
      <c r="G685" t="s">
        <v>837</v>
      </c>
      <c r="H685" t="s">
        <v>838</v>
      </c>
      <c r="I685" t="str">
        <f t="shared" si="166"/>
        <v>1010</v>
      </c>
      <c r="J685" t="s">
        <v>67</v>
      </c>
      <c r="K685" t="s">
        <v>855</v>
      </c>
      <c r="L685" t="s">
        <v>856</v>
      </c>
      <c r="M685" t="s">
        <v>855</v>
      </c>
      <c r="N685" t="s">
        <v>751</v>
      </c>
      <c r="O685" t="s">
        <v>1110</v>
      </c>
      <c r="P685" t="str">
        <f>"3020663902"</f>
        <v>3020663902</v>
      </c>
      <c r="Q685" t="str">
        <f>"050266390"</f>
        <v>050266390</v>
      </c>
      <c r="R685" t="str">
        <f>"00030206639025"</f>
        <v>00030206639025</v>
      </c>
      <c r="S685" s="1">
        <v>37530</v>
      </c>
      <c r="T685" s="1">
        <v>37530</v>
      </c>
      <c r="U685" t="str">
        <f>"3020663902"</f>
        <v>3020663902</v>
      </c>
      <c r="V685" t="str">
        <f t="shared" si="167"/>
        <v>1510</v>
      </c>
      <c r="W685" t="str">
        <f t="shared" si="163"/>
        <v>11</v>
      </c>
      <c r="X685" t="s">
        <v>376</v>
      </c>
      <c r="Y685" t="s">
        <v>76</v>
      </c>
      <c r="Z685" t="s">
        <v>105</v>
      </c>
      <c r="AA685" t="s">
        <v>106</v>
      </c>
      <c r="AB685" t="s">
        <v>79</v>
      </c>
      <c r="AD685" t="s">
        <v>80</v>
      </c>
      <c r="AE685" t="s">
        <v>81</v>
      </c>
      <c r="AF685" t="s">
        <v>82</v>
      </c>
      <c r="AG685" t="s">
        <v>83</v>
      </c>
      <c r="AH685" t="s">
        <v>84</v>
      </c>
      <c r="AI685" t="str">
        <f t="shared" si="170"/>
        <v>01</v>
      </c>
      <c r="AJ685" t="str">
        <f t="shared" si="171"/>
        <v>1</v>
      </c>
      <c r="AK685" t="s">
        <v>101</v>
      </c>
      <c r="AL685" t="s">
        <v>94</v>
      </c>
      <c r="AM685" t="s">
        <v>95</v>
      </c>
      <c r="AN685" t="str">
        <f t="shared" si="158"/>
        <v>.9700</v>
      </c>
      <c r="AO685" t="str">
        <f>"9.07"</f>
        <v>9.07</v>
      </c>
      <c r="AP685" t="s">
        <v>102</v>
      </c>
      <c r="AQ685" t="str">
        <f>"9.07"</f>
        <v>9.07</v>
      </c>
      <c r="AR685">
        <v>0</v>
      </c>
      <c r="AS685">
        <v>-2</v>
      </c>
      <c r="AT685">
        <v>-2</v>
      </c>
      <c r="AU685">
        <v>0</v>
      </c>
      <c r="AV685">
        <v>0</v>
      </c>
      <c r="AW685">
        <v>0</v>
      </c>
      <c r="AX685">
        <v>-16.55</v>
      </c>
      <c r="AY685">
        <v>-16.55</v>
      </c>
      <c r="AZ685">
        <v>0</v>
      </c>
    </row>
    <row r="686" spans="1:52">
      <c r="A686" t="s">
        <v>833</v>
      </c>
      <c r="B686" t="s">
        <v>834</v>
      </c>
      <c r="C686" t="s">
        <v>835</v>
      </c>
      <c r="D686" t="s">
        <v>836</v>
      </c>
      <c r="E686" t="s">
        <v>69</v>
      </c>
      <c r="F686" t="s">
        <v>70</v>
      </c>
      <c r="G686" t="s">
        <v>837</v>
      </c>
      <c r="H686" t="s">
        <v>838</v>
      </c>
      <c r="I686" t="str">
        <f t="shared" si="166"/>
        <v>1010</v>
      </c>
      <c r="J686" t="s">
        <v>67</v>
      </c>
      <c r="K686" t="s">
        <v>855</v>
      </c>
      <c r="L686" t="s">
        <v>856</v>
      </c>
      <c r="M686" t="s">
        <v>855</v>
      </c>
      <c r="N686" t="s">
        <v>751</v>
      </c>
      <c r="O686" t="s">
        <v>1111</v>
      </c>
      <c r="P686" t="str">
        <f>"3020662752"</f>
        <v>3020662752</v>
      </c>
      <c r="Q686" t="str">
        <f>"050266275"</f>
        <v>050266275</v>
      </c>
      <c r="R686" t="str">
        <f>"00030206627527"</f>
        <v>00030206627527</v>
      </c>
      <c r="S686" s="1">
        <v>37131</v>
      </c>
      <c r="T686" s="1">
        <v>37131</v>
      </c>
      <c r="U686" t="str">
        <f>"3020662752"</f>
        <v>3020662752</v>
      </c>
      <c r="V686" t="str">
        <f t="shared" si="167"/>
        <v>1510</v>
      </c>
      <c r="W686" t="str">
        <f t="shared" si="163"/>
        <v>11</v>
      </c>
      <c r="X686" t="s">
        <v>75</v>
      </c>
      <c r="Y686" t="s">
        <v>76</v>
      </c>
      <c r="Z686" t="s">
        <v>105</v>
      </c>
      <c r="AA686" t="s">
        <v>106</v>
      </c>
      <c r="AB686" t="s">
        <v>79</v>
      </c>
      <c r="AD686" t="s">
        <v>80</v>
      </c>
      <c r="AE686" t="s">
        <v>81</v>
      </c>
      <c r="AF686" t="s">
        <v>82</v>
      </c>
      <c r="AG686" t="s">
        <v>83</v>
      </c>
      <c r="AH686" t="s">
        <v>84</v>
      </c>
      <c r="AI686" t="str">
        <f t="shared" si="170"/>
        <v>01</v>
      </c>
      <c r="AJ686" t="str">
        <f t="shared" si="171"/>
        <v>1</v>
      </c>
      <c r="AK686" t="s">
        <v>101</v>
      </c>
      <c r="AL686" t="s">
        <v>94</v>
      </c>
      <c r="AM686" t="s">
        <v>95</v>
      </c>
      <c r="AN686" t="str">
        <f t="shared" si="158"/>
        <v>.9700</v>
      </c>
      <c r="AO686" t="str">
        <f>"9.07"</f>
        <v>9.07</v>
      </c>
      <c r="AP686" t="s">
        <v>102</v>
      </c>
      <c r="AQ686" t="str">
        <f>"9.07"</f>
        <v>9.07</v>
      </c>
      <c r="AR686">
        <v>38</v>
      </c>
      <c r="AS686">
        <v>-1</v>
      </c>
      <c r="AT686">
        <v>37</v>
      </c>
      <c r="AU686">
        <v>344.63</v>
      </c>
      <c r="AV686">
        <v>40.86</v>
      </c>
      <c r="AW686">
        <v>303.77</v>
      </c>
      <c r="AX686">
        <v>-8.31</v>
      </c>
      <c r="AY686">
        <v>295.45999999999998</v>
      </c>
      <c r="AZ686">
        <v>0</v>
      </c>
    </row>
    <row r="687" spans="1:52">
      <c r="A687" t="s">
        <v>833</v>
      </c>
      <c r="B687" t="s">
        <v>834</v>
      </c>
      <c r="C687" t="s">
        <v>835</v>
      </c>
      <c r="D687" t="s">
        <v>836</v>
      </c>
      <c r="E687" t="s">
        <v>69</v>
      </c>
      <c r="F687" t="s">
        <v>70</v>
      </c>
      <c r="G687" t="s">
        <v>837</v>
      </c>
      <c r="H687" t="s">
        <v>838</v>
      </c>
      <c r="I687" t="str">
        <f t="shared" si="166"/>
        <v>1010</v>
      </c>
      <c r="J687" t="s">
        <v>67</v>
      </c>
      <c r="K687" t="s">
        <v>855</v>
      </c>
      <c r="L687" t="s">
        <v>856</v>
      </c>
      <c r="M687" t="s">
        <v>855</v>
      </c>
      <c r="N687" t="s">
        <v>1112</v>
      </c>
      <c r="O687" t="s">
        <v>1113</v>
      </c>
      <c r="P687" t="str">
        <f>"3020668792"</f>
        <v>3020668792</v>
      </c>
      <c r="R687" t="str">
        <f>"00030206687927"</f>
        <v>00030206687927</v>
      </c>
      <c r="S687" s="1">
        <v>39672</v>
      </c>
      <c r="T687" s="1">
        <v>39672</v>
      </c>
      <c r="U687" t="str">
        <f>"3020668792"</f>
        <v>3020668792</v>
      </c>
      <c r="V687" t="str">
        <f t="shared" si="167"/>
        <v>1510</v>
      </c>
      <c r="W687" t="str">
        <f t="shared" si="163"/>
        <v>11</v>
      </c>
      <c r="X687" t="s">
        <v>75</v>
      </c>
      <c r="Y687" t="s">
        <v>76</v>
      </c>
      <c r="Z687" t="s">
        <v>91</v>
      </c>
      <c r="AA687" t="s">
        <v>92</v>
      </c>
      <c r="AB687" t="s">
        <v>79</v>
      </c>
      <c r="AD687" t="s">
        <v>80</v>
      </c>
      <c r="AE687" t="s">
        <v>81</v>
      </c>
      <c r="AF687" t="s">
        <v>82</v>
      </c>
      <c r="AG687" t="s">
        <v>83</v>
      </c>
      <c r="AH687" t="s">
        <v>84</v>
      </c>
      <c r="AI687" t="str">
        <f t="shared" si="170"/>
        <v>01</v>
      </c>
      <c r="AJ687" t="str">
        <f t="shared" si="171"/>
        <v>1</v>
      </c>
      <c r="AK687" t="s">
        <v>101</v>
      </c>
      <c r="AL687" t="s">
        <v>94</v>
      </c>
      <c r="AM687" t="s">
        <v>95</v>
      </c>
      <c r="AN687" t="str">
        <f t="shared" si="158"/>
        <v>.9700</v>
      </c>
      <c r="AO687" t="str">
        <f>"9.07"</f>
        <v>9.07</v>
      </c>
      <c r="AP687" t="s">
        <v>102</v>
      </c>
      <c r="AQ687" t="str">
        <f>"9.07"</f>
        <v>9.07</v>
      </c>
      <c r="AR687">
        <v>11</v>
      </c>
      <c r="AS687">
        <v>0</v>
      </c>
      <c r="AT687">
        <v>11</v>
      </c>
      <c r="AU687">
        <v>99.75</v>
      </c>
      <c r="AV687">
        <v>11.92</v>
      </c>
      <c r="AW687">
        <v>87.83</v>
      </c>
      <c r="AX687">
        <v>0</v>
      </c>
      <c r="AY687">
        <v>87.83</v>
      </c>
      <c r="AZ687">
        <v>0</v>
      </c>
    </row>
    <row r="688" spans="1:52">
      <c r="A688" t="s">
        <v>833</v>
      </c>
      <c r="B688" t="s">
        <v>834</v>
      </c>
      <c r="C688" t="s">
        <v>835</v>
      </c>
      <c r="D688" t="s">
        <v>836</v>
      </c>
      <c r="E688" t="s">
        <v>69</v>
      </c>
      <c r="F688" t="s">
        <v>70</v>
      </c>
      <c r="G688" t="s">
        <v>837</v>
      </c>
      <c r="H688" t="s">
        <v>838</v>
      </c>
      <c r="I688" t="str">
        <f t="shared" si="166"/>
        <v>1010</v>
      </c>
      <c r="J688" t="s">
        <v>67</v>
      </c>
      <c r="K688" t="s">
        <v>855</v>
      </c>
      <c r="L688" t="s">
        <v>856</v>
      </c>
      <c r="M688" t="s">
        <v>855</v>
      </c>
      <c r="N688" t="s">
        <v>1114</v>
      </c>
      <c r="O688" t="s">
        <v>1115</v>
      </c>
      <c r="P688" t="str">
        <f>"3020624102"</f>
        <v>3020624102</v>
      </c>
      <c r="R688" t="str">
        <f>"00030206241020"</f>
        <v>00030206241020</v>
      </c>
      <c r="S688" s="1">
        <v>40813</v>
      </c>
      <c r="T688" s="1">
        <v>40813</v>
      </c>
      <c r="U688" t="str">
        <f>"3020624102"</f>
        <v>3020624102</v>
      </c>
      <c r="V688" t="str">
        <f t="shared" si="167"/>
        <v>1510</v>
      </c>
      <c r="W688" t="str">
        <f t="shared" si="163"/>
        <v>11</v>
      </c>
      <c r="X688" t="s">
        <v>75</v>
      </c>
      <c r="Y688" t="s">
        <v>76</v>
      </c>
      <c r="Z688" t="s">
        <v>105</v>
      </c>
      <c r="AA688" t="s">
        <v>106</v>
      </c>
      <c r="AB688" t="s">
        <v>79</v>
      </c>
      <c r="AD688" t="s">
        <v>80</v>
      </c>
      <c r="AE688" t="s">
        <v>81</v>
      </c>
      <c r="AF688" t="s">
        <v>82</v>
      </c>
      <c r="AG688" t="s">
        <v>83</v>
      </c>
      <c r="AH688" t="s">
        <v>84</v>
      </c>
      <c r="AI688" t="str">
        <f t="shared" si="170"/>
        <v>01</v>
      </c>
      <c r="AJ688" t="str">
        <f t="shared" si="171"/>
        <v>1</v>
      </c>
      <c r="AK688" t="s">
        <v>85</v>
      </c>
      <c r="AL688" t="s">
        <v>94</v>
      </c>
      <c r="AM688" t="s">
        <v>87</v>
      </c>
      <c r="AN688" t="str">
        <f t="shared" si="158"/>
        <v>.9700</v>
      </c>
      <c r="AO688" t="str">
        <f>"7.50"</f>
        <v>7.50</v>
      </c>
      <c r="AP688" t="s">
        <v>88</v>
      </c>
      <c r="AQ688" t="str">
        <f>"7.50"</f>
        <v>7.50</v>
      </c>
      <c r="AR688">
        <v>0</v>
      </c>
      <c r="AS688">
        <v>-2</v>
      </c>
      <c r="AT688">
        <v>-2</v>
      </c>
      <c r="AU688">
        <v>0</v>
      </c>
      <c r="AV688">
        <v>0</v>
      </c>
      <c r="AW688">
        <v>0</v>
      </c>
      <c r="AX688">
        <v>-13.82</v>
      </c>
      <c r="AY688">
        <v>-13.82</v>
      </c>
      <c r="AZ688">
        <v>0</v>
      </c>
    </row>
    <row r="689" spans="1:52">
      <c r="A689" t="s">
        <v>833</v>
      </c>
      <c r="B689" t="s">
        <v>834</v>
      </c>
      <c r="C689" t="s">
        <v>835</v>
      </c>
      <c r="D689" t="s">
        <v>836</v>
      </c>
      <c r="E689" t="s">
        <v>69</v>
      </c>
      <c r="F689" t="s">
        <v>70</v>
      </c>
      <c r="G689" t="s">
        <v>837</v>
      </c>
      <c r="H689" t="s">
        <v>838</v>
      </c>
      <c r="I689" t="str">
        <f t="shared" si="166"/>
        <v>1010</v>
      </c>
      <c r="J689" t="s">
        <v>67</v>
      </c>
      <c r="K689" t="s">
        <v>855</v>
      </c>
      <c r="L689" t="s">
        <v>856</v>
      </c>
      <c r="M689" t="s">
        <v>855</v>
      </c>
      <c r="N689" t="s">
        <v>1116</v>
      </c>
      <c r="O689" t="s">
        <v>921</v>
      </c>
      <c r="P689" t="str">
        <f>"3020665122"</f>
        <v>3020665122</v>
      </c>
      <c r="Q689" t="str">
        <f>"050265122"</f>
        <v>050265122</v>
      </c>
      <c r="R689" t="str">
        <f>"00030206651225"</f>
        <v>00030206651225</v>
      </c>
      <c r="S689" s="1">
        <v>37922</v>
      </c>
      <c r="T689" s="1">
        <v>37915</v>
      </c>
      <c r="U689" t="str">
        <f>"3020665122"</f>
        <v>3020665122</v>
      </c>
      <c r="V689" t="str">
        <f t="shared" si="167"/>
        <v>1510</v>
      </c>
      <c r="W689" t="str">
        <f t="shared" si="163"/>
        <v>11</v>
      </c>
      <c r="X689" t="s">
        <v>75</v>
      </c>
      <c r="Y689" t="s">
        <v>76</v>
      </c>
      <c r="Z689" t="s">
        <v>105</v>
      </c>
      <c r="AA689" t="s">
        <v>106</v>
      </c>
      <c r="AB689" t="s">
        <v>79</v>
      </c>
      <c r="AD689" t="s">
        <v>80</v>
      </c>
      <c r="AE689" t="s">
        <v>81</v>
      </c>
      <c r="AF689" t="s">
        <v>82</v>
      </c>
      <c r="AG689" t="s">
        <v>83</v>
      </c>
      <c r="AH689" t="s">
        <v>84</v>
      </c>
      <c r="AI689" t="str">
        <f t="shared" si="170"/>
        <v>01</v>
      </c>
      <c r="AJ689" t="str">
        <f t="shared" si="171"/>
        <v>1</v>
      </c>
      <c r="AK689" t="s">
        <v>93</v>
      </c>
      <c r="AL689" t="s">
        <v>94</v>
      </c>
      <c r="AM689" t="s">
        <v>95</v>
      </c>
      <c r="AN689" t="str">
        <f t="shared" si="158"/>
        <v>.9700</v>
      </c>
      <c r="AO689" t="str">
        <f>"11.41"</f>
        <v>11.41</v>
      </c>
      <c r="AP689" t="s">
        <v>96</v>
      </c>
      <c r="AQ689" t="str">
        <f>"11.41"</f>
        <v>11.41</v>
      </c>
      <c r="AR689">
        <v>139</v>
      </c>
      <c r="AS689">
        <v>-3</v>
      </c>
      <c r="AT689">
        <v>136</v>
      </c>
      <c r="AU689">
        <v>1585.88</v>
      </c>
      <c r="AV689">
        <v>171.14</v>
      </c>
      <c r="AW689">
        <v>1414.74</v>
      </c>
      <c r="AX689">
        <v>-30.93</v>
      </c>
      <c r="AY689">
        <v>1383.81</v>
      </c>
      <c r="AZ689">
        <v>0</v>
      </c>
    </row>
    <row r="690" spans="1:52">
      <c r="A690" t="s">
        <v>833</v>
      </c>
      <c r="B690" t="s">
        <v>834</v>
      </c>
      <c r="C690" t="s">
        <v>835</v>
      </c>
      <c r="D690" t="s">
        <v>836</v>
      </c>
      <c r="E690" t="s">
        <v>69</v>
      </c>
      <c r="F690" t="s">
        <v>70</v>
      </c>
      <c r="G690" t="s">
        <v>837</v>
      </c>
      <c r="H690" t="s">
        <v>838</v>
      </c>
      <c r="I690" t="str">
        <f t="shared" si="166"/>
        <v>1010</v>
      </c>
      <c r="J690" t="s">
        <v>67</v>
      </c>
      <c r="K690" t="s">
        <v>855</v>
      </c>
      <c r="L690" t="s">
        <v>856</v>
      </c>
      <c r="M690" t="s">
        <v>855</v>
      </c>
      <c r="N690" t="s">
        <v>1117</v>
      </c>
      <c r="O690" t="s">
        <v>1118</v>
      </c>
      <c r="P690" t="str">
        <f>"3020671192"</f>
        <v>3020671192</v>
      </c>
      <c r="R690" t="str">
        <f>"00030206711929"</f>
        <v>00030206711929</v>
      </c>
      <c r="S690" s="1">
        <v>40862</v>
      </c>
      <c r="T690" s="1">
        <v>40862</v>
      </c>
      <c r="U690" t="str">
        <f>"3020671192"</f>
        <v>3020671192</v>
      </c>
      <c r="V690" t="str">
        <f t="shared" si="167"/>
        <v>1510</v>
      </c>
      <c r="W690" t="str">
        <f t="shared" si="163"/>
        <v>11</v>
      </c>
      <c r="X690" t="s">
        <v>75</v>
      </c>
      <c r="Y690" t="s">
        <v>76</v>
      </c>
      <c r="Z690" t="s">
        <v>91</v>
      </c>
      <c r="AA690" t="s">
        <v>92</v>
      </c>
      <c r="AB690" t="s">
        <v>79</v>
      </c>
      <c r="AD690" t="s">
        <v>80</v>
      </c>
      <c r="AE690" t="s">
        <v>81</v>
      </c>
      <c r="AF690" t="s">
        <v>82</v>
      </c>
      <c r="AG690" t="s">
        <v>83</v>
      </c>
      <c r="AH690" t="s">
        <v>84</v>
      </c>
      <c r="AI690" t="str">
        <f t="shared" si="170"/>
        <v>01</v>
      </c>
      <c r="AJ690" t="str">
        <f t="shared" si="171"/>
        <v>1</v>
      </c>
      <c r="AK690" t="s">
        <v>101</v>
      </c>
      <c r="AL690" t="s">
        <v>94</v>
      </c>
      <c r="AM690" t="s">
        <v>95</v>
      </c>
      <c r="AN690" t="str">
        <f t="shared" si="158"/>
        <v>.9700</v>
      </c>
      <c r="AO690" t="str">
        <f>"9.07"</f>
        <v>9.07</v>
      </c>
      <c r="AP690" t="s">
        <v>102</v>
      </c>
      <c r="AQ690" t="str">
        <f>"9.07"</f>
        <v>9.07</v>
      </c>
      <c r="AR690">
        <v>66</v>
      </c>
      <c r="AS690">
        <v>-1</v>
      </c>
      <c r="AT690">
        <v>65</v>
      </c>
      <c r="AU690">
        <v>598.53</v>
      </c>
      <c r="AV690">
        <v>71.55</v>
      </c>
      <c r="AW690">
        <v>526.98</v>
      </c>
      <c r="AX690">
        <v>-8.3800000000000008</v>
      </c>
      <c r="AY690">
        <v>518.6</v>
      </c>
      <c r="AZ690">
        <v>0</v>
      </c>
    </row>
    <row r="691" spans="1:52">
      <c r="A691" t="s">
        <v>833</v>
      </c>
      <c r="B691" t="s">
        <v>834</v>
      </c>
      <c r="C691" t="s">
        <v>835</v>
      </c>
      <c r="D691" t="s">
        <v>836</v>
      </c>
      <c r="E691" t="s">
        <v>69</v>
      </c>
      <c r="F691" t="s">
        <v>70</v>
      </c>
      <c r="G691" t="s">
        <v>837</v>
      </c>
      <c r="H691" t="s">
        <v>838</v>
      </c>
      <c r="I691" t="str">
        <f t="shared" si="166"/>
        <v>1010</v>
      </c>
      <c r="J691" t="s">
        <v>67</v>
      </c>
      <c r="K691" t="s">
        <v>855</v>
      </c>
      <c r="L691" t="s">
        <v>856</v>
      </c>
      <c r="M691" t="s">
        <v>855</v>
      </c>
      <c r="N691" t="s">
        <v>1119</v>
      </c>
      <c r="O691" t="s">
        <v>1120</v>
      </c>
      <c r="P691" t="str">
        <f>"3020668572"</f>
        <v>3020668572</v>
      </c>
      <c r="R691" t="str">
        <f>"00030206685725"</f>
        <v>00030206685725</v>
      </c>
      <c r="S691" s="1">
        <v>39378</v>
      </c>
      <c r="T691" s="1">
        <v>39378</v>
      </c>
      <c r="U691" t="str">
        <f>"3020668572"</f>
        <v>3020668572</v>
      </c>
      <c r="V691" t="str">
        <f t="shared" si="167"/>
        <v>1510</v>
      </c>
      <c r="W691" t="str">
        <f t="shared" si="163"/>
        <v>11</v>
      </c>
      <c r="X691" t="s">
        <v>75</v>
      </c>
      <c r="Y691" t="s">
        <v>76</v>
      </c>
      <c r="Z691" t="s">
        <v>126</v>
      </c>
      <c r="AA691" t="s">
        <v>127</v>
      </c>
      <c r="AB691" t="s">
        <v>79</v>
      </c>
      <c r="AD691" t="s">
        <v>80</v>
      </c>
      <c r="AE691" t="s">
        <v>81</v>
      </c>
      <c r="AF691" t="s">
        <v>82</v>
      </c>
      <c r="AG691" t="s">
        <v>83</v>
      </c>
      <c r="AH691" t="s">
        <v>84</v>
      </c>
      <c r="AI691" t="str">
        <f t="shared" si="170"/>
        <v>01</v>
      </c>
      <c r="AJ691" t="str">
        <f t="shared" si="171"/>
        <v>1</v>
      </c>
      <c r="AK691" t="s">
        <v>101</v>
      </c>
      <c r="AL691" t="s">
        <v>94</v>
      </c>
      <c r="AM691" t="s">
        <v>95</v>
      </c>
      <c r="AN691" t="str">
        <f t="shared" si="158"/>
        <v>.9700</v>
      </c>
      <c r="AO691" t="str">
        <f>"9.07"</f>
        <v>9.07</v>
      </c>
      <c r="AP691" t="s">
        <v>102</v>
      </c>
      <c r="AQ691" t="str">
        <f>"9.07"</f>
        <v>9.07</v>
      </c>
      <c r="AR691">
        <v>23</v>
      </c>
      <c r="AS691">
        <v>-3</v>
      </c>
      <c r="AT691">
        <v>20</v>
      </c>
      <c r="AU691">
        <v>208.58</v>
      </c>
      <c r="AV691">
        <v>24.89</v>
      </c>
      <c r="AW691">
        <v>183.69</v>
      </c>
      <c r="AX691">
        <v>-24.93</v>
      </c>
      <c r="AY691">
        <v>158.76</v>
      </c>
      <c r="AZ691">
        <v>0</v>
      </c>
    </row>
    <row r="692" spans="1:52">
      <c r="A692" t="s">
        <v>833</v>
      </c>
      <c r="B692" t="s">
        <v>834</v>
      </c>
      <c r="C692" t="s">
        <v>835</v>
      </c>
      <c r="D692" t="s">
        <v>836</v>
      </c>
      <c r="E692" t="s">
        <v>69</v>
      </c>
      <c r="F692" t="s">
        <v>70</v>
      </c>
      <c r="G692" t="s">
        <v>837</v>
      </c>
      <c r="H692" t="s">
        <v>838</v>
      </c>
      <c r="I692" t="str">
        <f t="shared" si="166"/>
        <v>1010</v>
      </c>
      <c r="J692" t="s">
        <v>67</v>
      </c>
      <c r="K692" t="s">
        <v>855</v>
      </c>
      <c r="L692" t="s">
        <v>856</v>
      </c>
      <c r="M692" t="s">
        <v>855</v>
      </c>
      <c r="N692" t="s">
        <v>1121</v>
      </c>
      <c r="O692" t="s">
        <v>1122</v>
      </c>
      <c r="P692" t="str">
        <f>"3020667642"</f>
        <v>3020667642</v>
      </c>
      <c r="R692" t="str">
        <f>"00030206676426"</f>
        <v>00030206676426</v>
      </c>
      <c r="S692" s="1">
        <v>39014</v>
      </c>
      <c r="T692" s="1">
        <v>39014</v>
      </c>
      <c r="U692" t="str">
        <f>"3020667642"</f>
        <v>3020667642</v>
      </c>
      <c r="V692" t="str">
        <f t="shared" si="167"/>
        <v>1510</v>
      </c>
      <c r="W692" t="str">
        <f t="shared" si="163"/>
        <v>11</v>
      </c>
      <c r="X692" t="s">
        <v>75</v>
      </c>
      <c r="Y692" t="s">
        <v>76</v>
      </c>
      <c r="Z692" t="s">
        <v>126</v>
      </c>
      <c r="AA692" t="s">
        <v>127</v>
      </c>
      <c r="AB692" t="s">
        <v>79</v>
      </c>
      <c r="AD692" t="s">
        <v>80</v>
      </c>
      <c r="AE692" t="s">
        <v>81</v>
      </c>
      <c r="AF692" t="s">
        <v>82</v>
      </c>
      <c r="AG692" t="s">
        <v>83</v>
      </c>
      <c r="AH692" t="s">
        <v>84</v>
      </c>
      <c r="AI692" t="str">
        <f t="shared" si="170"/>
        <v>01</v>
      </c>
      <c r="AJ692" t="str">
        <f t="shared" si="171"/>
        <v>1</v>
      </c>
      <c r="AK692" t="s">
        <v>101</v>
      </c>
      <c r="AL692" t="s">
        <v>94</v>
      </c>
      <c r="AM692" t="s">
        <v>95</v>
      </c>
      <c r="AN692" t="str">
        <f t="shared" si="158"/>
        <v>.9700</v>
      </c>
      <c r="AO692" t="str">
        <f>"9.07"</f>
        <v>9.07</v>
      </c>
      <c r="AP692" t="s">
        <v>102</v>
      </c>
      <c r="AQ692" t="str">
        <f>"9.07"</f>
        <v>9.07</v>
      </c>
      <c r="AR692">
        <v>23</v>
      </c>
      <c r="AS692">
        <v>0</v>
      </c>
      <c r="AT692">
        <v>23</v>
      </c>
      <c r="AU692">
        <v>208.56</v>
      </c>
      <c r="AV692">
        <v>24.66</v>
      </c>
      <c r="AW692">
        <v>183.9</v>
      </c>
      <c r="AX692">
        <v>0</v>
      </c>
      <c r="AY692">
        <v>183.9</v>
      </c>
      <c r="AZ692">
        <v>0</v>
      </c>
    </row>
    <row r="693" spans="1:52">
      <c r="A693" t="s">
        <v>833</v>
      </c>
      <c r="B693" t="s">
        <v>834</v>
      </c>
      <c r="C693" t="s">
        <v>835</v>
      </c>
      <c r="D693" t="s">
        <v>836</v>
      </c>
      <c r="E693" t="s">
        <v>69</v>
      </c>
      <c r="F693" t="s">
        <v>70</v>
      </c>
      <c r="G693" t="s">
        <v>837</v>
      </c>
      <c r="H693" t="s">
        <v>838</v>
      </c>
      <c r="I693" t="str">
        <f t="shared" si="166"/>
        <v>1010</v>
      </c>
      <c r="J693" t="s">
        <v>67</v>
      </c>
      <c r="K693" t="s">
        <v>855</v>
      </c>
      <c r="L693" t="s">
        <v>856</v>
      </c>
      <c r="M693" t="s">
        <v>855</v>
      </c>
      <c r="N693" t="s">
        <v>1123</v>
      </c>
      <c r="O693" t="s">
        <v>1124</v>
      </c>
      <c r="P693" t="str">
        <f>"3020666112"</f>
        <v>3020666112</v>
      </c>
      <c r="Q693" t="s">
        <v>1125</v>
      </c>
      <c r="R693" t="str">
        <f>"00030206661125"</f>
        <v>00030206661125</v>
      </c>
      <c r="S693" s="1">
        <v>38272</v>
      </c>
      <c r="T693" s="1">
        <v>38272</v>
      </c>
      <c r="U693" t="str">
        <f>"3020666112"</f>
        <v>3020666112</v>
      </c>
      <c r="V693" t="str">
        <f t="shared" si="167"/>
        <v>1510</v>
      </c>
      <c r="W693" t="str">
        <f t="shared" si="163"/>
        <v>11</v>
      </c>
      <c r="X693" t="s">
        <v>75</v>
      </c>
      <c r="Y693" t="s">
        <v>76</v>
      </c>
      <c r="Z693" t="s">
        <v>121</v>
      </c>
      <c r="AA693" t="s">
        <v>122</v>
      </c>
      <c r="AB693" t="s">
        <v>79</v>
      </c>
      <c r="AD693" t="s">
        <v>80</v>
      </c>
      <c r="AE693" t="s">
        <v>81</v>
      </c>
      <c r="AF693" t="s">
        <v>82</v>
      </c>
      <c r="AG693" t="s">
        <v>83</v>
      </c>
      <c r="AH693" t="s">
        <v>84</v>
      </c>
      <c r="AI693" t="str">
        <f t="shared" si="170"/>
        <v>01</v>
      </c>
      <c r="AJ693" t="str">
        <f t="shared" si="171"/>
        <v>1</v>
      </c>
      <c r="AK693" t="s">
        <v>154</v>
      </c>
      <c r="AL693" t="s">
        <v>155</v>
      </c>
      <c r="AM693" t="s">
        <v>87</v>
      </c>
      <c r="AN693" t="str">
        <f t="shared" si="158"/>
        <v>.9700</v>
      </c>
      <c r="AO693" t="str">
        <f>"7.25"</f>
        <v>7.25</v>
      </c>
      <c r="AP693" t="s">
        <v>156</v>
      </c>
      <c r="AQ693" t="str">
        <f>"7.25"</f>
        <v>7.25</v>
      </c>
      <c r="AR693">
        <v>16</v>
      </c>
      <c r="AS693">
        <v>-1</v>
      </c>
      <c r="AT693">
        <v>15</v>
      </c>
      <c r="AU693">
        <v>116</v>
      </c>
      <c r="AV693">
        <v>13.92</v>
      </c>
      <c r="AW693">
        <v>102.08</v>
      </c>
      <c r="AX693">
        <v>-6.61</v>
      </c>
      <c r="AY693">
        <v>95.47</v>
      </c>
      <c r="AZ693">
        <v>0</v>
      </c>
    </row>
    <row r="694" spans="1:52">
      <c r="A694" t="s">
        <v>833</v>
      </c>
      <c r="B694" t="s">
        <v>834</v>
      </c>
      <c r="C694" t="s">
        <v>835</v>
      </c>
      <c r="D694" t="s">
        <v>836</v>
      </c>
      <c r="E694" t="s">
        <v>69</v>
      </c>
      <c r="F694" t="s">
        <v>70</v>
      </c>
      <c r="G694" t="s">
        <v>837</v>
      </c>
      <c r="H694" t="s">
        <v>838</v>
      </c>
      <c r="I694" t="str">
        <f t="shared" si="166"/>
        <v>1010</v>
      </c>
      <c r="J694" t="s">
        <v>67</v>
      </c>
      <c r="K694" t="s">
        <v>855</v>
      </c>
      <c r="L694" t="s">
        <v>856</v>
      </c>
      <c r="M694" t="s">
        <v>855</v>
      </c>
      <c r="N694" t="s">
        <v>1126</v>
      </c>
      <c r="O694" t="s">
        <v>300</v>
      </c>
      <c r="P694" t="str">
        <f>"3020669882"</f>
        <v>3020669882</v>
      </c>
      <c r="R694" t="str">
        <f>"00030206698824"</f>
        <v>00030206698824</v>
      </c>
      <c r="S694" s="1">
        <v>40127</v>
      </c>
      <c r="T694" s="1">
        <v>40127</v>
      </c>
      <c r="U694" t="str">
        <f>"3020669882"</f>
        <v>3020669882</v>
      </c>
      <c r="V694" t="str">
        <f t="shared" si="167"/>
        <v>1510</v>
      </c>
      <c r="W694" t="str">
        <f t="shared" si="163"/>
        <v>11</v>
      </c>
      <c r="X694" t="s">
        <v>75</v>
      </c>
      <c r="Y694" t="s">
        <v>76</v>
      </c>
      <c r="Z694" t="s">
        <v>126</v>
      </c>
      <c r="AA694" t="s">
        <v>127</v>
      </c>
      <c r="AB694" t="s">
        <v>79</v>
      </c>
      <c r="AD694" t="s">
        <v>80</v>
      </c>
      <c r="AE694" t="s">
        <v>81</v>
      </c>
      <c r="AF694" t="s">
        <v>82</v>
      </c>
      <c r="AG694" t="s">
        <v>83</v>
      </c>
      <c r="AH694" t="s">
        <v>84</v>
      </c>
      <c r="AI694" t="str">
        <f t="shared" si="170"/>
        <v>01</v>
      </c>
      <c r="AJ694" t="str">
        <f t="shared" si="171"/>
        <v>1</v>
      </c>
      <c r="AK694" t="s">
        <v>85</v>
      </c>
      <c r="AL694" t="s">
        <v>86</v>
      </c>
      <c r="AM694" t="s">
        <v>87</v>
      </c>
      <c r="AN694" t="str">
        <f t="shared" si="158"/>
        <v>.9700</v>
      </c>
      <c r="AO694" t="str">
        <f>"7.50"</f>
        <v>7.50</v>
      </c>
      <c r="AP694" t="s">
        <v>88</v>
      </c>
      <c r="AQ694" t="str">
        <f>"7.50"</f>
        <v>7.50</v>
      </c>
      <c r="AR694">
        <v>44</v>
      </c>
      <c r="AS694">
        <v>0</v>
      </c>
      <c r="AT694">
        <v>44</v>
      </c>
      <c r="AU694">
        <v>330.04</v>
      </c>
      <c r="AV694">
        <v>39.159999999999997</v>
      </c>
      <c r="AW694">
        <v>290.88</v>
      </c>
      <c r="AX694">
        <v>0</v>
      </c>
      <c r="AY694">
        <v>290.88</v>
      </c>
      <c r="AZ694">
        <v>0</v>
      </c>
    </row>
    <row r="695" spans="1:52">
      <c r="A695" t="s">
        <v>833</v>
      </c>
      <c r="B695" t="s">
        <v>834</v>
      </c>
      <c r="C695" t="s">
        <v>835</v>
      </c>
      <c r="D695" t="s">
        <v>836</v>
      </c>
      <c r="E695" t="s">
        <v>69</v>
      </c>
      <c r="F695" t="s">
        <v>70</v>
      </c>
      <c r="G695" t="s">
        <v>837</v>
      </c>
      <c r="H695" t="s">
        <v>838</v>
      </c>
      <c r="I695" t="str">
        <f t="shared" si="166"/>
        <v>1010</v>
      </c>
      <c r="J695" t="s">
        <v>67</v>
      </c>
      <c r="K695" t="s">
        <v>855</v>
      </c>
      <c r="L695" t="s">
        <v>856</v>
      </c>
      <c r="M695" t="s">
        <v>855</v>
      </c>
      <c r="N695" t="s">
        <v>1127</v>
      </c>
      <c r="O695" t="s">
        <v>164</v>
      </c>
      <c r="P695" t="str">
        <f>"3020666842"</f>
        <v>3020666842</v>
      </c>
      <c r="R695" t="str">
        <f>"00030206668421"</f>
        <v>00030206668421</v>
      </c>
      <c r="S695" s="1">
        <v>38636</v>
      </c>
      <c r="T695" s="1">
        <v>38636</v>
      </c>
      <c r="U695" t="str">
        <f>"3020666842"</f>
        <v>3020666842</v>
      </c>
      <c r="V695" t="str">
        <f t="shared" si="167"/>
        <v>1510</v>
      </c>
      <c r="W695" t="str">
        <f t="shared" ref="W695:W718" si="172">"11"</f>
        <v>11</v>
      </c>
      <c r="X695" t="s">
        <v>75</v>
      </c>
      <c r="Y695" t="s">
        <v>76</v>
      </c>
      <c r="Z695" t="s">
        <v>126</v>
      </c>
      <c r="AA695" t="s">
        <v>127</v>
      </c>
      <c r="AB695" t="s">
        <v>79</v>
      </c>
      <c r="AD695" t="s">
        <v>80</v>
      </c>
      <c r="AE695" t="s">
        <v>81</v>
      </c>
      <c r="AF695" t="s">
        <v>82</v>
      </c>
      <c r="AG695" t="s">
        <v>83</v>
      </c>
      <c r="AH695" t="s">
        <v>84</v>
      </c>
      <c r="AI695" t="str">
        <f t="shared" si="170"/>
        <v>01</v>
      </c>
      <c r="AJ695" t="str">
        <f t="shared" si="171"/>
        <v>1</v>
      </c>
      <c r="AK695" t="s">
        <v>101</v>
      </c>
      <c r="AL695" t="s">
        <v>94</v>
      </c>
      <c r="AM695" t="s">
        <v>95</v>
      </c>
      <c r="AN695" t="str">
        <f t="shared" si="158"/>
        <v>.9700</v>
      </c>
      <c r="AO695" t="str">
        <f>"9.07"</f>
        <v>9.07</v>
      </c>
      <c r="AP695" t="s">
        <v>102</v>
      </c>
      <c r="AQ695" t="str">
        <f>"9.07"</f>
        <v>9.07</v>
      </c>
      <c r="AR695">
        <v>32</v>
      </c>
      <c r="AS695">
        <v>0</v>
      </c>
      <c r="AT695">
        <v>32</v>
      </c>
      <c r="AU695">
        <v>290.19</v>
      </c>
      <c r="AV695">
        <v>33.74</v>
      </c>
      <c r="AW695">
        <v>256.45</v>
      </c>
      <c r="AX695">
        <v>0</v>
      </c>
      <c r="AY695">
        <v>256.45</v>
      </c>
      <c r="AZ695">
        <v>0</v>
      </c>
    </row>
    <row r="696" spans="1:52">
      <c r="A696" t="s">
        <v>833</v>
      </c>
      <c r="B696" t="s">
        <v>834</v>
      </c>
      <c r="C696" t="s">
        <v>835</v>
      </c>
      <c r="D696" t="s">
        <v>836</v>
      </c>
      <c r="E696" t="s">
        <v>69</v>
      </c>
      <c r="F696" t="s">
        <v>70</v>
      </c>
      <c r="G696" t="s">
        <v>837</v>
      </c>
      <c r="H696" t="s">
        <v>838</v>
      </c>
      <c r="I696" t="str">
        <f t="shared" si="166"/>
        <v>1010</v>
      </c>
      <c r="J696" t="s">
        <v>67</v>
      </c>
      <c r="K696" t="s">
        <v>855</v>
      </c>
      <c r="L696" t="s">
        <v>856</v>
      </c>
      <c r="M696" t="s">
        <v>855</v>
      </c>
      <c r="N696" t="s">
        <v>1127</v>
      </c>
      <c r="O696" t="s">
        <v>908</v>
      </c>
      <c r="P696" t="str">
        <f>"3020670742"</f>
        <v>3020670742</v>
      </c>
      <c r="R696" t="str">
        <f>"00030206707427"</f>
        <v>00030206707427</v>
      </c>
      <c r="S696" s="1">
        <v>40715</v>
      </c>
      <c r="T696" s="1">
        <v>40715</v>
      </c>
      <c r="U696" t="str">
        <f>"3020670742"</f>
        <v>3020670742</v>
      </c>
      <c r="V696" t="str">
        <f t="shared" si="167"/>
        <v>1510</v>
      </c>
      <c r="W696" t="str">
        <f t="shared" si="172"/>
        <v>11</v>
      </c>
      <c r="X696" t="s">
        <v>75</v>
      </c>
      <c r="Y696" t="s">
        <v>76</v>
      </c>
      <c r="Z696" t="s">
        <v>254</v>
      </c>
      <c r="AA696" t="s">
        <v>255</v>
      </c>
      <c r="AB696" t="s">
        <v>79</v>
      </c>
      <c r="AD696" t="s">
        <v>80</v>
      </c>
      <c r="AE696" t="s">
        <v>81</v>
      </c>
      <c r="AF696" t="s">
        <v>82</v>
      </c>
      <c r="AG696" t="s">
        <v>83</v>
      </c>
      <c r="AH696" t="s">
        <v>84</v>
      </c>
      <c r="AI696" t="str">
        <f t="shared" si="170"/>
        <v>01</v>
      </c>
      <c r="AJ696" t="str">
        <f t="shared" si="171"/>
        <v>1</v>
      </c>
      <c r="AK696" t="s">
        <v>85</v>
      </c>
      <c r="AL696" t="s">
        <v>86</v>
      </c>
      <c r="AM696" t="s">
        <v>87</v>
      </c>
      <c r="AN696" t="str">
        <f t="shared" si="158"/>
        <v>.9700</v>
      </c>
      <c r="AO696" t="str">
        <f>"7.50"</f>
        <v>7.50</v>
      </c>
      <c r="AP696" t="s">
        <v>88</v>
      </c>
      <c r="AQ696" t="str">
        <f>"7.50"</f>
        <v>7.50</v>
      </c>
      <c r="AR696">
        <v>62</v>
      </c>
      <c r="AS696">
        <v>0</v>
      </c>
      <c r="AT696">
        <v>62</v>
      </c>
      <c r="AU696">
        <v>465</v>
      </c>
      <c r="AV696">
        <v>55.8</v>
      </c>
      <c r="AW696">
        <v>409.2</v>
      </c>
      <c r="AX696">
        <v>0</v>
      </c>
      <c r="AY696">
        <v>409.2</v>
      </c>
      <c r="AZ696">
        <v>0</v>
      </c>
    </row>
    <row r="697" spans="1:52">
      <c r="A697" t="s">
        <v>833</v>
      </c>
      <c r="B697" t="s">
        <v>834</v>
      </c>
      <c r="C697" t="s">
        <v>835</v>
      </c>
      <c r="D697" t="s">
        <v>836</v>
      </c>
      <c r="E697" t="s">
        <v>69</v>
      </c>
      <c r="F697" t="s">
        <v>70</v>
      </c>
      <c r="G697" t="s">
        <v>837</v>
      </c>
      <c r="H697" t="s">
        <v>838</v>
      </c>
      <c r="I697" t="str">
        <f t="shared" si="166"/>
        <v>1010</v>
      </c>
      <c r="J697" t="s">
        <v>67</v>
      </c>
      <c r="K697" t="s">
        <v>855</v>
      </c>
      <c r="L697" t="s">
        <v>856</v>
      </c>
      <c r="M697" t="s">
        <v>855</v>
      </c>
      <c r="N697" t="s">
        <v>1127</v>
      </c>
      <c r="O697" t="s">
        <v>1128</v>
      </c>
      <c r="P697" t="str">
        <f>"3020671082"</f>
        <v>3020671082</v>
      </c>
      <c r="R697" t="str">
        <f>"00030206710823"</f>
        <v>00030206710823</v>
      </c>
      <c r="S697" s="1">
        <v>40792</v>
      </c>
      <c r="T697" s="1">
        <v>40792</v>
      </c>
      <c r="U697" t="str">
        <f>"3020671082"</f>
        <v>3020671082</v>
      </c>
      <c r="V697" t="str">
        <f t="shared" si="167"/>
        <v>1510</v>
      </c>
      <c r="W697" t="str">
        <f t="shared" si="172"/>
        <v>11</v>
      </c>
      <c r="X697" t="s">
        <v>75</v>
      </c>
      <c r="Y697" t="s">
        <v>76</v>
      </c>
      <c r="Z697" t="s">
        <v>126</v>
      </c>
      <c r="AA697" t="s">
        <v>127</v>
      </c>
      <c r="AB697" t="s">
        <v>79</v>
      </c>
      <c r="AD697" t="s">
        <v>80</v>
      </c>
      <c r="AE697" t="s">
        <v>81</v>
      </c>
      <c r="AF697" t="s">
        <v>82</v>
      </c>
      <c r="AG697" t="s">
        <v>83</v>
      </c>
      <c r="AH697" t="s">
        <v>84</v>
      </c>
      <c r="AI697" t="str">
        <f t="shared" si="170"/>
        <v>01</v>
      </c>
      <c r="AJ697" t="str">
        <f t="shared" si="171"/>
        <v>1</v>
      </c>
      <c r="AK697" t="s">
        <v>85</v>
      </c>
      <c r="AL697" t="s">
        <v>86</v>
      </c>
      <c r="AM697" t="s">
        <v>87</v>
      </c>
      <c r="AN697" t="str">
        <f t="shared" si="158"/>
        <v>.9700</v>
      </c>
      <c r="AO697" t="str">
        <f>"7.50"</f>
        <v>7.50</v>
      </c>
      <c r="AP697" t="s">
        <v>88</v>
      </c>
      <c r="AQ697" t="str">
        <f>"7.50"</f>
        <v>7.50</v>
      </c>
      <c r="AR697">
        <v>4</v>
      </c>
      <c r="AS697">
        <v>0</v>
      </c>
      <c r="AT697">
        <v>4</v>
      </c>
      <c r="AU697">
        <v>30</v>
      </c>
      <c r="AV697">
        <v>3.6</v>
      </c>
      <c r="AW697">
        <v>26.4</v>
      </c>
      <c r="AX697">
        <v>0</v>
      </c>
      <c r="AY697">
        <v>26.4</v>
      </c>
      <c r="AZ697">
        <v>0</v>
      </c>
    </row>
    <row r="698" spans="1:52">
      <c r="A698" t="s">
        <v>833</v>
      </c>
      <c r="B698" t="s">
        <v>834</v>
      </c>
      <c r="C698" t="s">
        <v>835</v>
      </c>
      <c r="D698" t="s">
        <v>836</v>
      </c>
      <c r="E698" t="s">
        <v>69</v>
      </c>
      <c r="F698" t="s">
        <v>70</v>
      </c>
      <c r="G698" t="s">
        <v>837</v>
      </c>
      <c r="H698" t="s">
        <v>838</v>
      </c>
      <c r="I698" t="str">
        <f t="shared" si="166"/>
        <v>1010</v>
      </c>
      <c r="J698" t="s">
        <v>67</v>
      </c>
      <c r="K698" t="s">
        <v>855</v>
      </c>
      <c r="L698" t="s">
        <v>856</v>
      </c>
      <c r="M698" t="s">
        <v>855</v>
      </c>
      <c r="N698" t="s">
        <v>1129</v>
      </c>
      <c r="O698" t="s">
        <v>1130</v>
      </c>
      <c r="P698" t="str">
        <f>"3020671302"</f>
        <v>3020671302</v>
      </c>
      <c r="R698" t="str">
        <f>"00030206713022"</f>
        <v>00030206713022</v>
      </c>
      <c r="S698" s="1">
        <v>41023</v>
      </c>
      <c r="T698" s="1">
        <v>41023</v>
      </c>
      <c r="U698" t="str">
        <f>"3020671302"</f>
        <v>3020671302</v>
      </c>
      <c r="V698" t="str">
        <f t="shared" si="167"/>
        <v>1510</v>
      </c>
      <c r="W698" t="str">
        <f t="shared" si="172"/>
        <v>11</v>
      </c>
      <c r="X698" t="s">
        <v>75</v>
      </c>
      <c r="Y698" t="s">
        <v>76</v>
      </c>
      <c r="Z698" t="s">
        <v>254</v>
      </c>
      <c r="AA698" t="s">
        <v>255</v>
      </c>
      <c r="AB698" t="s">
        <v>79</v>
      </c>
      <c r="AD698" t="s">
        <v>80</v>
      </c>
      <c r="AE698" t="s">
        <v>81</v>
      </c>
      <c r="AF698" t="s">
        <v>82</v>
      </c>
      <c r="AG698" t="s">
        <v>83</v>
      </c>
      <c r="AH698" t="s">
        <v>84</v>
      </c>
      <c r="AI698" t="str">
        <f t="shared" si="170"/>
        <v>01</v>
      </c>
      <c r="AJ698" t="str">
        <f t="shared" si="171"/>
        <v>1</v>
      </c>
      <c r="AK698" t="s">
        <v>85</v>
      </c>
      <c r="AL698" t="s">
        <v>86</v>
      </c>
      <c r="AM698" t="s">
        <v>87</v>
      </c>
      <c r="AN698" t="str">
        <f t="shared" ref="AN698:AN718" si="173">".9700"</f>
        <v>.9700</v>
      </c>
      <c r="AO698" t="str">
        <f>"7.50"</f>
        <v>7.50</v>
      </c>
      <c r="AP698" t="s">
        <v>88</v>
      </c>
      <c r="AQ698" t="str">
        <f>"7.50"</f>
        <v>7.50</v>
      </c>
      <c r="AR698">
        <v>21</v>
      </c>
      <c r="AS698">
        <v>-2</v>
      </c>
      <c r="AT698">
        <v>19</v>
      </c>
      <c r="AU698">
        <v>157.61000000000001</v>
      </c>
      <c r="AV698">
        <v>7.51</v>
      </c>
      <c r="AW698">
        <v>150.1</v>
      </c>
      <c r="AX698">
        <v>-13.86</v>
      </c>
      <c r="AY698">
        <v>136.24</v>
      </c>
      <c r="AZ698">
        <v>0</v>
      </c>
    </row>
    <row r="699" spans="1:52">
      <c r="A699" t="s">
        <v>833</v>
      </c>
      <c r="B699" t="s">
        <v>834</v>
      </c>
      <c r="C699" t="s">
        <v>835</v>
      </c>
      <c r="D699" t="s">
        <v>836</v>
      </c>
      <c r="E699" t="s">
        <v>69</v>
      </c>
      <c r="F699" t="s">
        <v>70</v>
      </c>
      <c r="G699" t="s">
        <v>837</v>
      </c>
      <c r="H699" t="s">
        <v>838</v>
      </c>
      <c r="I699" t="str">
        <f t="shared" si="166"/>
        <v>1010</v>
      </c>
      <c r="J699" t="s">
        <v>67</v>
      </c>
      <c r="K699" t="s">
        <v>855</v>
      </c>
      <c r="L699" t="s">
        <v>856</v>
      </c>
      <c r="M699" t="s">
        <v>855</v>
      </c>
      <c r="N699" t="s">
        <v>1129</v>
      </c>
      <c r="O699" t="s">
        <v>1131</v>
      </c>
      <c r="P699" t="s">
        <v>1132</v>
      </c>
      <c r="R699" t="str">
        <f>"00030206590821"</f>
        <v>00030206590821</v>
      </c>
      <c r="S699" s="1">
        <v>35906</v>
      </c>
      <c r="T699" s="1">
        <v>35906</v>
      </c>
      <c r="U699" t="s">
        <v>1132</v>
      </c>
      <c r="V699" t="str">
        <f t="shared" si="167"/>
        <v>1510</v>
      </c>
      <c r="W699" t="str">
        <f t="shared" si="172"/>
        <v>11</v>
      </c>
      <c r="X699" t="s">
        <v>75</v>
      </c>
      <c r="Y699" t="s">
        <v>76</v>
      </c>
      <c r="Z699" t="s">
        <v>282</v>
      </c>
      <c r="AA699" t="s">
        <v>283</v>
      </c>
      <c r="AB699" t="s">
        <v>79</v>
      </c>
      <c r="AD699" t="s">
        <v>80</v>
      </c>
      <c r="AE699" t="s">
        <v>81</v>
      </c>
      <c r="AF699" t="s">
        <v>82</v>
      </c>
      <c r="AG699" t="s">
        <v>83</v>
      </c>
      <c r="AH699" t="s">
        <v>84</v>
      </c>
      <c r="AI699" t="str">
        <f t="shared" si="170"/>
        <v>01</v>
      </c>
      <c r="AJ699" t="str">
        <f t="shared" si="171"/>
        <v>1</v>
      </c>
      <c r="AK699" t="s">
        <v>101</v>
      </c>
      <c r="AL699" t="s">
        <v>94</v>
      </c>
      <c r="AM699" t="s">
        <v>95</v>
      </c>
      <c r="AN699" t="str">
        <f t="shared" si="173"/>
        <v>.9700</v>
      </c>
      <c r="AO699" t="str">
        <f>"9.07"</f>
        <v>9.07</v>
      </c>
      <c r="AP699" t="s">
        <v>102</v>
      </c>
      <c r="AQ699" t="str">
        <f>"9.07"</f>
        <v>9.07</v>
      </c>
      <c r="AR699">
        <v>21</v>
      </c>
      <c r="AS699">
        <v>-9</v>
      </c>
      <c r="AT699">
        <v>12</v>
      </c>
      <c r="AU699">
        <v>190.44</v>
      </c>
      <c r="AV699">
        <v>21.77</v>
      </c>
      <c r="AW699">
        <v>168.67</v>
      </c>
      <c r="AX699">
        <v>-75.28</v>
      </c>
      <c r="AY699">
        <v>93.39</v>
      </c>
      <c r="AZ699">
        <v>0</v>
      </c>
    </row>
    <row r="700" spans="1:52">
      <c r="A700" t="s">
        <v>833</v>
      </c>
      <c r="B700" t="s">
        <v>834</v>
      </c>
      <c r="C700" t="s">
        <v>835</v>
      </c>
      <c r="D700" t="s">
        <v>836</v>
      </c>
      <c r="E700" t="s">
        <v>69</v>
      </c>
      <c r="F700" t="s">
        <v>70</v>
      </c>
      <c r="G700" t="s">
        <v>837</v>
      </c>
      <c r="H700" t="s">
        <v>838</v>
      </c>
      <c r="I700" t="str">
        <f t="shared" si="166"/>
        <v>1010</v>
      </c>
      <c r="J700" t="s">
        <v>67</v>
      </c>
      <c r="K700" t="s">
        <v>855</v>
      </c>
      <c r="L700" t="s">
        <v>856</v>
      </c>
      <c r="M700" t="s">
        <v>855</v>
      </c>
      <c r="N700" t="s">
        <v>1133</v>
      </c>
      <c r="O700" t="s">
        <v>1134</v>
      </c>
      <c r="P700" t="str">
        <f>"3020668592"</f>
        <v>3020668592</v>
      </c>
      <c r="R700" t="str">
        <f>"00030206685923"</f>
        <v>00030206685923</v>
      </c>
      <c r="S700" s="1">
        <v>39392</v>
      </c>
      <c r="T700" s="1">
        <v>39392</v>
      </c>
      <c r="U700" t="str">
        <f>"3020668592"</f>
        <v>3020668592</v>
      </c>
      <c r="V700" t="str">
        <f t="shared" si="167"/>
        <v>1510</v>
      </c>
      <c r="W700" t="str">
        <f t="shared" si="172"/>
        <v>11</v>
      </c>
      <c r="X700" t="s">
        <v>75</v>
      </c>
      <c r="Y700" t="s">
        <v>76</v>
      </c>
      <c r="Z700" t="s">
        <v>105</v>
      </c>
      <c r="AA700" t="s">
        <v>106</v>
      </c>
      <c r="AB700" t="s">
        <v>79</v>
      </c>
      <c r="AD700" t="s">
        <v>80</v>
      </c>
      <c r="AE700" t="s">
        <v>81</v>
      </c>
      <c r="AF700" t="s">
        <v>82</v>
      </c>
      <c r="AG700" t="s">
        <v>83</v>
      </c>
      <c r="AH700" t="s">
        <v>84</v>
      </c>
      <c r="AI700" t="str">
        <f t="shared" si="170"/>
        <v>01</v>
      </c>
      <c r="AJ700" t="str">
        <f t="shared" si="171"/>
        <v>1</v>
      </c>
      <c r="AK700" t="s">
        <v>101</v>
      </c>
      <c r="AL700" t="s">
        <v>94</v>
      </c>
      <c r="AM700" t="s">
        <v>95</v>
      </c>
      <c r="AN700" t="str">
        <f t="shared" si="173"/>
        <v>.9700</v>
      </c>
      <c r="AO700" t="str">
        <f>"9.07"</f>
        <v>9.07</v>
      </c>
      <c r="AP700" t="s">
        <v>102</v>
      </c>
      <c r="AQ700" t="str">
        <f>"9.07"</f>
        <v>9.07</v>
      </c>
      <c r="AR700">
        <v>14</v>
      </c>
      <c r="AS700">
        <v>0</v>
      </c>
      <c r="AT700">
        <v>14</v>
      </c>
      <c r="AU700">
        <v>126.99</v>
      </c>
      <c r="AV700">
        <v>15.07</v>
      </c>
      <c r="AW700">
        <v>111.92</v>
      </c>
      <c r="AX700">
        <v>0</v>
      </c>
      <c r="AY700">
        <v>111.92</v>
      </c>
      <c r="AZ700">
        <v>0</v>
      </c>
    </row>
    <row r="701" spans="1:52">
      <c r="A701" t="s">
        <v>833</v>
      </c>
      <c r="B701" t="s">
        <v>834</v>
      </c>
      <c r="C701" t="s">
        <v>835</v>
      </c>
      <c r="D701" t="s">
        <v>836</v>
      </c>
      <c r="E701" t="s">
        <v>69</v>
      </c>
      <c r="F701" t="s">
        <v>70</v>
      </c>
      <c r="G701" t="s">
        <v>837</v>
      </c>
      <c r="H701" t="s">
        <v>838</v>
      </c>
      <c r="I701" t="str">
        <f t="shared" si="166"/>
        <v>1010</v>
      </c>
      <c r="J701" t="s">
        <v>67</v>
      </c>
      <c r="K701" t="s">
        <v>855</v>
      </c>
      <c r="L701" t="s">
        <v>856</v>
      </c>
      <c r="M701" t="s">
        <v>855</v>
      </c>
      <c r="N701" t="s">
        <v>1135</v>
      </c>
      <c r="O701" t="s">
        <v>1136</v>
      </c>
      <c r="P701" t="str">
        <f>"3020664362"</f>
        <v>3020664362</v>
      </c>
      <c r="Q701" t="str">
        <f>"050266436"</f>
        <v>050266436</v>
      </c>
      <c r="R701" t="str">
        <f>"00030206643626"</f>
        <v>00030206643626</v>
      </c>
      <c r="S701" s="1">
        <v>37705</v>
      </c>
      <c r="T701" s="1">
        <v>37705</v>
      </c>
      <c r="U701" t="str">
        <f>"3020664362"</f>
        <v>3020664362</v>
      </c>
      <c r="V701" t="str">
        <f t="shared" si="167"/>
        <v>1510</v>
      </c>
      <c r="W701" t="str">
        <f t="shared" si="172"/>
        <v>11</v>
      </c>
      <c r="X701" t="s">
        <v>75</v>
      </c>
      <c r="Y701" t="s">
        <v>76</v>
      </c>
      <c r="Z701" t="s">
        <v>91</v>
      </c>
      <c r="AA701" t="s">
        <v>92</v>
      </c>
      <c r="AB701" t="s">
        <v>79</v>
      </c>
      <c r="AD701" t="s">
        <v>80</v>
      </c>
      <c r="AE701" t="s">
        <v>81</v>
      </c>
      <c r="AF701" t="s">
        <v>82</v>
      </c>
      <c r="AG701" t="s">
        <v>83</v>
      </c>
      <c r="AH701" t="s">
        <v>84</v>
      </c>
      <c r="AI701" t="str">
        <f t="shared" si="170"/>
        <v>01</v>
      </c>
      <c r="AJ701" t="str">
        <f t="shared" si="171"/>
        <v>1</v>
      </c>
      <c r="AK701" t="s">
        <v>101</v>
      </c>
      <c r="AL701" t="s">
        <v>94</v>
      </c>
      <c r="AM701" t="s">
        <v>95</v>
      </c>
      <c r="AN701" t="str">
        <f t="shared" si="173"/>
        <v>.9700</v>
      </c>
      <c r="AO701" t="str">
        <f>"9.07"</f>
        <v>9.07</v>
      </c>
      <c r="AP701" t="s">
        <v>102</v>
      </c>
      <c r="AQ701" t="str">
        <f>"9.07"</f>
        <v>9.07</v>
      </c>
      <c r="AR701">
        <v>132</v>
      </c>
      <c r="AS701">
        <v>0</v>
      </c>
      <c r="AT701">
        <v>132</v>
      </c>
      <c r="AU701">
        <v>1197.03</v>
      </c>
      <c r="AV701">
        <v>133.86000000000001</v>
      </c>
      <c r="AW701">
        <v>1063.17</v>
      </c>
      <c r="AX701">
        <v>0</v>
      </c>
      <c r="AY701">
        <v>1063.17</v>
      </c>
      <c r="AZ701">
        <v>0</v>
      </c>
    </row>
    <row r="702" spans="1:52">
      <c r="A702" t="s">
        <v>833</v>
      </c>
      <c r="B702" t="s">
        <v>834</v>
      </c>
      <c r="C702" t="s">
        <v>835</v>
      </c>
      <c r="D702" t="s">
        <v>836</v>
      </c>
      <c r="E702" t="s">
        <v>69</v>
      </c>
      <c r="F702" t="s">
        <v>70</v>
      </c>
      <c r="G702" t="s">
        <v>837</v>
      </c>
      <c r="H702" t="s">
        <v>838</v>
      </c>
      <c r="I702" t="str">
        <f>"1020"</f>
        <v>1020</v>
      </c>
      <c r="J702" t="s">
        <v>67</v>
      </c>
      <c r="K702" t="s">
        <v>855</v>
      </c>
      <c r="L702" t="s">
        <v>856</v>
      </c>
      <c r="M702" t="s">
        <v>855</v>
      </c>
      <c r="N702" t="s">
        <v>1137</v>
      </c>
      <c r="O702" t="s">
        <v>1138</v>
      </c>
      <c r="P702" t="str">
        <f>"3020624222"</f>
        <v>3020624222</v>
      </c>
      <c r="R702" t="str">
        <f>"00030206242225"</f>
        <v>00030206242225</v>
      </c>
      <c r="S702" s="1">
        <v>41303</v>
      </c>
      <c r="T702" s="1">
        <v>41303</v>
      </c>
      <c r="U702" t="str">
        <f>"3020624222"</f>
        <v>3020624222</v>
      </c>
      <c r="V702" t="str">
        <f>"1010"</f>
        <v>1010</v>
      </c>
      <c r="W702" t="str">
        <f t="shared" si="172"/>
        <v>11</v>
      </c>
      <c r="X702" t="s">
        <v>75</v>
      </c>
      <c r="Y702" t="s">
        <v>173</v>
      </c>
      <c r="Z702" t="s">
        <v>1139</v>
      </c>
      <c r="AA702" t="s">
        <v>1140</v>
      </c>
      <c r="AB702" t="s">
        <v>79</v>
      </c>
      <c r="AD702" t="s">
        <v>80</v>
      </c>
      <c r="AE702" t="s">
        <v>81</v>
      </c>
      <c r="AF702" t="s">
        <v>82</v>
      </c>
      <c r="AG702" t="s">
        <v>83</v>
      </c>
      <c r="AH702" t="s">
        <v>84</v>
      </c>
      <c r="AJ702" t="str">
        <f t="shared" si="171"/>
        <v>1</v>
      </c>
      <c r="AK702" t="s">
        <v>85</v>
      </c>
      <c r="AL702" t="s">
        <v>143</v>
      </c>
      <c r="AM702" t="s">
        <v>87</v>
      </c>
      <c r="AN702" t="str">
        <f t="shared" si="173"/>
        <v>.9700</v>
      </c>
      <c r="AO702" t="str">
        <f>"7.50"</f>
        <v>7.50</v>
      </c>
      <c r="AP702" t="s">
        <v>88</v>
      </c>
      <c r="AQ702" t="str">
        <f>"7.50"</f>
        <v>7.50</v>
      </c>
      <c r="AR702">
        <v>45</v>
      </c>
      <c r="AS702">
        <v>-13</v>
      </c>
      <c r="AT702">
        <v>32</v>
      </c>
      <c r="AU702">
        <v>335.43</v>
      </c>
      <c r="AV702">
        <v>14.71</v>
      </c>
      <c r="AW702">
        <v>320.72000000000003</v>
      </c>
      <c r="AX702">
        <v>-89.17</v>
      </c>
      <c r="AY702">
        <v>231.55</v>
      </c>
      <c r="AZ702">
        <v>0</v>
      </c>
    </row>
    <row r="703" spans="1:52">
      <c r="A703" t="s">
        <v>833</v>
      </c>
      <c r="B703" t="s">
        <v>834</v>
      </c>
      <c r="C703" t="s">
        <v>835</v>
      </c>
      <c r="D703" t="s">
        <v>836</v>
      </c>
      <c r="E703" t="s">
        <v>69</v>
      </c>
      <c r="F703" t="s">
        <v>70</v>
      </c>
      <c r="G703" t="s">
        <v>837</v>
      </c>
      <c r="H703" t="s">
        <v>838</v>
      </c>
      <c r="I703" t="str">
        <f>"1030"</f>
        <v>1030</v>
      </c>
      <c r="J703" t="s">
        <v>67</v>
      </c>
      <c r="K703" t="s">
        <v>855</v>
      </c>
      <c r="L703" t="s">
        <v>856</v>
      </c>
      <c r="M703" t="s">
        <v>855</v>
      </c>
      <c r="N703" t="s">
        <v>888</v>
      </c>
      <c r="O703" t="s">
        <v>1141</v>
      </c>
      <c r="P703" t="str">
        <f>"3020660562"</f>
        <v>3020660562</v>
      </c>
      <c r="R703" t="str">
        <f>"00030206605624"</f>
        <v>00030206605624</v>
      </c>
      <c r="S703" s="1">
        <v>36424</v>
      </c>
      <c r="T703" s="1">
        <v>36424</v>
      </c>
      <c r="U703" t="str">
        <f>"3020660562"</f>
        <v>3020660562</v>
      </c>
      <c r="V703" t="str">
        <f t="shared" ref="V703:V717" si="174">"1510"</f>
        <v>1510</v>
      </c>
      <c r="W703" t="str">
        <f t="shared" si="172"/>
        <v>11</v>
      </c>
      <c r="X703" t="s">
        <v>75</v>
      </c>
      <c r="Y703" t="s">
        <v>76</v>
      </c>
      <c r="Z703" t="s">
        <v>126</v>
      </c>
      <c r="AA703" t="s">
        <v>127</v>
      </c>
      <c r="AB703" t="s">
        <v>79</v>
      </c>
      <c r="AD703" t="s">
        <v>80</v>
      </c>
      <c r="AE703" t="s">
        <v>81</v>
      </c>
      <c r="AF703" t="s">
        <v>82</v>
      </c>
      <c r="AG703" t="s">
        <v>83</v>
      </c>
      <c r="AH703" t="s">
        <v>84</v>
      </c>
      <c r="AI703" t="str">
        <f>"02"</f>
        <v>02</v>
      </c>
      <c r="AJ703" t="str">
        <f>"2"</f>
        <v>2</v>
      </c>
      <c r="AK703" t="s">
        <v>931</v>
      </c>
      <c r="AL703" t="s">
        <v>94</v>
      </c>
      <c r="AM703" t="s">
        <v>95</v>
      </c>
      <c r="AN703" t="str">
        <f t="shared" si="173"/>
        <v>.9700</v>
      </c>
      <c r="AO703" t="str">
        <f>"17.34"</f>
        <v>17.34</v>
      </c>
      <c r="AP703" t="s">
        <v>932</v>
      </c>
      <c r="AQ703" t="str">
        <f>"17.34"</f>
        <v>17.34</v>
      </c>
      <c r="AR703">
        <v>6</v>
      </c>
      <c r="AS703">
        <v>0</v>
      </c>
      <c r="AT703">
        <v>6</v>
      </c>
      <c r="AU703">
        <v>104.04</v>
      </c>
      <c r="AV703">
        <v>12.39</v>
      </c>
      <c r="AW703">
        <v>91.65</v>
      </c>
      <c r="AX703">
        <v>0</v>
      </c>
      <c r="AY703">
        <v>91.65</v>
      </c>
      <c r="AZ703">
        <v>0</v>
      </c>
    </row>
    <row r="704" spans="1:52">
      <c r="A704" t="s">
        <v>833</v>
      </c>
      <c r="B704" t="s">
        <v>834</v>
      </c>
      <c r="C704" t="s">
        <v>835</v>
      </c>
      <c r="D704" t="s">
        <v>836</v>
      </c>
      <c r="E704" t="s">
        <v>69</v>
      </c>
      <c r="F704" t="s">
        <v>70</v>
      </c>
      <c r="G704" t="s">
        <v>837</v>
      </c>
      <c r="H704" t="s">
        <v>838</v>
      </c>
      <c r="I704" t="str">
        <f>"1030"</f>
        <v>1030</v>
      </c>
      <c r="J704" t="s">
        <v>67</v>
      </c>
      <c r="K704" t="s">
        <v>855</v>
      </c>
      <c r="L704" t="s">
        <v>856</v>
      </c>
      <c r="M704" t="s">
        <v>855</v>
      </c>
      <c r="N704" t="s">
        <v>916</v>
      </c>
      <c r="O704" t="s">
        <v>1142</v>
      </c>
      <c r="P704" t="str">
        <f>"3020660572"</f>
        <v>3020660572</v>
      </c>
      <c r="Q704" t="str">
        <f>"050266057"</f>
        <v>050266057</v>
      </c>
      <c r="R704" t="str">
        <f>"00030206605723"</f>
        <v>00030206605723</v>
      </c>
      <c r="S704" s="1">
        <v>36466</v>
      </c>
      <c r="T704" s="1">
        <v>36466</v>
      </c>
      <c r="U704" t="str">
        <f>"3020660572"</f>
        <v>3020660572</v>
      </c>
      <c r="V704" t="str">
        <f t="shared" si="174"/>
        <v>1510</v>
      </c>
      <c r="W704" t="str">
        <f t="shared" si="172"/>
        <v>11</v>
      </c>
      <c r="X704" t="s">
        <v>75</v>
      </c>
      <c r="Y704" t="s">
        <v>76</v>
      </c>
      <c r="Z704" t="s">
        <v>126</v>
      </c>
      <c r="AA704" t="s">
        <v>127</v>
      </c>
      <c r="AB704" t="s">
        <v>79</v>
      </c>
      <c r="AD704" t="s">
        <v>80</v>
      </c>
      <c r="AE704" t="s">
        <v>81</v>
      </c>
      <c r="AF704" t="s">
        <v>82</v>
      </c>
      <c r="AG704" t="s">
        <v>83</v>
      </c>
      <c r="AH704" t="s">
        <v>84</v>
      </c>
      <c r="AI704" t="str">
        <f t="shared" ref="AI704:AI715" si="175">"01"</f>
        <v>01</v>
      </c>
      <c r="AJ704" t="str">
        <f t="shared" ref="AJ704:AJ718" si="176">"1"</f>
        <v>1</v>
      </c>
      <c r="AK704" t="s">
        <v>101</v>
      </c>
      <c r="AL704" t="s">
        <v>94</v>
      </c>
      <c r="AM704" t="s">
        <v>95</v>
      </c>
      <c r="AN704" t="str">
        <f t="shared" si="173"/>
        <v>.9700</v>
      </c>
      <c r="AO704" t="str">
        <f>"9.07"</f>
        <v>9.07</v>
      </c>
      <c r="AP704" t="s">
        <v>102</v>
      </c>
      <c r="AQ704" t="str">
        <f>"9.07"</f>
        <v>9.07</v>
      </c>
      <c r="AR704">
        <v>21</v>
      </c>
      <c r="AS704">
        <v>0</v>
      </c>
      <c r="AT704">
        <v>21</v>
      </c>
      <c r="AU704">
        <v>190.44</v>
      </c>
      <c r="AV704">
        <v>16.32</v>
      </c>
      <c r="AW704">
        <v>174.12</v>
      </c>
      <c r="AX704">
        <v>0</v>
      </c>
      <c r="AY704">
        <v>174.12</v>
      </c>
      <c r="AZ704">
        <v>0</v>
      </c>
    </row>
    <row r="705" spans="1:52">
      <c r="A705" t="s">
        <v>833</v>
      </c>
      <c r="B705" t="s">
        <v>834</v>
      </c>
      <c r="C705" t="s">
        <v>835</v>
      </c>
      <c r="D705" t="s">
        <v>836</v>
      </c>
      <c r="E705" t="s">
        <v>69</v>
      </c>
      <c r="F705" t="s">
        <v>70</v>
      </c>
      <c r="G705" t="s">
        <v>837</v>
      </c>
      <c r="H705" t="s">
        <v>838</v>
      </c>
      <c r="I705" t="str">
        <f>"1030"</f>
        <v>1030</v>
      </c>
      <c r="J705" t="s">
        <v>67</v>
      </c>
      <c r="K705" t="s">
        <v>855</v>
      </c>
      <c r="L705" t="s">
        <v>856</v>
      </c>
      <c r="M705" t="s">
        <v>855</v>
      </c>
      <c r="N705" t="s">
        <v>1143</v>
      </c>
      <c r="O705" t="s">
        <v>1144</v>
      </c>
      <c r="P705" t="s">
        <v>1145</v>
      </c>
      <c r="Q705" t="str">
        <f>"050206028"</f>
        <v>050206028</v>
      </c>
      <c r="R705" t="str">
        <f>"00030206602821"</f>
        <v>00030206602821</v>
      </c>
      <c r="S705" s="1">
        <v>36417</v>
      </c>
      <c r="T705" s="1">
        <v>36312</v>
      </c>
      <c r="U705" t="s">
        <v>1145</v>
      </c>
      <c r="V705" t="str">
        <f t="shared" si="174"/>
        <v>1510</v>
      </c>
      <c r="W705" t="str">
        <f t="shared" si="172"/>
        <v>11</v>
      </c>
      <c r="X705" t="s">
        <v>75</v>
      </c>
      <c r="Y705" t="s">
        <v>76</v>
      </c>
      <c r="Z705" t="s">
        <v>126</v>
      </c>
      <c r="AA705" t="s">
        <v>127</v>
      </c>
      <c r="AB705" t="s">
        <v>79</v>
      </c>
      <c r="AD705" t="s">
        <v>80</v>
      </c>
      <c r="AE705" t="s">
        <v>81</v>
      </c>
      <c r="AF705" t="s">
        <v>82</v>
      </c>
      <c r="AG705" t="s">
        <v>83</v>
      </c>
      <c r="AH705" t="s">
        <v>84</v>
      </c>
      <c r="AI705" t="str">
        <f t="shared" si="175"/>
        <v>01</v>
      </c>
      <c r="AJ705" t="str">
        <f t="shared" si="176"/>
        <v>1</v>
      </c>
      <c r="AK705" t="s">
        <v>101</v>
      </c>
      <c r="AL705" t="s">
        <v>94</v>
      </c>
      <c r="AM705" t="s">
        <v>95</v>
      </c>
      <c r="AN705" t="str">
        <f t="shared" si="173"/>
        <v>.9700</v>
      </c>
      <c r="AO705" t="str">
        <f>"9.07"</f>
        <v>9.07</v>
      </c>
      <c r="AP705" t="s">
        <v>102</v>
      </c>
      <c r="AQ705" t="str">
        <f>"9.07"</f>
        <v>9.07</v>
      </c>
      <c r="AR705">
        <v>40</v>
      </c>
      <c r="AS705">
        <v>-5</v>
      </c>
      <c r="AT705">
        <v>35</v>
      </c>
      <c r="AU705">
        <v>362.75</v>
      </c>
      <c r="AV705">
        <v>38.1</v>
      </c>
      <c r="AW705">
        <v>324.64999999999998</v>
      </c>
      <c r="AX705">
        <v>-41.35</v>
      </c>
      <c r="AY705">
        <v>283.3</v>
      </c>
      <c r="AZ705">
        <v>0</v>
      </c>
    </row>
    <row r="706" spans="1:52">
      <c r="A706" t="s">
        <v>833</v>
      </c>
      <c r="B706" t="s">
        <v>834</v>
      </c>
      <c r="C706" t="s">
        <v>835</v>
      </c>
      <c r="D706" t="s">
        <v>836</v>
      </c>
      <c r="E706" t="s">
        <v>69</v>
      </c>
      <c r="F706" t="s">
        <v>70</v>
      </c>
      <c r="G706" t="s">
        <v>837</v>
      </c>
      <c r="H706" t="s">
        <v>838</v>
      </c>
      <c r="I706" t="str">
        <f t="shared" ref="I706:I713" si="177">"1101"</f>
        <v>1101</v>
      </c>
      <c r="J706" t="s">
        <v>67</v>
      </c>
      <c r="K706" t="s">
        <v>855</v>
      </c>
      <c r="L706" t="s">
        <v>856</v>
      </c>
      <c r="M706" t="s">
        <v>855</v>
      </c>
      <c r="N706" t="s">
        <v>1146</v>
      </c>
      <c r="O706" t="s">
        <v>1147</v>
      </c>
      <c r="P706" t="s">
        <v>1148</v>
      </c>
      <c r="R706" t="str">
        <f>"00030206593822"</f>
        <v>00030206593822</v>
      </c>
      <c r="S706" s="1">
        <v>36018</v>
      </c>
      <c r="T706" s="1">
        <v>36018</v>
      </c>
      <c r="U706" t="s">
        <v>1148</v>
      </c>
      <c r="V706" t="str">
        <f t="shared" si="174"/>
        <v>1510</v>
      </c>
      <c r="W706" t="str">
        <f t="shared" si="172"/>
        <v>11</v>
      </c>
      <c r="X706" t="s">
        <v>75</v>
      </c>
      <c r="Y706" t="s">
        <v>76</v>
      </c>
      <c r="Z706" t="s">
        <v>91</v>
      </c>
      <c r="AA706" t="s">
        <v>92</v>
      </c>
      <c r="AB706" t="s">
        <v>79</v>
      </c>
      <c r="AD706" t="s">
        <v>80</v>
      </c>
      <c r="AE706" t="s">
        <v>81</v>
      </c>
      <c r="AF706" t="s">
        <v>82</v>
      </c>
      <c r="AG706" t="s">
        <v>83</v>
      </c>
      <c r="AH706" t="s">
        <v>84</v>
      </c>
      <c r="AI706" t="str">
        <f t="shared" si="175"/>
        <v>01</v>
      </c>
      <c r="AJ706" t="str">
        <f t="shared" si="176"/>
        <v>1</v>
      </c>
      <c r="AK706" t="s">
        <v>154</v>
      </c>
      <c r="AL706" t="s">
        <v>155</v>
      </c>
      <c r="AM706" t="s">
        <v>87</v>
      </c>
      <c r="AN706" t="str">
        <f t="shared" si="173"/>
        <v>.9700</v>
      </c>
      <c r="AO706" t="str">
        <f t="shared" ref="AO706:AO717" si="178">"7.25"</f>
        <v>7.25</v>
      </c>
      <c r="AP706" t="s">
        <v>156</v>
      </c>
      <c r="AQ706" t="str">
        <f t="shared" ref="AQ706:AQ717" si="179">"7.25"</f>
        <v>7.25</v>
      </c>
      <c r="AR706">
        <v>103</v>
      </c>
      <c r="AS706">
        <v>-1</v>
      </c>
      <c r="AT706">
        <v>102</v>
      </c>
      <c r="AU706">
        <v>746.8</v>
      </c>
      <c r="AV706">
        <v>89.15</v>
      </c>
      <c r="AW706">
        <v>657.65</v>
      </c>
      <c r="AX706">
        <v>-6.66</v>
      </c>
      <c r="AY706">
        <v>650.99</v>
      </c>
      <c r="AZ706">
        <v>0</v>
      </c>
    </row>
    <row r="707" spans="1:52">
      <c r="A707" t="s">
        <v>833</v>
      </c>
      <c r="B707" t="s">
        <v>834</v>
      </c>
      <c r="C707" t="s">
        <v>835</v>
      </c>
      <c r="D707" t="s">
        <v>836</v>
      </c>
      <c r="E707" t="s">
        <v>69</v>
      </c>
      <c r="F707" t="s">
        <v>70</v>
      </c>
      <c r="G707" t="s">
        <v>837</v>
      </c>
      <c r="H707" t="s">
        <v>838</v>
      </c>
      <c r="I707" t="str">
        <f t="shared" si="177"/>
        <v>1101</v>
      </c>
      <c r="J707" t="s">
        <v>67</v>
      </c>
      <c r="K707" t="s">
        <v>855</v>
      </c>
      <c r="L707" t="s">
        <v>856</v>
      </c>
      <c r="M707" t="s">
        <v>855</v>
      </c>
      <c r="N707" t="s">
        <v>1149</v>
      </c>
      <c r="O707" t="s">
        <v>1150</v>
      </c>
      <c r="P707" t="s">
        <v>1151</v>
      </c>
      <c r="Q707" t="str">
        <f>"050205576"</f>
        <v>050205576</v>
      </c>
      <c r="R707" t="str">
        <f>"00030206557626"</f>
        <v>00030206557626</v>
      </c>
      <c r="S707" s="1">
        <v>34856</v>
      </c>
      <c r="T707" s="1">
        <v>34856</v>
      </c>
      <c r="U707" t="s">
        <v>1151</v>
      </c>
      <c r="V707" t="str">
        <f t="shared" si="174"/>
        <v>1510</v>
      </c>
      <c r="W707" t="str">
        <f t="shared" si="172"/>
        <v>11</v>
      </c>
      <c r="X707" t="s">
        <v>75</v>
      </c>
      <c r="Y707" t="s">
        <v>76</v>
      </c>
      <c r="Z707" t="s">
        <v>105</v>
      </c>
      <c r="AA707" t="s">
        <v>106</v>
      </c>
      <c r="AB707" t="s">
        <v>79</v>
      </c>
      <c r="AD707" t="s">
        <v>80</v>
      </c>
      <c r="AE707" t="s">
        <v>81</v>
      </c>
      <c r="AF707" t="s">
        <v>82</v>
      </c>
      <c r="AG707" t="s">
        <v>83</v>
      </c>
      <c r="AH707" t="s">
        <v>84</v>
      </c>
      <c r="AI707" t="str">
        <f t="shared" si="175"/>
        <v>01</v>
      </c>
      <c r="AJ707" t="str">
        <f t="shared" si="176"/>
        <v>1</v>
      </c>
      <c r="AK707" t="s">
        <v>154</v>
      </c>
      <c r="AL707" t="s">
        <v>155</v>
      </c>
      <c r="AM707" t="s">
        <v>87</v>
      </c>
      <c r="AN707" t="str">
        <f t="shared" si="173"/>
        <v>.9700</v>
      </c>
      <c r="AO707" t="str">
        <f t="shared" si="178"/>
        <v>7.25</v>
      </c>
      <c r="AP707" t="s">
        <v>156</v>
      </c>
      <c r="AQ707" t="str">
        <f t="shared" si="179"/>
        <v>7.25</v>
      </c>
      <c r="AR707">
        <v>72</v>
      </c>
      <c r="AS707">
        <v>-1</v>
      </c>
      <c r="AT707">
        <v>71</v>
      </c>
      <c r="AU707">
        <v>522</v>
      </c>
      <c r="AV707">
        <v>56.55</v>
      </c>
      <c r="AW707">
        <v>465.45</v>
      </c>
      <c r="AX707">
        <v>-6.94</v>
      </c>
      <c r="AY707">
        <v>458.51</v>
      </c>
      <c r="AZ707">
        <v>0</v>
      </c>
    </row>
    <row r="708" spans="1:52">
      <c r="A708" t="s">
        <v>833</v>
      </c>
      <c r="B708" t="s">
        <v>834</v>
      </c>
      <c r="C708" t="s">
        <v>835</v>
      </c>
      <c r="D708" t="s">
        <v>836</v>
      </c>
      <c r="E708" t="s">
        <v>69</v>
      </c>
      <c r="F708" t="s">
        <v>70</v>
      </c>
      <c r="G708" t="s">
        <v>837</v>
      </c>
      <c r="H708" t="s">
        <v>838</v>
      </c>
      <c r="I708" t="str">
        <f t="shared" si="177"/>
        <v>1101</v>
      </c>
      <c r="J708" t="s">
        <v>67</v>
      </c>
      <c r="K708" t="s">
        <v>855</v>
      </c>
      <c r="L708" t="s">
        <v>856</v>
      </c>
      <c r="M708" t="s">
        <v>855</v>
      </c>
      <c r="N708" t="s">
        <v>269</v>
      </c>
      <c r="O708" t="s">
        <v>149</v>
      </c>
      <c r="P708" t="s">
        <v>1152</v>
      </c>
      <c r="Q708" t="str">
        <f>"050205668"</f>
        <v>050205668</v>
      </c>
      <c r="R708" t="str">
        <f>"00030206566826"</f>
        <v>00030206566826</v>
      </c>
      <c r="S708" s="1">
        <v>34996</v>
      </c>
      <c r="T708" s="1">
        <v>34996</v>
      </c>
      <c r="U708" t="s">
        <v>1152</v>
      </c>
      <c r="V708" t="str">
        <f t="shared" si="174"/>
        <v>1510</v>
      </c>
      <c r="W708" t="str">
        <f t="shared" si="172"/>
        <v>11</v>
      </c>
      <c r="X708" t="s">
        <v>75</v>
      </c>
      <c r="Y708" t="s">
        <v>76</v>
      </c>
      <c r="Z708" t="s">
        <v>105</v>
      </c>
      <c r="AA708" t="s">
        <v>106</v>
      </c>
      <c r="AB708" t="s">
        <v>79</v>
      </c>
      <c r="AD708" t="s">
        <v>80</v>
      </c>
      <c r="AE708" t="s">
        <v>81</v>
      </c>
      <c r="AF708" t="s">
        <v>82</v>
      </c>
      <c r="AG708" t="s">
        <v>83</v>
      </c>
      <c r="AH708" t="s">
        <v>84</v>
      </c>
      <c r="AI708" t="str">
        <f t="shared" si="175"/>
        <v>01</v>
      </c>
      <c r="AJ708" t="str">
        <f t="shared" si="176"/>
        <v>1</v>
      </c>
      <c r="AK708" t="s">
        <v>154</v>
      </c>
      <c r="AL708" t="s">
        <v>155</v>
      </c>
      <c r="AM708" t="s">
        <v>87</v>
      </c>
      <c r="AN708" t="str">
        <f t="shared" si="173"/>
        <v>.9700</v>
      </c>
      <c r="AO708" t="str">
        <f t="shared" si="178"/>
        <v>7.25</v>
      </c>
      <c r="AP708" t="s">
        <v>156</v>
      </c>
      <c r="AQ708" t="str">
        <f t="shared" si="179"/>
        <v>7.25</v>
      </c>
      <c r="AR708">
        <v>93</v>
      </c>
      <c r="AS708">
        <v>-2</v>
      </c>
      <c r="AT708">
        <v>91</v>
      </c>
      <c r="AU708">
        <v>674.29</v>
      </c>
      <c r="AV708">
        <v>80.44</v>
      </c>
      <c r="AW708">
        <v>593.85</v>
      </c>
      <c r="AX708">
        <v>-12.92</v>
      </c>
      <c r="AY708">
        <v>580.92999999999995</v>
      </c>
      <c r="AZ708">
        <v>0</v>
      </c>
    </row>
    <row r="709" spans="1:52">
      <c r="A709" t="s">
        <v>833</v>
      </c>
      <c r="B709" t="s">
        <v>834</v>
      </c>
      <c r="C709" t="s">
        <v>835</v>
      </c>
      <c r="D709" t="s">
        <v>836</v>
      </c>
      <c r="E709" t="s">
        <v>69</v>
      </c>
      <c r="F709" t="s">
        <v>70</v>
      </c>
      <c r="G709" t="s">
        <v>837</v>
      </c>
      <c r="H709" t="s">
        <v>838</v>
      </c>
      <c r="I709" t="str">
        <f t="shared" si="177"/>
        <v>1101</v>
      </c>
      <c r="J709" t="s">
        <v>67</v>
      </c>
      <c r="K709" t="s">
        <v>855</v>
      </c>
      <c r="L709" t="s">
        <v>856</v>
      </c>
      <c r="M709" t="s">
        <v>855</v>
      </c>
      <c r="N709" t="s">
        <v>1153</v>
      </c>
      <c r="O709" t="s">
        <v>1154</v>
      </c>
      <c r="P709" t="s">
        <v>1155</v>
      </c>
      <c r="R709" t="str">
        <f>"00030206590524"</f>
        <v>00030206590524</v>
      </c>
      <c r="S709" s="1">
        <v>35585</v>
      </c>
      <c r="T709" s="1">
        <v>35585</v>
      </c>
      <c r="U709" t="s">
        <v>1155</v>
      </c>
      <c r="V709" t="str">
        <f t="shared" si="174"/>
        <v>1510</v>
      </c>
      <c r="W709" t="str">
        <f t="shared" si="172"/>
        <v>11</v>
      </c>
      <c r="X709" t="s">
        <v>75</v>
      </c>
      <c r="Y709" t="s">
        <v>76</v>
      </c>
      <c r="Z709" t="s">
        <v>105</v>
      </c>
      <c r="AA709" t="s">
        <v>106</v>
      </c>
      <c r="AB709" t="s">
        <v>79</v>
      </c>
      <c r="AD709" t="s">
        <v>80</v>
      </c>
      <c r="AE709" t="s">
        <v>81</v>
      </c>
      <c r="AF709" t="s">
        <v>82</v>
      </c>
      <c r="AG709" t="s">
        <v>83</v>
      </c>
      <c r="AH709" t="s">
        <v>84</v>
      </c>
      <c r="AI709" t="str">
        <f t="shared" si="175"/>
        <v>01</v>
      </c>
      <c r="AJ709" t="str">
        <f t="shared" si="176"/>
        <v>1</v>
      </c>
      <c r="AK709" t="s">
        <v>154</v>
      </c>
      <c r="AL709" t="s">
        <v>155</v>
      </c>
      <c r="AM709" t="s">
        <v>87</v>
      </c>
      <c r="AN709" t="str">
        <f t="shared" si="173"/>
        <v>.9700</v>
      </c>
      <c r="AO709" t="str">
        <f t="shared" si="178"/>
        <v>7.25</v>
      </c>
      <c r="AP709" t="s">
        <v>156</v>
      </c>
      <c r="AQ709" t="str">
        <f t="shared" si="179"/>
        <v>7.25</v>
      </c>
      <c r="AR709">
        <v>1</v>
      </c>
      <c r="AS709">
        <v>0</v>
      </c>
      <c r="AT709">
        <v>1</v>
      </c>
      <c r="AU709">
        <v>7.25</v>
      </c>
      <c r="AV709">
        <v>0.87</v>
      </c>
      <c r="AW709">
        <v>6.38</v>
      </c>
      <c r="AX709">
        <v>0</v>
      </c>
      <c r="AY709">
        <v>6.38</v>
      </c>
      <c r="AZ709">
        <v>0</v>
      </c>
    </row>
    <row r="710" spans="1:52">
      <c r="A710" t="s">
        <v>833</v>
      </c>
      <c r="B710" t="s">
        <v>834</v>
      </c>
      <c r="C710" t="s">
        <v>835</v>
      </c>
      <c r="D710" t="s">
        <v>836</v>
      </c>
      <c r="E710" t="s">
        <v>69</v>
      </c>
      <c r="F710" t="s">
        <v>70</v>
      </c>
      <c r="G710" t="s">
        <v>837</v>
      </c>
      <c r="H710" t="s">
        <v>838</v>
      </c>
      <c r="I710" t="str">
        <f t="shared" si="177"/>
        <v>1101</v>
      </c>
      <c r="J710" t="s">
        <v>67</v>
      </c>
      <c r="K710" t="s">
        <v>855</v>
      </c>
      <c r="L710" t="s">
        <v>856</v>
      </c>
      <c r="M710" t="s">
        <v>855</v>
      </c>
      <c r="N710" t="s">
        <v>1038</v>
      </c>
      <c r="O710" t="s">
        <v>1156</v>
      </c>
      <c r="P710" t="s">
        <v>1157</v>
      </c>
      <c r="R710" t="str">
        <f>"00030206595222"</f>
        <v>00030206595222</v>
      </c>
      <c r="S710" s="1">
        <v>35990</v>
      </c>
      <c r="T710" s="1">
        <v>35990</v>
      </c>
      <c r="U710" t="s">
        <v>1157</v>
      </c>
      <c r="V710" t="str">
        <f t="shared" si="174"/>
        <v>1510</v>
      </c>
      <c r="W710" t="str">
        <f t="shared" si="172"/>
        <v>11</v>
      </c>
      <c r="X710" t="s">
        <v>75</v>
      </c>
      <c r="Y710" t="s">
        <v>76</v>
      </c>
      <c r="Z710" t="s">
        <v>105</v>
      </c>
      <c r="AA710" t="s">
        <v>106</v>
      </c>
      <c r="AB710" t="s">
        <v>79</v>
      </c>
      <c r="AD710" t="s">
        <v>80</v>
      </c>
      <c r="AE710" t="s">
        <v>81</v>
      </c>
      <c r="AF710" t="s">
        <v>82</v>
      </c>
      <c r="AG710" t="s">
        <v>83</v>
      </c>
      <c r="AH710" t="s">
        <v>84</v>
      </c>
      <c r="AI710" t="str">
        <f t="shared" si="175"/>
        <v>01</v>
      </c>
      <c r="AJ710" t="str">
        <f t="shared" si="176"/>
        <v>1</v>
      </c>
      <c r="AK710" t="s">
        <v>154</v>
      </c>
      <c r="AL710" t="s">
        <v>155</v>
      </c>
      <c r="AM710" t="s">
        <v>87</v>
      </c>
      <c r="AN710" t="str">
        <f t="shared" si="173"/>
        <v>.9700</v>
      </c>
      <c r="AO710" t="str">
        <f t="shared" si="178"/>
        <v>7.25</v>
      </c>
      <c r="AP710" t="s">
        <v>156</v>
      </c>
      <c r="AQ710" t="str">
        <f t="shared" si="179"/>
        <v>7.25</v>
      </c>
      <c r="AR710">
        <v>34</v>
      </c>
      <c r="AS710">
        <v>0</v>
      </c>
      <c r="AT710">
        <v>34</v>
      </c>
      <c r="AU710">
        <v>246.5</v>
      </c>
      <c r="AV710">
        <v>29.58</v>
      </c>
      <c r="AW710">
        <v>216.92</v>
      </c>
      <c r="AX710">
        <v>0</v>
      </c>
      <c r="AY710">
        <v>216.92</v>
      </c>
      <c r="AZ710">
        <v>0</v>
      </c>
    </row>
    <row r="711" spans="1:52">
      <c r="A711" t="s">
        <v>833</v>
      </c>
      <c r="B711" t="s">
        <v>834</v>
      </c>
      <c r="C711" t="s">
        <v>835</v>
      </c>
      <c r="D711" t="s">
        <v>836</v>
      </c>
      <c r="E711" t="s">
        <v>69</v>
      </c>
      <c r="F711" t="s">
        <v>70</v>
      </c>
      <c r="G711" t="s">
        <v>837</v>
      </c>
      <c r="H711" t="s">
        <v>838</v>
      </c>
      <c r="I711" t="str">
        <f t="shared" si="177"/>
        <v>1101</v>
      </c>
      <c r="J711" t="s">
        <v>67</v>
      </c>
      <c r="K711" t="s">
        <v>855</v>
      </c>
      <c r="L711" t="s">
        <v>856</v>
      </c>
      <c r="M711" t="s">
        <v>855</v>
      </c>
      <c r="N711" t="s">
        <v>1038</v>
      </c>
      <c r="O711" t="s">
        <v>1158</v>
      </c>
      <c r="P711" t="s">
        <v>1159</v>
      </c>
      <c r="R711" t="str">
        <f>"00030206594829"</f>
        <v>00030206594829</v>
      </c>
      <c r="S711" s="1">
        <v>35990</v>
      </c>
      <c r="T711" s="1">
        <v>35990</v>
      </c>
      <c r="U711" t="s">
        <v>1159</v>
      </c>
      <c r="V711" t="str">
        <f t="shared" si="174"/>
        <v>1510</v>
      </c>
      <c r="W711" t="str">
        <f t="shared" si="172"/>
        <v>11</v>
      </c>
      <c r="X711" t="s">
        <v>75</v>
      </c>
      <c r="Y711" t="s">
        <v>76</v>
      </c>
      <c r="Z711" t="s">
        <v>105</v>
      </c>
      <c r="AA711" t="s">
        <v>106</v>
      </c>
      <c r="AB711" t="s">
        <v>79</v>
      </c>
      <c r="AD711" t="s">
        <v>80</v>
      </c>
      <c r="AE711" t="s">
        <v>81</v>
      </c>
      <c r="AF711" t="s">
        <v>82</v>
      </c>
      <c r="AG711" t="s">
        <v>83</v>
      </c>
      <c r="AH711" t="s">
        <v>84</v>
      </c>
      <c r="AI711" t="str">
        <f t="shared" si="175"/>
        <v>01</v>
      </c>
      <c r="AJ711" t="str">
        <f t="shared" si="176"/>
        <v>1</v>
      </c>
      <c r="AK711" t="s">
        <v>154</v>
      </c>
      <c r="AL711" t="s">
        <v>155</v>
      </c>
      <c r="AM711" t="s">
        <v>87</v>
      </c>
      <c r="AN711" t="str">
        <f t="shared" si="173"/>
        <v>.9700</v>
      </c>
      <c r="AO711" t="str">
        <f t="shared" si="178"/>
        <v>7.25</v>
      </c>
      <c r="AP711" t="s">
        <v>156</v>
      </c>
      <c r="AQ711" t="str">
        <f t="shared" si="179"/>
        <v>7.25</v>
      </c>
      <c r="AR711">
        <v>0</v>
      </c>
      <c r="AS711">
        <v>-1</v>
      </c>
      <c r="AT711">
        <v>-1</v>
      </c>
      <c r="AU711">
        <v>0</v>
      </c>
      <c r="AV711">
        <v>0</v>
      </c>
      <c r="AW711">
        <v>0</v>
      </c>
      <c r="AX711">
        <v>-6.41</v>
      </c>
      <c r="AY711">
        <v>-6.41</v>
      </c>
      <c r="AZ711">
        <v>0</v>
      </c>
    </row>
    <row r="712" spans="1:52">
      <c r="A712" t="s">
        <v>833</v>
      </c>
      <c r="B712" t="s">
        <v>834</v>
      </c>
      <c r="C712" t="s">
        <v>835</v>
      </c>
      <c r="D712" t="s">
        <v>836</v>
      </c>
      <c r="E712" t="s">
        <v>69</v>
      </c>
      <c r="F712" t="s">
        <v>70</v>
      </c>
      <c r="G712" t="s">
        <v>837</v>
      </c>
      <c r="H712" t="s">
        <v>838</v>
      </c>
      <c r="I712" t="str">
        <f t="shared" si="177"/>
        <v>1101</v>
      </c>
      <c r="J712" t="s">
        <v>67</v>
      </c>
      <c r="K712" t="s">
        <v>855</v>
      </c>
      <c r="L712" t="s">
        <v>856</v>
      </c>
      <c r="M712" t="s">
        <v>855</v>
      </c>
      <c r="N712" t="s">
        <v>1160</v>
      </c>
      <c r="O712" t="s">
        <v>1161</v>
      </c>
      <c r="P712" t="s">
        <v>1162</v>
      </c>
      <c r="Q712" t="str">
        <f>"050205574"</f>
        <v>050205574</v>
      </c>
      <c r="R712" t="str">
        <f>"00030206557428"</f>
        <v>00030206557428</v>
      </c>
      <c r="S712" s="1">
        <v>35360</v>
      </c>
      <c r="T712" s="1">
        <v>35360</v>
      </c>
      <c r="U712" t="s">
        <v>1162</v>
      </c>
      <c r="V712" t="str">
        <f t="shared" si="174"/>
        <v>1510</v>
      </c>
      <c r="W712" t="str">
        <f t="shared" si="172"/>
        <v>11</v>
      </c>
      <c r="X712" t="s">
        <v>75</v>
      </c>
      <c r="Y712" t="s">
        <v>76</v>
      </c>
      <c r="Z712" t="s">
        <v>105</v>
      </c>
      <c r="AA712" t="s">
        <v>106</v>
      </c>
      <c r="AB712" t="s">
        <v>79</v>
      </c>
      <c r="AD712" t="s">
        <v>80</v>
      </c>
      <c r="AE712" t="s">
        <v>81</v>
      </c>
      <c r="AF712" t="s">
        <v>82</v>
      </c>
      <c r="AG712" t="s">
        <v>83</v>
      </c>
      <c r="AH712" t="s">
        <v>84</v>
      </c>
      <c r="AI712" t="str">
        <f t="shared" si="175"/>
        <v>01</v>
      </c>
      <c r="AJ712" t="str">
        <f t="shared" si="176"/>
        <v>1</v>
      </c>
      <c r="AK712" t="s">
        <v>154</v>
      </c>
      <c r="AL712" t="s">
        <v>155</v>
      </c>
      <c r="AM712" t="s">
        <v>87</v>
      </c>
      <c r="AN712" t="str">
        <f t="shared" si="173"/>
        <v>.9700</v>
      </c>
      <c r="AO712" t="str">
        <f t="shared" si="178"/>
        <v>7.25</v>
      </c>
      <c r="AP712" t="s">
        <v>156</v>
      </c>
      <c r="AQ712" t="str">
        <f t="shared" si="179"/>
        <v>7.25</v>
      </c>
      <c r="AR712">
        <v>148</v>
      </c>
      <c r="AS712">
        <v>0</v>
      </c>
      <c r="AT712">
        <v>148</v>
      </c>
      <c r="AU712">
        <v>1071.5</v>
      </c>
      <c r="AV712">
        <v>111.36</v>
      </c>
      <c r="AW712">
        <v>960.14</v>
      </c>
      <c r="AX712">
        <v>0</v>
      </c>
      <c r="AY712">
        <v>960.14</v>
      </c>
      <c r="AZ712">
        <v>0</v>
      </c>
    </row>
    <row r="713" spans="1:52">
      <c r="A713" t="s">
        <v>833</v>
      </c>
      <c r="B713" t="s">
        <v>834</v>
      </c>
      <c r="C713" t="s">
        <v>835</v>
      </c>
      <c r="D713" t="s">
        <v>836</v>
      </c>
      <c r="E713" t="s">
        <v>69</v>
      </c>
      <c r="F713" t="s">
        <v>70</v>
      </c>
      <c r="G713" t="s">
        <v>837</v>
      </c>
      <c r="H713" t="s">
        <v>838</v>
      </c>
      <c r="I713" t="str">
        <f t="shared" si="177"/>
        <v>1101</v>
      </c>
      <c r="J713" t="s">
        <v>67</v>
      </c>
      <c r="K713" t="s">
        <v>855</v>
      </c>
      <c r="L713" t="s">
        <v>856</v>
      </c>
      <c r="M713" t="s">
        <v>855</v>
      </c>
      <c r="N713" t="s">
        <v>1163</v>
      </c>
      <c r="O713" t="s">
        <v>1164</v>
      </c>
      <c r="P713" t="s">
        <v>1165</v>
      </c>
      <c r="R713" t="str">
        <f>"00030206581324"</f>
        <v>00030206581324</v>
      </c>
      <c r="S713" s="1">
        <v>35654</v>
      </c>
      <c r="T713" s="1">
        <v>35654</v>
      </c>
      <c r="U713" t="s">
        <v>1165</v>
      </c>
      <c r="V713" t="str">
        <f t="shared" si="174"/>
        <v>1510</v>
      </c>
      <c r="W713" t="str">
        <f t="shared" si="172"/>
        <v>11</v>
      </c>
      <c r="X713" t="s">
        <v>75</v>
      </c>
      <c r="Y713" t="s">
        <v>76</v>
      </c>
      <c r="Z713" t="s">
        <v>105</v>
      </c>
      <c r="AA713" t="s">
        <v>106</v>
      </c>
      <c r="AB713" t="s">
        <v>79</v>
      </c>
      <c r="AD713" t="s">
        <v>80</v>
      </c>
      <c r="AE713" t="s">
        <v>81</v>
      </c>
      <c r="AF713" t="s">
        <v>82</v>
      </c>
      <c r="AG713" t="s">
        <v>83</v>
      </c>
      <c r="AH713" t="s">
        <v>84</v>
      </c>
      <c r="AI713" t="str">
        <f t="shared" si="175"/>
        <v>01</v>
      </c>
      <c r="AJ713" t="str">
        <f t="shared" si="176"/>
        <v>1</v>
      </c>
      <c r="AK713" t="s">
        <v>154</v>
      </c>
      <c r="AL713" t="s">
        <v>155</v>
      </c>
      <c r="AM713" t="s">
        <v>87</v>
      </c>
      <c r="AN713" t="str">
        <f t="shared" si="173"/>
        <v>.9700</v>
      </c>
      <c r="AO713" t="str">
        <f t="shared" si="178"/>
        <v>7.25</v>
      </c>
      <c r="AP713" t="s">
        <v>156</v>
      </c>
      <c r="AQ713" t="str">
        <f t="shared" si="179"/>
        <v>7.25</v>
      </c>
      <c r="AR713">
        <v>72</v>
      </c>
      <c r="AS713">
        <v>0</v>
      </c>
      <c r="AT713">
        <v>72</v>
      </c>
      <c r="AU713">
        <v>521.29</v>
      </c>
      <c r="AV713">
        <v>59.75</v>
      </c>
      <c r="AW713">
        <v>461.54</v>
      </c>
      <c r="AX713">
        <v>0</v>
      </c>
      <c r="AY713">
        <v>461.54</v>
      </c>
      <c r="AZ713">
        <v>0</v>
      </c>
    </row>
    <row r="714" spans="1:52">
      <c r="A714" t="s">
        <v>833</v>
      </c>
      <c r="B714" t="s">
        <v>834</v>
      </c>
      <c r="C714" t="s">
        <v>835</v>
      </c>
      <c r="D714" t="s">
        <v>836</v>
      </c>
      <c r="E714" t="s">
        <v>69</v>
      </c>
      <c r="F714" t="s">
        <v>70</v>
      </c>
      <c r="G714" t="s">
        <v>837</v>
      </c>
      <c r="H714" t="s">
        <v>838</v>
      </c>
      <c r="I714" t="str">
        <f>"1103"</f>
        <v>1103</v>
      </c>
      <c r="J714" t="s">
        <v>67</v>
      </c>
      <c r="K714" t="s">
        <v>855</v>
      </c>
      <c r="L714" t="s">
        <v>856</v>
      </c>
      <c r="M714" t="s">
        <v>855</v>
      </c>
      <c r="N714" t="s">
        <v>1166</v>
      </c>
      <c r="O714" t="s">
        <v>1167</v>
      </c>
      <c r="P714" t="s">
        <v>1168</v>
      </c>
      <c r="R714" t="str">
        <f>"00030206577723"</f>
        <v>00030206577723</v>
      </c>
      <c r="S714" s="1">
        <v>35598</v>
      </c>
      <c r="T714" s="1">
        <v>35598</v>
      </c>
      <c r="U714" t="s">
        <v>1168</v>
      </c>
      <c r="V714" t="str">
        <f t="shared" si="174"/>
        <v>1510</v>
      </c>
      <c r="W714" t="str">
        <f t="shared" si="172"/>
        <v>11</v>
      </c>
      <c r="X714" t="s">
        <v>376</v>
      </c>
      <c r="Y714" t="s">
        <v>76</v>
      </c>
      <c r="Z714" t="s">
        <v>291</v>
      </c>
      <c r="AA714" t="s">
        <v>292</v>
      </c>
      <c r="AB714" t="s">
        <v>79</v>
      </c>
      <c r="AD714" t="s">
        <v>80</v>
      </c>
      <c r="AE714" t="s">
        <v>81</v>
      </c>
      <c r="AF714" t="s">
        <v>82</v>
      </c>
      <c r="AG714" t="s">
        <v>83</v>
      </c>
      <c r="AH714" t="s">
        <v>84</v>
      </c>
      <c r="AI714" t="str">
        <f t="shared" si="175"/>
        <v>01</v>
      </c>
      <c r="AJ714" t="str">
        <f t="shared" si="176"/>
        <v>1</v>
      </c>
      <c r="AK714" t="s">
        <v>154</v>
      </c>
      <c r="AL714" t="s">
        <v>155</v>
      </c>
      <c r="AM714" t="s">
        <v>87</v>
      </c>
      <c r="AN714" t="str">
        <f t="shared" si="173"/>
        <v>.9700</v>
      </c>
      <c r="AO714" t="str">
        <f t="shared" si="178"/>
        <v>7.25</v>
      </c>
      <c r="AP714" t="s">
        <v>156</v>
      </c>
      <c r="AQ714" t="str">
        <f t="shared" si="179"/>
        <v>7.25</v>
      </c>
      <c r="AR714">
        <v>0</v>
      </c>
      <c r="AS714">
        <v>-2</v>
      </c>
      <c r="AT714">
        <v>-2</v>
      </c>
      <c r="AU714">
        <v>0</v>
      </c>
      <c r="AV714">
        <v>0</v>
      </c>
      <c r="AW714">
        <v>0</v>
      </c>
      <c r="AX714">
        <v>-13.31</v>
      </c>
      <c r="AY714">
        <v>-13.31</v>
      </c>
      <c r="AZ714">
        <v>0</v>
      </c>
    </row>
    <row r="715" spans="1:52">
      <c r="A715" t="s">
        <v>833</v>
      </c>
      <c r="B715" t="s">
        <v>834</v>
      </c>
      <c r="C715" t="s">
        <v>835</v>
      </c>
      <c r="D715" t="s">
        <v>836</v>
      </c>
      <c r="E715" t="s">
        <v>69</v>
      </c>
      <c r="F715" t="s">
        <v>70</v>
      </c>
      <c r="G715" t="s">
        <v>837</v>
      </c>
      <c r="H715" t="s">
        <v>838</v>
      </c>
      <c r="I715" t="str">
        <f>"1105"</f>
        <v>1105</v>
      </c>
      <c r="J715" t="s">
        <v>67</v>
      </c>
      <c r="K715" t="s">
        <v>855</v>
      </c>
      <c r="L715" t="s">
        <v>856</v>
      </c>
      <c r="M715" t="s">
        <v>855</v>
      </c>
      <c r="N715" t="s">
        <v>894</v>
      </c>
      <c r="O715" t="s">
        <v>164</v>
      </c>
      <c r="P715" t="s">
        <v>1169</v>
      </c>
      <c r="Q715" t="str">
        <f>"050205608"</f>
        <v>050205608</v>
      </c>
      <c r="R715" t="str">
        <f>"00030206560824"</f>
        <v>00030206560824</v>
      </c>
      <c r="S715" s="1">
        <v>34954</v>
      </c>
      <c r="T715" s="1">
        <v>34954</v>
      </c>
      <c r="U715" t="s">
        <v>1169</v>
      </c>
      <c r="V715" t="str">
        <f t="shared" si="174"/>
        <v>1510</v>
      </c>
      <c r="W715" t="str">
        <f t="shared" si="172"/>
        <v>11</v>
      </c>
      <c r="X715" t="s">
        <v>75</v>
      </c>
      <c r="Y715" t="s">
        <v>76</v>
      </c>
      <c r="Z715" t="s">
        <v>126</v>
      </c>
      <c r="AA715" t="s">
        <v>127</v>
      </c>
      <c r="AB715" t="s">
        <v>79</v>
      </c>
      <c r="AD715" t="s">
        <v>80</v>
      </c>
      <c r="AE715" t="s">
        <v>81</v>
      </c>
      <c r="AF715" t="s">
        <v>82</v>
      </c>
      <c r="AG715" t="s">
        <v>83</v>
      </c>
      <c r="AH715" t="s">
        <v>84</v>
      </c>
      <c r="AI715" t="str">
        <f t="shared" si="175"/>
        <v>01</v>
      </c>
      <c r="AJ715" t="str">
        <f t="shared" si="176"/>
        <v>1</v>
      </c>
      <c r="AK715" t="s">
        <v>154</v>
      </c>
      <c r="AL715" t="s">
        <v>155</v>
      </c>
      <c r="AM715" t="s">
        <v>87</v>
      </c>
      <c r="AN715" t="str">
        <f t="shared" si="173"/>
        <v>.9700</v>
      </c>
      <c r="AO715" t="str">
        <f t="shared" si="178"/>
        <v>7.25</v>
      </c>
      <c r="AP715" t="s">
        <v>156</v>
      </c>
      <c r="AQ715" t="str">
        <f t="shared" si="179"/>
        <v>7.25</v>
      </c>
      <c r="AR715">
        <v>194</v>
      </c>
      <c r="AS715">
        <v>-1</v>
      </c>
      <c r="AT715">
        <v>193</v>
      </c>
      <c r="AU715">
        <v>1402.85</v>
      </c>
      <c r="AV715">
        <v>156.69</v>
      </c>
      <c r="AW715">
        <v>1246.1600000000001</v>
      </c>
      <c r="AX715">
        <v>-6.37</v>
      </c>
      <c r="AY715">
        <v>1239.79</v>
      </c>
      <c r="AZ715">
        <v>0</v>
      </c>
    </row>
    <row r="716" spans="1:52">
      <c r="A716" t="s">
        <v>833</v>
      </c>
      <c r="B716" t="s">
        <v>834</v>
      </c>
      <c r="C716" t="s">
        <v>835</v>
      </c>
      <c r="D716" t="s">
        <v>836</v>
      </c>
      <c r="E716" t="s">
        <v>69</v>
      </c>
      <c r="F716" t="s">
        <v>70</v>
      </c>
      <c r="G716" t="s">
        <v>837</v>
      </c>
      <c r="H716" t="s">
        <v>838</v>
      </c>
      <c r="I716" t="str">
        <f>"1105"</f>
        <v>1105</v>
      </c>
      <c r="J716" t="s">
        <v>67</v>
      </c>
      <c r="K716" t="s">
        <v>855</v>
      </c>
      <c r="L716" t="s">
        <v>856</v>
      </c>
      <c r="M716" t="s">
        <v>855</v>
      </c>
      <c r="N716" t="s">
        <v>1170</v>
      </c>
      <c r="O716" t="s">
        <v>300</v>
      </c>
      <c r="P716" t="str">
        <f>"3020660792"</f>
        <v>3020660792</v>
      </c>
      <c r="Q716" t="str">
        <f>"050266079"</f>
        <v>050266079</v>
      </c>
      <c r="R716" t="str">
        <f>"00030206607925"</f>
        <v>00030206607925</v>
      </c>
      <c r="S716" s="1">
        <v>36438</v>
      </c>
      <c r="T716" s="1">
        <v>36438</v>
      </c>
      <c r="U716" t="str">
        <f>"3020660792"</f>
        <v>3020660792</v>
      </c>
      <c r="V716" t="str">
        <f t="shared" si="174"/>
        <v>1510</v>
      </c>
      <c r="W716" t="str">
        <f t="shared" si="172"/>
        <v>11</v>
      </c>
      <c r="X716" t="s">
        <v>75</v>
      </c>
      <c r="Y716" t="s">
        <v>76</v>
      </c>
      <c r="Z716" t="s">
        <v>126</v>
      </c>
      <c r="AA716" t="s">
        <v>127</v>
      </c>
      <c r="AB716" t="s">
        <v>79</v>
      </c>
      <c r="AD716" t="s">
        <v>80</v>
      </c>
      <c r="AE716" t="s">
        <v>81</v>
      </c>
      <c r="AF716" t="s">
        <v>82</v>
      </c>
      <c r="AG716" t="s">
        <v>83</v>
      </c>
      <c r="AH716" t="s">
        <v>84</v>
      </c>
      <c r="AJ716" t="str">
        <f t="shared" si="176"/>
        <v>1</v>
      </c>
      <c r="AK716" t="s">
        <v>154</v>
      </c>
      <c r="AL716" t="s">
        <v>155</v>
      </c>
      <c r="AM716" t="s">
        <v>87</v>
      </c>
      <c r="AN716" t="str">
        <f t="shared" si="173"/>
        <v>.9700</v>
      </c>
      <c r="AO716" t="str">
        <f t="shared" si="178"/>
        <v>7.25</v>
      </c>
      <c r="AP716" t="s">
        <v>156</v>
      </c>
      <c r="AQ716" t="str">
        <f t="shared" si="179"/>
        <v>7.25</v>
      </c>
      <c r="AR716">
        <v>111</v>
      </c>
      <c r="AS716">
        <v>0</v>
      </c>
      <c r="AT716">
        <v>111</v>
      </c>
      <c r="AU716">
        <v>804.75</v>
      </c>
      <c r="AV716">
        <v>80.040000000000006</v>
      </c>
      <c r="AW716">
        <v>724.71</v>
      </c>
      <c r="AX716">
        <v>0</v>
      </c>
      <c r="AY716">
        <v>724.71</v>
      </c>
      <c r="AZ716">
        <v>0</v>
      </c>
    </row>
    <row r="717" spans="1:52">
      <c r="A717" t="s">
        <v>833</v>
      </c>
      <c r="B717" t="s">
        <v>834</v>
      </c>
      <c r="C717" t="s">
        <v>835</v>
      </c>
      <c r="D717" t="s">
        <v>836</v>
      </c>
      <c r="E717" t="s">
        <v>69</v>
      </c>
      <c r="F717" t="s">
        <v>70</v>
      </c>
      <c r="G717" t="s">
        <v>837</v>
      </c>
      <c r="H717" t="s">
        <v>838</v>
      </c>
      <c r="I717" t="str">
        <f>"1105"</f>
        <v>1105</v>
      </c>
      <c r="J717" t="s">
        <v>67</v>
      </c>
      <c r="K717" t="s">
        <v>855</v>
      </c>
      <c r="L717" t="s">
        <v>856</v>
      </c>
      <c r="M717" t="s">
        <v>855</v>
      </c>
      <c r="N717" t="s">
        <v>1171</v>
      </c>
      <c r="O717" t="s">
        <v>1172</v>
      </c>
      <c r="P717" t="s">
        <v>1173</v>
      </c>
      <c r="Q717" t="str">
        <f>"050205747"</f>
        <v>050205747</v>
      </c>
      <c r="R717" t="str">
        <f>"00030206574722"</f>
        <v>00030206574722</v>
      </c>
      <c r="S717" s="1">
        <v>35360</v>
      </c>
      <c r="T717" s="1">
        <v>35360</v>
      </c>
      <c r="U717" t="s">
        <v>1173</v>
      </c>
      <c r="V717" t="str">
        <f t="shared" si="174"/>
        <v>1510</v>
      </c>
      <c r="W717" t="str">
        <f t="shared" si="172"/>
        <v>11</v>
      </c>
      <c r="X717" t="s">
        <v>75</v>
      </c>
      <c r="Y717" t="s">
        <v>76</v>
      </c>
      <c r="Z717" t="s">
        <v>126</v>
      </c>
      <c r="AA717" t="s">
        <v>127</v>
      </c>
      <c r="AB717" t="s">
        <v>79</v>
      </c>
      <c r="AD717" t="s">
        <v>80</v>
      </c>
      <c r="AE717" t="s">
        <v>81</v>
      </c>
      <c r="AF717" t="s">
        <v>82</v>
      </c>
      <c r="AG717" t="s">
        <v>83</v>
      </c>
      <c r="AH717" t="s">
        <v>84</v>
      </c>
      <c r="AI717" t="str">
        <f>"01"</f>
        <v>01</v>
      </c>
      <c r="AJ717" t="str">
        <f t="shared" si="176"/>
        <v>1</v>
      </c>
      <c r="AK717" t="s">
        <v>154</v>
      </c>
      <c r="AL717" t="s">
        <v>155</v>
      </c>
      <c r="AM717" t="s">
        <v>87</v>
      </c>
      <c r="AN717" t="str">
        <f t="shared" si="173"/>
        <v>.9700</v>
      </c>
      <c r="AO717" t="str">
        <f t="shared" si="178"/>
        <v>7.25</v>
      </c>
      <c r="AP717" t="s">
        <v>156</v>
      </c>
      <c r="AQ717" t="str">
        <f t="shared" si="179"/>
        <v>7.25</v>
      </c>
      <c r="AR717">
        <v>0</v>
      </c>
      <c r="AS717">
        <v>-3</v>
      </c>
      <c r="AT717">
        <v>-3</v>
      </c>
      <c r="AU717">
        <v>0</v>
      </c>
      <c r="AV717">
        <v>0</v>
      </c>
      <c r="AW717">
        <v>0</v>
      </c>
      <c r="AX717">
        <v>-20.45</v>
      </c>
      <c r="AY717">
        <v>-20.45</v>
      </c>
      <c r="AZ717">
        <v>0</v>
      </c>
    </row>
    <row r="718" spans="1:52">
      <c r="A718" t="s">
        <v>833</v>
      </c>
      <c r="B718" t="s">
        <v>834</v>
      </c>
      <c r="C718" t="s">
        <v>835</v>
      </c>
      <c r="D718" t="s">
        <v>836</v>
      </c>
      <c r="E718" t="s">
        <v>69</v>
      </c>
      <c r="F718" t="s">
        <v>70</v>
      </c>
      <c r="G718" t="s">
        <v>837</v>
      </c>
      <c r="H718" t="s">
        <v>838</v>
      </c>
      <c r="I718" t="str">
        <f>"2040"</f>
        <v>2040</v>
      </c>
      <c r="J718" t="s">
        <v>67</v>
      </c>
      <c r="K718" t="s">
        <v>855</v>
      </c>
      <c r="L718" t="s">
        <v>856</v>
      </c>
      <c r="M718" t="s">
        <v>855</v>
      </c>
      <c r="N718" t="s">
        <v>1174</v>
      </c>
      <c r="O718" t="s">
        <v>1175</v>
      </c>
      <c r="P718" t="str">
        <f>"3020624172"</f>
        <v>3020624172</v>
      </c>
      <c r="R718" t="str">
        <f>"00030206241723"</f>
        <v>00030206241723</v>
      </c>
      <c r="S718" s="1">
        <v>41352</v>
      </c>
      <c r="T718" s="1">
        <v>41352</v>
      </c>
      <c r="U718" t="str">
        <f>"3020624172"</f>
        <v>3020624172</v>
      </c>
      <c r="V718" t="str">
        <f>"1010"</f>
        <v>1010</v>
      </c>
      <c r="W718" t="str">
        <f t="shared" si="172"/>
        <v>11</v>
      </c>
      <c r="X718" t="s">
        <v>75</v>
      </c>
      <c r="Y718" t="s">
        <v>173</v>
      </c>
      <c r="Z718" t="s">
        <v>169</v>
      </c>
      <c r="AA718" t="s">
        <v>170</v>
      </c>
      <c r="AB718" t="s">
        <v>79</v>
      </c>
      <c r="AD718" t="s">
        <v>80</v>
      </c>
      <c r="AE718" t="s">
        <v>81</v>
      </c>
      <c r="AF718" t="s">
        <v>82</v>
      </c>
      <c r="AG718" t="s">
        <v>83</v>
      </c>
      <c r="AH718" t="s">
        <v>84</v>
      </c>
      <c r="AJ718" t="str">
        <f t="shared" si="176"/>
        <v>1</v>
      </c>
      <c r="AK718" t="s">
        <v>85</v>
      </c>
      <c r="AL718" t="s">
        <v>143</v>
      </c>
      <c r="AM718" t="s">
        <v>87</v>
      </c>
      <c r="AN718" t="str">
        <f t="shared" si="173"/>
        <v>.9700</v>
      </c>
      <c r="AO718" t="str">
        <f>"7.50"</f>
        <v>7.50</v>
      </c>
      <c r="AP718" t="s">
        <v>88</v>
      </c>
      <c r="AQ718" t="str">
        <f>"7.50"</f>
        <v>7.50</v>
      </c>
      <c r="AR718">
        <v>23</v>
      </c>
      <c r="AS718">
        <v>-1</v>
      </c>
      <c r="AT718">
        <v>22</v>
      </c>
      <c r="AU718">
        <v>172.6</v>
      </c>
      <c r="AV718">
        <v>13.02</v>
      </c>
      <c r="AW718">
        <v>159.58000000000001</v>
      </c>
      <c r="AX718">
        <v>-6.86</v>
      </c>
      <c r="AY718">
        <v>152.72</v>
      </c>
      <c r="AZ7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MonthlyPhy_Varese_131981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Rafa, Mary</dc:creator>
  <cp:lastModifiedBy>Emily Hunt</cp:lastModifiedBy>
  <dcterms:created xsi:type="dcterms:W3CDTF">2014-07-08T20:25:50Z</dcterms:created>
  <dcterms:modified xsi:type="dcterms:W3CDTF">2014-07-10T21:32:47Z</dcterms:modified>
</cp:coreProperties>
</file>